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/>
  <mc:AlternateContent xmlns:mc="http://schemas.openxmlformats.org/markup-compatibility/2006">
    <mc:Choice Requires="x15">
      <x15ac:absPath xmlns:x15ac="http://schemas.microsoft.com/office/spreadsheetml/2010/11/ac" url="/Volumes/GoogleDrive/Drive partagés/STOCK CO2/5 - STOCKEURS/02-FORESTIER/3-DEPOSE/031-R-CAPPELAERE-NOR(14)-LE BOIS DE SAINT CLAIR-Donnay/"/>
    </mc:Choice>
  </mc:AlternateContent>
  <xr:revisionPtr revIDLastSave="0" documentId="13_ncr:1_{7E76CE12-D3A9-454B-A6CB-C25C5C1198E9}" xr6:coauthVersionLast="45" xr6:coauthVersionMax="45" xr10:uidLastSave="{00000000-0000-0000-0000-000000000000}"/>
  <bookViews>
    <workbookView xWindow="-4580" yWindow="-25100" windowWidth="29340" windowHeight="22880" tabRatio="766" activeTab="1" xr2:uid="{00000000-000D-0000-FFFF-FFFF00000000}"/>
  </bookViews>
  <sheets>
    <sheet name="Tables de production employées" sheetId="23" r:id="rId1"/>
    <sheet name="Récapitulatif des résultats" sheetId="24" r:id="rId2"/>
    <sheet name="Pin Sylvestre" sheetId="13" r:id="rId3"/>
    <sheet name="Douglas" sheetId="18" r:id="rId4"/>
    <sheet name="Pin Maritime" sheetId="19" r:id="rId5"/>
    <sheet name="Meleze Hybride" sheetId="20" r:id="rId6"/>
    <sheet name="Thuya" sheetId="26" r:id="rId7"/>
    <sheet name="Chêne et feuillus divers" sheetId="21" r:id="rId8"/>
    <sheet name="VAN" sheetId="27" r:id="rId9"/>
  </sheets>
  <definedNames>
    <definedName name="_xlnm.Print_Area" localSheetId="1">'Récapitulatif des résultats'!#REF!</definedName>
    <definedName name="_xlnm.Print_Area" localSheetId="0">'Tables de production employées'!$B$2:$R$45,'Tables de production employées'!$B$47:$R$90,'Tables de production employées'!$B$93:$R$136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20" l="1"/>
  <c r="D29" i="13"/>
  <c r="C29" i="13"/>
  <c r="E24" i="24" l="1"/>
  <c r="I19" i="24" l="1"/>
  <c r="D51" i="26"/>
  <c r="D49" i="26"/>
  <c r="D47" i="26"/>
  <c r="D45" i="26"/>
  <c r="D43" i="26"/>
  <c r="D41" i="26"/>
  <c r="D39" i="26"/>
  <c r="D37" i="26"/>
  <c r="D35" i="26"/>
  <c r="D33" i="26"/>
  <c r="D31" i="26"/>
  <c r="D29" i="26"/>
  <c r="D27" i="26"/>
  <c r="C27" i="26"/>
  <c r="C29" i="26" s="1"/>
  <c r="B26" i="26"/>
  <c r="C26" i="26" s="1"/>
  <c r="B27" i="26" s="1"/>
  <c r="D25" i="26"/>
  <c r="D77" i="21"/>
  <c r="D75" i="21"/>
  <c r="D73" i="21"/>
  <c r="D71" i="21"/>
  <c r="D69" i="21"/>
  <c r="D67" i="21"/>
  <c r="D65" i="21"/>
  <c r="D63" i="21"/>
  <c r="D61" i="21"/>
  <c r="D59" i="21"/>
  <c r="D57" i="21"/>
  <c r="D55" i="21"/>
  <c r="D53" i="21"/>
  <c r="D51" i="21"/>
  <c r="D49" i="21"/>
  <c r="D47" i="21"/>
  <c r="D45" i="21"/>
  <c r="D43" i="21"/>
  <c r="D41" i="21"/>
  <c r="D39" i="21"/>
  <c r="D37" i="21"/>
  <c r="D35" i="21"/>
  <c r="D33" i="21"/>
  <c r="D31" i="21"/>
  <c r="D29" i="21"/>
  <c r="D27" i="21"/>
  <c r="C27" i="21"/>
  <c r="C29" i="21" s="1"/>
  <c r="C26" i="21"/>
  <c r="B27" i="21" s="1"/>
  <c r="B26" i="21"/>
  <c r="D25" i="21"/>
  <c r="D51" i="19"/>
  <c r="D49" i="19"/>
  <c r="D47" i="19"/>
  <c r="D45" i="19"/>
  <c r="D43" i="19"/>
  <c r="D41" i="19"/>
  <c r="D39" i="19"/>
  <c r="D37" i="19"/>
  <c r="D35" i="19"/>
  <c r="D33" i="19"/>
  <c r="D31" i="19"/>
  <c r="D29" i="19"/>
  <c r="D27" i="19"/>
  <c r="C27" i="19"/>
  <c r="C29" i="19" s="1"/>
  <c r="B26" i="19"/>
  <c r="C26" i="19" s="1"/>
  <c r="D25" i="19"/>
  <c r="D53" i="18"/>
  <c r="D51" i="18"/>
  <c r="D49" i="18"/>
  <c r="D47" i="18"/>
  <c r="D45" i="18"/>
  <c r="D43" i="18"/>
  <c r="D41" i="18"/>
  <c r="D39" i="18"/>
  <c r="D37" i="18"/>
  <c r="D35" i="18"/>
  <c r="D33" i="18"/>
  <c r="D31" i="18"/>
  <c r="D29" i="18"/>
  <c r="D27" i="18"/>
  <c r="C27" i="18"/>
  <c r="B28" i="18" s="1"/>
  <c r="B26" i="18"/>
  <c r="C26" i="18" s="1"/>
  <c r="D25" i="18"/>
  <c r="D59" i="13"/>
  <c r="D57" i="13"/>
  <c r="D55" i="13"/>
  <c r="D53" i="13"/>
  <c r="D51" i="13"/>
  <c r="D49" i="13"/>
  <c r="D47" i="13"/>
  <c r="D45" i="13"/>
  <c r="D43" i="13"/>
  <c r="D41" i="13"/>
  <c r="D39" i="13"/>
  <c r="D37" i="13"/>
  <c r="D35" i="13"/>
  <c r="D33" i="13"/>
  <c r="D31" i="13"/>
  <c r="C31" i="13"/>
  <c r="D27" i="13"/>
  <c r="C27" i="13"/>
  <c r="B28" i="13" s="1"/>
  <c r="B26" i="13"/>
  <c r="C26" i="13" s="1"/>
  <c r="D53" i="20"/>
  <c r="D51" i="20"/>
  <c r="D49" i="20"/>
  <c r="D47" i="20"/>
  <c r="D45" i="20"/>
  <c r="D43" i="20"/>
  <c r="D41" i="20"/>
  <c r="D39" i="20"/>
  <c r="D37" i="20"/>
  <c r="D35" i="20"/>
  <c r="D33" i="20"/>
  <c r="D31" i="20"/>
  <c r="D29" i="20"/>
  <c r="C27" i="20"/>
  <c r="C29" i="20" s="1"/>
  <c r="C31" i="20" s="1"/>
  <c r="B26" i="20"/>
  <c r="C26" i="20" s="1"/>
  <c r="D25" i="20"/>
  <c r="B28" i="20" l="1"/>
  <c r="C28" i="21"/>
  <c r="C30" i="21" s="1"/>
  <c r="C32" i="21" s="1"/>
  <c r="B30" i="26"/>
  <c r="C31" i="26"/>
  <c r="B28" i="26"/>
  <c r="C28" i="26"/>
  <c r="B30" i="21"/>
  <c r="C31" i="21"/>
  <c r="B28" i="21"/>
  <c r="B29" i="21"/>
  <c r="B27" i="19"/>
  <c r="C28" i="19"/>
  <c r="B30" i="19"/>
  <c r="C31" i="19"/>
  <c r="B28" i="19"/>
  <c r="C28" i="18"/>
  <c r="B27" i="18"/>
  <c r="C29" i="18"/>
  <c r="C28" i="13"/>
  <c r="B27" i="13"/>
  <c r="B32" i="13"/>
  <c r="C33" i="13"/>
  <c r="B30" i="13"/>
  <c r="B32" i="20"/>
  <c r="C33" i="20"/>
  <c r="C28" i="20"/>
  <c r="B27" i="20"/>
  <c r="B30" i="20"/>
  <c r="B31" i="21" l="1"/>
  <c r="C30" i="26"/>
  <c r="B29" i="26"/>
  <c r="C33" i="26"/>
  <c r="B32" i="26"/>
  <c r="B33" i="21"/>
  <c r="C34" i="21"/>
  <c r="C33" i="21"/>
  <c r="B32" i="21"/>
  <c r="C33" i="19"/>
  <c r="B32" i="19"/>
  <c r="C30" i="19"/>
  <c r="B29" i="19"/>
  <c r="C31" i="18"/>
  <c r="B30" i="18"/>
  <c r="B29" i="18"/>
  <c r="C30" i="18"/>
  <c r="B34" i="13"/>
  <c r="C35" i="13"/>
  <c r="C30" i="13"/>
  <c r="B29" i="13"/>
  <c r="B29" i="20"/>
  <c r="C30" i="20"/>
  <c r="C35" i="20"/>
  <c r="B34" i="20"/>
  <c r="C35" i="26" l="1"/>
  <c r="B34" i="26"/>
  <c r="C32" i="26"/>
  <c r="B31" i="26"/>
  <c r="C35" i="21"/>
  <c r="B34" i="21"/>
  <c r="B35" i="21"/>
  <c r="C36" i="21"/>
  <c r="C32" i="19"/>
  <c r="B31" i="19"/>
  <c r="C35" i="19"/>
  <c r="B34" i="19"/>
  <c r="B31" i="18"/>
  <c r="C32" i="18"/>
  <c r="B32" i="18"/>
  <c r="C33" i="18"/>
  <c r="B31" i="13"/>
  <c r="C32" i="13"/>
  <c r="C37" i="13"/>
  <c r="B36" i="13"/>
  <c r="C37" i="20"/>
  <c r="B36" i="20"/>
  <c r="C32" i="20"/>
  <c r="B31" i="20"/>
  <c r="B33" i="26" l="1"/>
  <c r="C34" i="26"/>
  <c r="B36" i="26"/>
  <c r="C37" i="26"/>
  <c r="B36" i="21"/>
  <c r="C37" i="21"/>
  <c r="B37" i="21"/>
  <c r="C38" i="21"/>
  <c r="B36" i="19"/>
  <c r="C37" i="19"/>
  <c r="B33" i="19"/>
  <c r="C34" i="19"/>
  <c r="C35" i="18"/>
  <c r="B34" i="18"/>
  <c r="C34" i="18"/>
  <c r="B33" i="18"/>
  <c r="B38" i="13"/>
  <c r="C39" i="13"/>
  <c r="C34" i="13"/>
  <c r="B33" i="13"/>
  <c r="C34" i="20"/>
  <c r="B33" i="20"/>
  <c r="B38" i="20"/>
  <c r="C39" i="20"/>
  <c r="C39" i="26" l="1"/>
  <c r="B38" i="26"/>
  <c r="C36" i="26"/>
  <c r="B35" i="26"/>
  <c r="B39" i="21"/>
  <c r="C40" i="21"/>
  <c r="C39" i="21"/>
  <c r="B38" i="21"/>
  <c r="C36" i="19"/>
  <c r="B35" i="19"/>
  <c r="C39" i="19"/>
  <c r="B38" i="19"/>
  <c r="B35" i="18"/>
  <c r="C36" i="18"/>
  <c r="C37" i="18"/>
  <c r="B36" i="18"/>
  <c r="B35" i="13"/>
  <c r="C36" i="13"/>
  <c r="C41" i="13"/>
  <c r="B40" i="13"/>
  <c r="C41" i="20"/>
  <c r="B40" i="20"/>
  <c r="B35" i="20"/>
  <c r="C36" i="20"/>
  <c r="R8" i="27"/>
  <c r="U8" i="27" s="1"/>
  <c r="X8" i="27" s="1"/>
  <c r="AA8" i="27" s="1"/>
  <c r="AI205" i="20"/>
  <c r="AH205" i="20"/>
  <c r="AG205" i="20"/>
  <c r="AF205" i="20"/>
  <c r="AE205" i="20"/>
  <c r="AD205" i="20"/>
  <c r="AC205" i="20"/>
  <c r="AB205" i="20"/>
  <c r="Y205" i="20"/>
  <c r="V205" i="20"/>
  <c r="U205" i="20"/>
  <c r="R205" i="20"/>
  <c r="Q205" i="20"/>
  <c r="N205" i="20"/>
  <c r="AI204" i="20"/>
  <c r="AH204" i="20"/>
  <c r="AG204" i="20"/>
  <c r="AF204" i="20"/>
  <c r="AE204" i="20"/>
  <c r="AD204" i="20"/>
  <c r="AC204" i="20"/>
  <c r="AB204" i="20"/>
  <c r="Y204" i="20"/>
  <c r="V204" i="20"/>
  <c r="U204" i="20"/>
  <c r="R204" i="20"/>
  <c r="Q204" i="20"/>
  <c r="N204" i="20"/>
  <c r="AI203" i="20"/>
  <c r="AH203" i="20"/>
  <c r="AG203" i="20"/>
  <c r="AF203" i="20"/>
  <c r="AE203" i="20"/>
  <c r="AD203" i="20"/>
  <c r="AC203" i="20"/>
  <c r="AB203" i="20"/>
  <c r="Y203" i="20"/>
  <c r="V203" i="20"/>
  <c r="U203" i="20"/>
  <c r="R203" i="20"/>
  <c r="Q203" i="20"/>
  <c r="N203" i="20"/>
  <c r="AI202" i="20"/>
  <c r="AH202" i="20"/>
  <c r="AG202" i="20"/>
  <c r="AF202" i="20"/>
  <c r="AE202" i="20"/>
  <c r="AD202" i="20"/>
  <c r="AC202" i="20"/>
  <c r="AB202" i="20"/>
  <c r="Y202" i="20"/>
  <c r="V202" i="20"/>
  <c r="U202" i="20"/>
  <c r="R202" i="20"/>
  <c r="Q202" i="20"/>
  <c r="N202" i="20"/>
  <c r="AI201" i="20"/>
  <c r="AH201" i="20"/>
  <c r="AG201" i="20"/>
  <c r="AF201" i="20"/>
  <c r="AE201" i="20"/>
  <c r="AD201" i="20"/>
  <c r="AC201" i="20"/>
  <c r="AB201" i="20"/>
  <c r="Y201" i="20"/>
  <c r="V201" i="20"/>
  <c r="U201" i="20"/>
  <c r="R201" i="20"/>
  <c r="Q201" i="20"/>
  <c r="N201" i="20"/>
  <c r="AI200" i="20"/>
  <c r="AH200" i="20"/>
  <c r="AG200" i="20"/>
  <c r="AF200" i="20"/>
  <c r="AE200" i="20"/>
  <c r="AD200" i="20"/>
  <c r="AC200" i="20"/>
  <c r="AB200" i="20"/>
  <c r="Y200" i="20"/>
  <c r="V200" i="20"/>
  <c r="U200" i="20"/>
  <c r="R200" i="20"/>
  <c r="Q200" i="20"/>
  <c r="N200" i="20"/>
  <c r="AI199" i="20"/>
  <c r="AH199" i="20"/>
  <c r="AG199" i="20"/>
  <c r="AF199" i="20"/>
  <c r="AE199" i="20"/>
  <c r="AD199" i="20"/>
  <c r="AC199" i="20"/>
  <c r="AB199" i="20"/>
  <c r="Y199" i="20"/>
  <c r="V199" i="20"/>
  <c r="U199" i="20"/>
  <c r="R199" i="20"/>
  <c r="Q199" i="20"/>
  <c r="N199" i="20"/>
  <c r="AI198" i="20"/>
  <c r="AH198" i="20"/>
  <c r="AG198" i="20"/>
  <c r="AF198" i="20"/>
  <c r="AE198" i="20"/>
  <c r="AD198" i="20"/>
  <c r="AC198" i="20"/>
  <c r="AB198" i="20"/>
  <c r="Y198" i="20"/>
  <c r="V198" i="20"/>
  <c r="U198" i="20"/>
  <c r="R198" i="20"/>
  <c r="Q198" i="20"/>
  <c r="N198" i="20"/>
  <c r="AI197" i="20"/>
  <c r="AH197" i="20"/>
  <c r="AG197" i="20"/>
  <c r="AF197" i="20"/>
  <c r="AE197" i="20"/>
  <c r="AD197" i="20"/>
  <c r="AC197" i="20"/>
  <c r="AB197" i="20"/>
  <c r="Y197" i="20"/>
  <c r="V197" i="20"/>
  <c r="U197" i="20"/>
  <c r="R197" i="20"/>
  <c r="Q197" i="20"/>
  <c r="N197" i="20"/>
  <c r="AI196" i="20"/>
  <c r="AH196" i="20"/>
  <c r="AG196" i="20"/>
  <c r="AF196" i="20"/>
  <c r="AE196" i="20"/>
  <c r="AD196" i="20"/>
  <c r="AC196" i="20"/>
  <c r="AB196" i="20"/>
  <c r="Y196" i="20"/>
  <c r="V196" i="20"/>
  <c r="U196" i="20"/>
  <c r="R196" i="20"/>
  <c r="Q196" i="20"/>
  <c r="N196" i="20"/>
  <c r="F196" i="20"/>
  <c r="AI195" i="20"/>
  <c r="AH195" i="20"/>
  <c r="AG195" i="20"/>
  <c r="AF195" i="20"/>
  <c r="AE195" i="20"/>
  <c r="AD195" i="20"/>
  <c r="AC195" i="20"/>
  <c r="AB195" i="20"/>
  <c r="Y195" i="20"/>
  <c r="V195" i="20"/>
  <c r="U195" i="20"/>
  <c r="R195" i="20"/>
  <c r="Q195" i="20"/>
  <c r="N195" i="20"/>
  <c r="F195" i="20"/>
  <c r="AI194" i="20"/>
  <c r="AH194" i="20"/>
  <c r="AG194" i="20"/>
  <c r="AF194" i="20"/>
  <c r="AE194" i="20"/>
  <c r="AD194" i="20"/>
  <c r="AC194" i="20"/>
  <c r="AB194" i="20"/>
  <c r="Y194" i="20"/>
  <c r="V194" i="20"/>
  <c r="U194" i="20"/>
  <c r="R194" i="20"/>
  <c r="Q194" i="20"/>
  <c r="N194" i="20"/>
  <c r="F194" i="20"/>
  <c r="AI193" i="20"/>
  <c r="AH193" i="20"/>
  <c r="AG193" i="20"/>
  <c r="AF193" i="20"/>
  <c r="AE193" i="20"/>
  <c r="AD193" i="20"/>
  <c r="AC193" i="20"/>
  <c r="AB193" i="20"/>
  <c r="Y193" i="20"/>
  <c r="V193" i="20"/>
  <c r="U193" i="20"/>
  <c r="R193" i="20"/>
  <c r="Q193" i="20"/>
  <c r="N193" i="20"/>
  <c r="F193" i="20"/>
  <c r="AI192" i="20"/>
  <c r="AH192" i="20"/>
  <c r="AG192" i="20"/>
  <c r="AF192" i="20"/>
  <c r="AE192" i="20"/>
  <c r="AD192" i="20"/>
  <c r="AC192" i="20"/>
  <c r="AB192" i="20"/>
  <c r="Y192" i="20"/>
  <c r="V192" i="20"/>
  <c r="U192" i="20"/>
  <c r="R192" i="20"/>
  <c r="Q192" i="20"/>
  <c r="N192" i="20"/>
  <c r="F192" i="20"/>
  <c r="AI191" i="20"/>
  <c r="AH191" i="20"/>
  <c r="AG191" i="20"/>
  <c r="AF191" i="20"/>
  <c r="AE191" i="20"/>
  <c r="AD191" i="20"/>
  <c r="AC191" i="20"/>
  <c r="AB191" i="20"/>
  <c r="Y191" i="20"/>
  <c r="V191" i="20"/>
  <c r="U191" i="20"/>
  <c r="R191" i="20"/>
  <c r="Q191" i="20"/>
  <c r="N191" i="20"/>
  <c r="F191" i="20"/>
  <c r="AI190" i="20"/>
  <c r="AH190" i="20"/>
  <c r="AG190" i="20"/>
  <c r="AF190" i="20"/>
  <c r="AE190" i="20"/>
  <c r="AD190" i="20"/>
  <c r="AC190" i="20"/>
  <c r="AB190" i="20"/>
  <c r="Y190" i="20"/>
  <c r="V190" i="20"/>
  <c r="U190" i="20"/>
  <c r="R190" i="20"/>
  <c r="Q190" i="20"/>
  <c r="N190" i="20"/>
  <c r="F190" i="20"/>
  <c r="AI189" i="20"/>
  <c r="AH189" i="20"/>
  <c r="AG189" i="20"/>
  <c r="AF189" i="20"/>
  <c r="AE189" i="20"/>
  <c r="AD189" i="20"/>
  <c r="AC189" i="20"/>
  <c r="AB189" i="20"/>
  <c r="Y189" i="20"/>
  <c r="V189" i="20"/>
  <c r="U189" i="20"/>
  <c r="R189" i="20"/>
  <c r="Q189" i="20"/>
  <c r="N189" i="20"/>
  <c r="F189" i="20"/>
  <c r="AI188" i="20"/>
  <c r="AH188" i="20"/>
  <c r="AG188" i="20"/>
  <c r="AF188" i="20"/>
  <c r="AE188" i="20"/>
  <c r="AD188" i="20"/>
  <c r="AC188" i="20"/>
  <c r="AB188" i="20"/>
  <c r="Y188" i="20"/>
  <c r="V188" i="20"/>
  <c r="U188" i="20"/>
  <c r="R188" i="20"/>
  <c r="Q188" i="20"/>
  <c r="N188" i="20"/>
  <c r="F188" i="20"/>
  <c r="AI187" i="20"/>
  <c r="AH187" i="20"/>
  <c r="AG187" i="20"/>
  <c r="AF187" i="20"/>
  <c r="AE187" i="20"/>
  <c r="AD187" i="20"/>
  <c r="AC187" i="20"/>
  <c r="AB187" i="20"/>
  <c r="Y187" i="20"/>
  <c r="V187" i="20"/>
  <c r="U187" i="20"/>
  <c r="R187" i="20"/>
  <c r="Q187" i="20"/>
  <c r="N187" i="20"/>
  <c r="F187" i="20"/>
  <c r="AI186" i="20"/>
  <c r="AH186" i="20"/>
  <c r="AG186" i="20"/>
  <c r="AF186" i="20"/>
  <c r="AE186" i="20"/>
  <c r="AD186" i="20"/>
  <c r="AC186" i="20"/>
  <c r="AB186" i="20"/>
  <c r="Y186" i="20"/>
  <c r="V186" i="20"/>
  <c r="U186" i="20"/>
  <c r="R186" i="20"/>
  <c r="Q186" i="20"/>
  <c r="N186" i="20"/>
  <c r="F186" i="20"/>
  <c r="AI185" i="20"/>
  <c r="AH185" i="20"/>
  <c r="AG185" i="20"/>
  <c r="AF185" i="20"/>
  <c r="AE185" i="20"/>
  <c r="AD185" i="20"/>
  <c r="AC185" i="20"/>
  <c r="AB185" i="20"/>
  <c r="Y185" i="20"/>
  <c r="V185" i="20"/>
  <c r="U185" i="20"/>
  <c r="R185" i="20"/>
  <c r="Q185" i="20"/>
  <c r="N185" i="20"/>
  <c r="F185" i="20"/>
  <c r="AI184" i="20"/>
  <c r="AH184" i="20"/>
  <c r="AG184" i="20"/>
  <c r="AF184" i="20"/>
  <c r="AE184" i="20"/>
  <c r="AD184" i="20"/>
  <c r="AC184" i="20"/>
  <c r="AB184" i="20"/>
  <c r="Y184" i="20"/>
  <c r="V184" i="20"/>
  <c r="U184" i="20"/>
  <c r="R184" i="20"/>
  <c r="Q184" i="20"/>
  <c r="N184" i="20"/>
  <c r="F184" i="20"/>
  <c r="AI183" i="20"/>
  <c r="AH183" i="20"/>
  <c r="AG183" i="20"/>
  <c r="AF183" i="20"/>
  <c r="AE183" i="20"/>
  <c r="AD183" i="20"/>
  <c r="AC183" i="20"/>
  <c r="AB183" i="20"/>
  <c r="Y183" i="20"/>
  <c r="V183" i="20"/>
  <c r="U183" i="20"/>
  <c r="R183" i="20"/>
  <c r="Q183" i="20"/>
  <c r="N183" i="20"/>
  <c r="F183" i="20"/>
  <c r="AI182" i="20"/>
  <c r="AH182" i="20"/>
  <c r="AG182" i="20"/>
  <c r="AF182" i="20"/>
  <c r="AE182" i="20"/>
  <c r="AD182" i="20"/>
  <c r="AC182" i="20"/>
  <c r="AB182" i="20"/>
  <c r="Y182" i="20"/>
  <c r="V182" i="20"/>
  <c r="U182" i="20"/>
  <c r="R182" i="20"/>
  <c r="Q182" i="20"/>
  <c r="N182" i="20"/>
  <c r="F182" i="20"/>
  <c r="AI181" i="20"/>
  <c r="AH181" i="20"/>
  <c r="AG181" i="20"/>
  <c r="AF181" i="20"/>
  <c r="AE181" i="20"/>
  <c r="AD181" i="20"/>
  <c r="AC181" i="20"/>
  <c r="AB181" i="20"/>
  <c r="Y181" i="20"/>
  <c r="V181" i="20"/>
  <c r="U181" i="20"/>
  <c r="R181" i="20"/>
  <c r="Q181" i="20"/>
  <c r="N181" i="20"/>
  <c r="F181" i="20"/>
  <c r="AI180" i="20"/>
  <c r="AH180" i="20"/>
  <c r="AG180" i="20"/>
  <c r="AF180" i="20"/>
  <c r="AE180" i="20"/>
  <c r="AD180" i="20"/>
  <c r="AC180" i="20"/>
  <c r="AB180" i="20"/>
  <c r="Y180" i="20"/>
  <c r="V180" i="20"/>
  <c r="U180" i="20"/>
  <c r="R180" i="20"/>
  <c r="Q180" i="20"/>
  <c r="N180" i="20"/>
  <c r="F180" i="20"/>
  <c r="AI179" i="20"/>
  <c r="AH179" i="20"/>
  <c r="AG179" i="20"/>
  <c r="AF179" i="20"/>
  <c r="AE179" i="20"/>
  <c r="AD179" i="20"/>
  <c r="AC179" i="20"/>
  <c r="AB179" i="20"/>
  <c r="Y179" i="20"/>
  <c r="V179" i="20"/>
  <c r="U179" i="20"/>
  <c r="R179" i="20"/>
  <c r="Q179" i="20"/>
  <c r="N179" i="20"/>
  <c r="F179" i="20"/>
  <c r="AI178" i="20"/>
  <c r="AH178" i="20"/>
  <c r="AG178" i="20"/>
  <c r="AF178" i="20"/>
  <c r="AE178" i="20"/>
  <c r="AD178" i="20"/>
  <c r="AC178" i="20"/>
  <c r="AB178" i="20"/>
  <c r="Y178" i="20"/>
  <c r="V178" i="20"/>
  <c r="U178" i="20"/>
  <c r="R178" i="20"/>
  <c r="Q178" i="20"/>
  <c r="N178" i="20"/>
  <c r="F178" i="20"/>
  <c r="AI177" i="20"/>
  <c r="AH177" i="20"/>
  <c r="AG177" i="20"/>
  <c r="AF177" i="20"/>
  <c r="AE177" i="20"/>
  <c r="AD177" i="20"/>
  <c r="AC177" i="20"/>
  <c r="AB177" i="20"/>
  <c r="Y177" i="20"/>
  <c r="V177" i="20"/>
  <c r="U177" i="20"/>
  <c r="R177" i="20"/>
  <c r="Q177" i="20"/>
  <c r="N177" i="20"/>
  <c r="F177" i="20"/>
  <c r="AI176" i="20"/>
  <c r="AH176" i="20"/>
  <c r="AG176" i="20"/>
  <c r="AF176" i="20"/>
  <c r="AE176" i="20"/>
  <c r="AD176" i="20"/>
  <c r="AC176" i="20"/>
  <c r="AB176" i="20"/>
  <c r="Y176" i="20"/>
  <c r="V176" i="20"/>
  <c r="U176" i="20"/>
  <c r="R176" i="20"/>
  <c r="Q176" i="20"/>
  <c r="N176" i="20"/>
  <c r="F176" i="20"/>
  <c r="AI175" i="20"/>
  <c r="AH175" i="20"/>
  <c r="AG175" i="20"/>
  <c r="AF175" i="20"/>
  <c r="AE175" i="20"/>
  <c r="AD175" i="20"/>
  <c r="AC175" i="20"/>
  <c r="AB175" i="20"/>
  <c r="Y175" i="20"/>
  <c r="V175" i="20"/>
  <c r="U175" i="20"/>
  <c r="R175" i="20"/>
  <c r="Q175" i="20"/>
  <c r="N175" i="20"/>
  <c r="F175" i="20"/>
  <c r="AI174" i="20"/>
  <c r="AH174" i="20"/>
  <c r="AG174" i="20"/>
  <c r="AF174" i="20"/>
  <c r="AE174" i="20"/>
  <c r="AD174" i="20"/>
  <c r="AC174" i="20"/>
  <c r="AB174" i="20"/>
  <c r="Y174" i="20"/>
  <c r="V174" i="20"/>
  <c r="U174" i="20"/>
  <c r="R174" i="20"/>
  <c r="Q174" i="20"/>
  <c r="N174" i="20"/>
  <c r="F174" i="20"/>
  <c r="AI173" i="20"/>
  <c r="AH173" i="20"/>
  <c r="AG173" i="20"/>
  <c r="AF173" i="20"/>
  <c r="AE173" i="20"/>
  <c r="AD173" i="20"/>
  <c r="AC173" i="20"/>
  <c r="AB173" i="20"/>
  <c r="Y173" i="20"/>
  <c r="V173" i="20"/>
  <c r="U173" i="20"/>
  <c r="R173" i="20"/>
  <c r="Q173" i="20"/>
  <c r="N173" i="20"/>
  <c r="F173" i="20"/>
  <c r="AI172" i="20"/>
  <c r="AH172" i="20"/>
  <c r="AG172" i="20"/>
  <c r="AF172" i="20"/>
  <c r="AE172" i="20"/>
  <c r="AD172" i="20"/>
  <c r="AC172" i="20"/>
  <c r="AB172" i="20"/>
  <c r="Y172" i="20"/>
  <c r="V172" i="20"/>
  <c r="U172" i="20"/>
  <c r="R172" i="20"/>
  <c r="Q172" i="20"/>
  <c r="N172" i="20"/>
  <c r="F172" i="20"/>
  <c r="AI171" i="20"/>
  <c r="AH171" i="20"/>
  <c r="AG171" i="20"/>
  <c r="AF171" i="20"/>
  <c r="AE171" i="20"/>
  <c r="AD171" i="20"/>
  <c r="AC171" i="20"/>
  <c r="AB171" i="20"/>
  <c r="Y171" i="20"/>
  <c r="V171" i="20"/>
  <c r="U171" i="20"/>
  <c r="R171" i="20"/>
  <c r="Q171" i="20"/>
  <c r="N171" i="20"/>
  <c r="F171" i="20"/>
  <c r="AI170" i="20"/>
  <c r="AH170" i="20"/>
  <c r="AG170" i="20"/>
  <c r="AF170" i="20"/>
  <c r="AE170" i="20"/>
  <c r="AD170" i="20"/>
  <c r="AC170" i="20"/>
  <c r="AB170" i="20"/>
  <c r="Y170" i="20"/>
  <c r="V170" i="20"/>
  <c r="U170" i="20"/>
  <c r="R170" i="20"/>
  <c r="Q170" i="20"/>
  <c r="N170" i="20"/>
  <c r="F170" i="20"/>
  <c r="AI169" i="20"/>
  <c r="AH169" i="20"/>
  <c r="AG169" i="20"/>
  <c r="AF169" i="20"/>
  <c r="AE169" i="20"/>
  <c r="AD169" i="20"/>
  <c r="AC169" i="20"/>
  <c r="AB169" i="20"/>
  <c r="Y169" i="20"/>
  <c r="V169" i="20"/>
  <c r="U169" i="20"/>
  <c r="R169" i="20"/>
  <c r="Q169" i="20"/>
  <c r="N169" i="20"/>
  <c r="F169" i="20"/>
  <c r="AI168" i="20"/>
  <c r="AH168" i="20"/>
  <c r="AG168" i="20"/>
  <c r="AF168" i="20"/>
  <c r="AE168" i="20"/>
  <c r="AD168" i="20"/>
  <c r="AC168" i="20"/>
  <c r="AB168" i="20"/>
  <c r="Y168" i="20"/>
  <c r="V168" i="20"/>
  <c r="U168" i="20"/>
  <c r="R168" i="20"/>
  <c r="Q168" i="20"/>
  <c r="N168" i="20"/>
  <c r="F168" i="20"/>
  <c r="AI167" i="20"/>
  <c r="AH167" i="20"/>
  <c r="AG167" i="20"/>
  <c r="AF167" i="20"/>
  <c r="AE167" i="20"/>
  <c r="AD167" i="20"/>
  <c r="AC167" i="20"/>
  <c r="AB167" i="20"/>
  <c r="Y167" i="20"/>
  <c r="V167" i="20"/>
  <c r="U167" i="20"/>
  <c r="R167" i="20"/>
  <c r="Q167" i="20"/>
  <c r="N167" i="20"/>
  <c r="F167" i="20"/>
  <c r="AI166" i="20"/>
  <c r="AH166" i="20"/>
  <c r="AG166" i="20"/>
  <c r="AF166" i="20"/>
  <c r="AE166" i="20"/>
  <c r="AD166" i="20"/>
  <c r="AC166" i="20"/>
  <c r="AB166" i="20"/>
  <c r="Y166" i="20"/>
  <c r="V166" i="20"/>
  <c r="U166" i="20"/>
  <c r="R166" i="20"/>
  <c r="Q166" i="20"/>
  <c r="N166" i="20"/>
  <c r="F166" i="20"/>
  <c r="AI165" i="20"/>
  <c r="AH165" i="20"/>
  <c r="AG165" i="20"/>
  <c r="AF165" i="20"/>
  <c r="AE165" i="20"/>
  <c r="AD165" i="20"/>
  <c r="AC165" i="20"/>
  <c r="AB165" i="20"/>
  <c r="Y165" i="20"/>
  <c r="V165" i="20"/>
  <c r="U165" i="20"/>
  <c r="R165" i="20"/>
  <c r="Q165" i="20"/>
  <c r="N165" i="20"/>
  <c r="F165" i="20"/>
  <c r="AI164" i="20"/>
  <c r="AH164" i="20"/>
  <c r="AG164" i="20"/>
  <c r="AF164" i="20"/>
  <c r="AE164" i="20"/>
  <c r="AD164" i="20"/>
  <c r="AC164" i="20"/>
  <c r="AB164" i="20"/>
  <c r="Y164" i="20"/>
  <c r="V164" i="20"/>
  <c r="U164" i="20"/>
  <c r="R164" i="20"/>
  <c r="Q164" i="20"/>
  <c r="N164" i="20"/>
  <c r="F164" i="20"/>
  <c r="AI163" i="20"/>
  <c r="AH163" i="20"/>
  <c r="AG163" i="20"/>
  <c r="AF163" i="20"/>
  <c r="AE163" i="20"/>
  <c r="AD163" i="20"/>
  <c r="AC163" i="20"/>
  <c r="AB163" i="20"/>
  <c r="Y163" i="20"/>
  <c r="V163" i="20"/>
  <c r="U163" i="20"/>
  <c r="R163" i="20"/>
  <c r="Q163" i="20"/>
  <c r="N163" i="20"/>
  <c r="F163" i="20"/>
  <c r="AI162" i="20"/>
  <c r="AH162" i="20"/>
  <c r="AG162" i="20"/>
  <c r="AF162" i="20"/>
  <c r="AE162" i="20"/>
  <c r="AD162" i="20"/>
  <c r="AC162" i="20"/>
  <c r="AB162" i="20"/>
  <c r="Y162" i="20"/>
  <c r="V162" i="20"/>
  <c r="U162" i="20"/>
  <c r="R162" i="20"/>
  <c r="Q162" i="20"/>
  <c r="N162" i="20"/>
  <c r="F162" i="20"/>
  <c r="AI161" i="20"/>
  <c r="AH161" i="20"/>
  <c r="AG161" i="20"/>
  <c r="AF161" i="20"/>
  <c r="AE161" i="20"/>
  <c r="AD161" i="20"/>
  <c r="AC161" i="20"/>
  <c r="AB161" i="20"/>
  <c r="Y161" i="20"/>
  <c r="V161" i="20"/>
  <c r="U161" i="20"/>
  <c r="R161" i="20"/>
  <c r="Q161" i="20"/>
  <c r="N161" i="20"/>
  <c r="F161" i="20"/>
  <c r="AI160" i="20"/>
  <c r="AH160" i="20"/>
  <c r="AG160" i="20"/>
  <c r="AF160" i="20"/>
  <c r="AE160" i="20"/>
  <c r="AD160" i="20"/>
  <c r="AC160" i="20"/>
  <c r="AB160" i="20"/>
  <c r="Y160" i="20"/>
  <c r="V160" i="20"/>
  <c r="U160" i="20"/>
  <c r="R160" i="20"/>
  <c r="Q160" i="20"/>
  <c r="N160" i="20"/>
  <c r="F160" i="20"/>
  <c r="AI159" i="20"/>
  <c r="AH159" i="20"/>
  <c r="AG159" i="20"/>
  <c r="AF159" i="20"/>
  <c r="AE159" i="20"/>
  <c r="AD159" i="20"/>
  <c r="AC159" i="20"/>
  <c r="AB159" i="20"/>
  <c r="Y159" i="20"/>
  <c r="V159" i="20"/>
  <c r="U159" i="20"/>
  <c r="R159" i="20"/>
  <c r="Q159" i="20"/>
  <c r="N159" i="20"/>
  <c r="F159" i="20"/>
  <c r="AI158" i="20"/>
  <c r="AH158" i="20"/>
  <c r="AG158" i="20"/>
  <c r="AF158" i="20"/>
  <c r="AE158" i="20"/>
  <c r="AD158" i="20"/>
  <c r="AC158" i="20"/>
  <c r="AB158" i="20"/>
  <c r="Y158" i="20"/>
  <c r="V158" i="20"/>
  <c r="U158" i="20"/>
  <c r="R158" i="20"/>
  <c r="Q158" i="20"/>
  <c r="N158" i="20"/>
  <c r="F158" i="20"/>
  <c r="AI157" i="20"/>
  <c r="AH157" i="20"/>
  <c r="AG157" i="20"/>
  <c r="AF157" i="20"/>
  <c r="AE157" i="20"/>
  <c r="AD157" i="20"/>
  <c r="AC157" i="20"/>
  <c r="AB157" i="20"/>
  <c r="Y157" i="20"/>
  <c r="V157" i="20"/>
  <c r="U157" i="20"/>
  <c r="R157" i="20"/>
  <c r="Q157" i="20"/>
  <c r="N157" i="20"/>
  <c r="F157" i="20"/>
  <c r="AI156" i="20"/>
  <c r="AH156" i="20"/>
  <c r="AG156" i="20"/>
  <c r="AF156" i="20"/>
  <c r="AE156" i="20"/>
  <c r="AD156" i="20"/>
  <c r="AC156" i="20"/>
  <c r="AB156" i="20"/>
  <c r="Y156" i="20"/>
  <c r="V156" i="20"/>
  <c r="U156" i="20"/>
  <c r="R156" i="20"/>
  <c r="Q156" i="20"/>
  <c r="N156" i="20"/>
  <c r="F156" i="20"/>
  <c r="AI155" i="20"/>
  <c r="AH155" i="20"/>
  <c r="AG155" i="20"/>
  <c r="AF155" i="20"/>
  <c r="AE155" i="20"/>
  <c r="AD155" i="20"/>
  <c r="AC155" i="20"/>
  <c r="AB155" i="20"/>
  <c r="Y155" i="20"/>
  <c r="V155" i="20"/>
  <c r="U155" i="20"/>
  <c r="R155" i="20"/>
  <c r="Q155" i="20"/>
  <c r="N155" i="20"/>
  <c r="F155" i="20"/>
  <c r="AI154" i="20"/>
  <c r="AH154" i="20"/>
  <c r="AG154" i="20"/>
  <c r="AF154" i="20"/>
  <c r="AE154" i="20"/>
  <c r="AD154" i="20"/>
  <c r="AC154" i="20"/>
  <c r="AB154" i="20"/>
  <c r="Y154" i="20"/>
  <c r="V154" i="20"/>
  <c r="U154" i="20"/>
  <c r="R154" i="20"/>
  <c r="Q154" i="20"/>
  <c r="N154" i="20"/>
  <c r="F154" i="20"/>
  <c r="AI153" i="20"/>
  <c r="AH153" i="20"/>
  <c r="AG153" i="20"/>
  <c r="AF153" i="20"/>
  <c r="AE153" i="20"/>
  <c r="AD153" i="20"/>
  <c r="AC153" i="20"/>
  <c r="AB153" i="20"/>
  <c r="Y153" i="20"/>
  <c r="V153" i="20"/>
  <c r="U153" i="20"/>
  <c r="R153" i="20"/>
  <c r="Q153" i="20"/>
  <c r="N153" i="20"/>
  <c r="F153" i="20"/>
  <c r="AI152" i="20"/>
  <c r="AH152" i="20"/>
  <c r="AG152" i="20"/>
  <c r="AF152" i="20"/>
  <c r="AE152" i="20"/>
  <c r="AD152" i="20"/>
  <c r="AC152" i="20"/>
  <c r="AB152" i="20"/>
  <c r="Y152" i="20"/>
  <c r="V152" i="20"/>
  <c r="U152" i="20"/>
  <c r="R152" i="20"/>
  <c r="Q152" i="20"/>
  <c r="N152" i="20"/>
  <c r="F152" i="20"/>
  <c r="AI151" i="20"/>
  <c r="AH151" i="20"/>
  <c r="AG151" i="20"/>
  <c r="AF151" i="20"/>
  <c r="AE151" i="20"/>
  <c r="AD151" i="20"/>
  <c r="AC151" i="20"/>
  <c r="AB151" i="20"/>
  <c r="Y151" i="20"/>
  <c r="V151" i="20"/>
  <c r="U151" i="20"/>
  <c r="R151" i="20"/>
  <c r="Q151" i="20"/>
  <c r="N151" i="20"/>
  <c r="F151" i="20"/>
  <c r="AI150" i="20"/>
  <c r="AH150" i="20"/>
  <c r="AG150" i="20"/>
  <c r="AF150" i="20"/>
  <c r="AE150" i="20"/>
  <c r="AD150" i="20"/>
  <c r="AC150" i="20"/>
  <c r="AB150" i="20"/>
  <c r="Y150" i="20"/>
  <c r="V150" i="20"/>
  <c r="U150" i="20"/>
  <c r="R150" i="20"/>
  <c r="Q150" i="20"/>
  <c r="N150" i="20"/>
  <c r="F150" i="20"/>
  <c r="AI149" i="20"/>
  <c r="AH149" i="20"/>
  <c r="AG149" i="20"/>
  <c r="AF149" i="20"/>
  <c r="AE149" i="20"/>
  <c r="AD149" i="20"/>
  <c r="AC149" i="20"/>
  <c r="AB149" i="20"/>
  <c r="Y149" i="20"/>
  <c r="V149" i="20"/>
  <c r="U149" i="20"/>
  <c r="R149" i="20"/>
  <c r="Q149" i="20"/>
  <c r="N149" i="20"/>
  <c r="F149" i="20"/>
  <c r="AI148" i="20"/>
  <c r="AH148" i="20"/>
  <c r="AG148" i="20"/>
  <c r="AF148" i="20"/>
  <c r="AE148" i="20"/>
  <c r="AD148" i="20"/>
  <c r="AC148" i="20"/>
  <c r="AB148" i="20"/>
  <c r="Y148" i="20"/>
  <c r="V148" i="20"/>
  <c r="U148" i="20"/>
  <c r="R148" i="20"/>
  <c r="Q148" i="20"/>
  <c r="N148" i="20"/>
  <c r="F148" i="20"/>
  <c r="AI147" i="20"/>
  <c r="AH147" i="20"/>
  <c r="AG147" i="20"/>
  <c r="AF147" i="20"/>
  <c r="AE147" i="20"/>
  <c r="AD147" i="20"/>
  <c r="AC147" i="20"/>
  <c r="AB147" i="20"/>
  <c r="Y147" i="20"/>
  <c r="V147" i="20"/>
  <c r="U147" i="20"/>
  <c r="R147" i="20"/>
  <c r="Q147" i="20"/>
  <c r="N147" i="20"/>
  <c r="F147" i="20"/>
  <c r="AI146" i="20"/>
  <c r="AH146" i="20"/>
  <c r="AG146" i="20"/>
  <c r="AF146" i="20"/>
  <c r="AE146" i="20"/>
  <c r="AD146" i="20"/>
  <c r="AC146" i="20"/>
  <c r="AB146" i="20"/>
  <c r="Y146" i="20"/>
  <c r="V146" i="20"/>
  <c r="U146" i="20"/>
  <c r="R146" i="20"/>
  <c r="Q146" i="20"/>
  <c r="N146" i="20"/>
  <c r="F146" i="20"/>
  <c r="AI145" i="20"/>
  <c r="AH145" i="20"/>
  <c r="AG145" i="20"/>
  <c r="AF145" i="20"/>
  <c r="AE145" i="20"/>
  <c r="AD145" i="20"/>
  <c r="AC145" i="20"/>
  <c r="AB145" i="20"/>
  <c r="Y145" i="20"/>
  <c r="V145" i="20"/>
  <c r="U145" i="20"/>
  <c r="R145" i="20"/>
  <c r="Q145" i="20"/>
  <c r="N145" i="20"/>
  <c r="F145" i="20"/>
  <c r="AI144" i="20"/>
  <c r="AH144" i="20"/>
  <c r="AG144" i="20"/>
  <c r="AF144" i="20"/>
  <c r="AE144" i="20"/>
  <c r="AD144" i="20"/>
  <c r="AC144" i="20"/>
  <c r="AB144" i="20"/>
  <c r="Y144" i="20"/>
  <c r="V144" i="20"/>
  <c r="U144" i="20"/>
  <c r="R144" i="20"/>
  <c r="Q144" i="20"/>
  <c r="N144" i="20"/>
  <c r="F144" i="20"/>
  <c r="AI143" i="20"/>
  <c r="AH143" i="20"/>
  <c r="AG143" i="20"/>
  <c r="AF143" i="20"/>
  <c r="AE143" i="20"/>
  <c r="AD143" i="20"/>
  <c r="AC143" i="20"/>
  <c r="AB143" i="20"/>
  <c r="Y143" i="20"/>
  <c r="V143" i="20"/>
  <c r="U143" i="20"/>
  <c r="R143" i="20"/>
  <c r="Q143" i="20"/>
  <c r="N143" i="20"/>
  <c r="F143" i="20"/>
  <c r="AI142" i="20"/>
  <c r="AH142" i="20"/>
  <c r="AG142" i="20"/>
  <c r="AF142" i="20"/>
  <c r="AE142" i="20"/>
  <c r="AD142" i="20"/>
  <c r="AC142" i="20"/>
  <c r="AB142" i="20"/>
  <c r="Y142" i="20"/>
  <c r="V142" i="20"/>
  <c r="U142" i="20"/>
  <c r="R142" i="20"/>
  <c r="Q142" i="20"/>
  <c r="N142" i="20"/>
  <c r="F142" i="20"/>
  <c r="AI141" i="20"/>
  <c r="AH141" i="20"/>
  <c r="AG141" i="20"/>
  <c r="AF141" i="20"/>
  <c r="AE141" i="20"/>
  <c r="AD141" i="20"/>
  <c r="AC141" i="20"/>
  <c r="AB141" i="20"/>
  <c r="Y141" i="20"/>
  <c r="V141" i="20"/>
  <c r="U141" i="20"/>
  <c r="R141" i="20"/>
  <c r="Q141" i="20"/>
  <c r="N141" i="20"/>
  <c r="F141" i="20"/>
  <c r="AI140" i="20"/>
  <c r="AH140" i="20"/>
  <c r="AG140" i="20"/>
  <c r="AF140" i="20"/>
  <c r="AE140" i="20"/>
  <c r="AD140" i="20"/>
  <c r="AC140" i="20"/>
  <c r="AB140" i="20"/>
  <c r="Y140" i="20"/>
  <c r="V140" i="20"/>
  <c r="U140" i="20"/>
  <c r="R140" i="20"/>
  <c r="Q140" i="20"/>
  <c r="N140" i="20"/>
  <c r="F140" i="20"/>
  <c r="AI139" i="20"/>
  <c r="AH139" i="20"/>
  <c r="AG139" i="20"/>
  <c r="AF139" i="20"/>
  <c r="AE139" i="20"/>
  <c r="AD139" i="20"/>
  <c r="AC139" i="20"/>
  <c r="AB139" i="20"/>
  <c r="Y139" i="20"/>
  <c r="V139" i="20"/>
  <c r="U139" i="20"/>
  <c r="R139" i="20"/>
  <c r="Q139" i="20"/>
  <c r="N139" i="20"/>
  <c r="F139" i="20"/>
  <c r="AI138" i="20"/>
  <c r="AH138" i="20"/>
  <c r="AG138" i="20"/>
  <c r="AF138" i="20"/>
  <c r="AE138" i="20"/>
  <c r="AD138" i="20"/>
  <c r="AC138" i="20"/>
  <c r="AB138" i="20"/>
  <c r="Y138" i="20"/>
  <c r="V138" i="20"/>
  <c r="U138" i="20"/>
  <c r="R138" i="20"/>
  <c r="Q138" i="20"/>
  <c r="N138" i="20"/>
  <c r="F138" i="20"/>
  <c r="AI137" i="20"/>
  <c r="AH137" i="20"/>
  <c r="AG137" i="20"/>
  <c r="AF137" i="20"/>
  <c r="AE137" i="20"/>
  <c r="AD137" i="20"/>
  <c r="AC137" i="20"/>
  <c r="AB137" i="20"/>
  <c r="Y137" i="20"/>
  <c r="V137" i="20"/>
  <c r="U137" i="20"/>
  <c r="R137" i="20"/>
  <c r="Q137" i="20"/>
  <c r="N137" i="20"/>
  <c r="F137" i="20"/>
  <c r="AI136" i="20"/>
  <c r="AH136" i="20"/>
  <c r="AG136" i="20"/>
  <c r="AF136" i="20"/>
  <c r="AE136" i="20"/>
  <c r="AD136" i="20"/>
  <c r="AC136" i="20"/>
  <c r="AB136" i="20"/>
  <c r="Y136" i="20"/>
  <c r="V136" i="20"/>
  <c r="U136" i="20"/>
  <c r="R136" i="20"/>
  <c r="Q136" i="20"/>
  <c r="N136" i="20"/>
  <c r="F136" i="20"/>
  <c r="AI135" i="20"/>
  <c r="AH135" i="20"/>
  <c r="AG135" i="20"/>
  <c r="AF135" i="20"/>
  <c r="AE135" i="20"/>
  <c r="AD135" i="20"/>
  <c r="AC135" i="20"/>
  <c r="AB135" i="20"/>
  <c r="Y135" i="20"/>
  <c r="V135" i="20"/>
  <c r="U135" i="20"/>
  <c r="R135" i="20"/>
  <c r="Q135" i="20"/>
  <c r="N135" i="20"/>
  <c r="F135" i="20"/>
  <c r="AI134" i="20"/>
  <c r="AH134" i="20"/>
  <c r="AG134" i="20"/>
  <c r="AF134" i="20"/>
  <c r="AE134" i="20"/>
  <c r="AD134" i="20"/>
  <c r="AC134" i="20"/>
  <c r="AB134" i="20"/>
  <c r="Y134" i="20"/>
  <c r="V134" i="20"/>
  <c r="U134" i="20"/>
  <c r="R134" i="20"/>
  <c r="Q134" i="20"/>
  <c r="N134" i="20"/>
  <c r="F134" i="20"/>
  <c r="AI133" i="20"/>
  <c r="AH133" i="20"/>
  <c r="AG133" i="20"/>
  <c r="AF133" i="20"/>
  <c r="AE133" i="20"/>
  <c r="AD133" i="20"/>
  <c r="AC133" i="20"/>
  <c r="AB133" i="20"/>
  <c r="Y133" i="20"/>
  <c r="V133" i="20"/>
  <c r="U133" i="20"/>
  <c r="R133" i="20"/>
  <c r="Q133" i="20"/>
  <c r="N133" i="20"/>
  <c r="F133" i="20"/>
  <c r="AI132" i="20"/>
  <c r="AH132" i="20"/>
  <c r="AG132" i="20"/>
  <c r="AF132" i="20"/>
  <c r="AE132" i="20"/>
  <c r="AD132" i="20"/>
  <c r="AC132" i="20"/>
  <c r="AB132" i="20"/>
  <c r="Y132" i="20"/>
  <c r="V132" i="20"/>
  <c r="U132" i="20"/>
  <c r="R132" i="20"/>
  <c r="Q132" i="20"/>
  <c r="N132" i="20"/>
  <c r="F132" i="20"/>
  <c r="AI131" i="20"/>
  <c r="AH131" i="20"/>
  <c r="AG131" i="20"/>
  <c r="AF131" i="20"/>
  <c r="AE131" i="20"/>
  <c r="AD131" i="20"/>
  <c r="AC131" i="20"/>
  <c r="AB131" i="20"/>
  <c r="Y131" i="20"/>
  <c r="V131" i="20"/>
  <c r="U131" i="20"/>
  <c r="R131" i="20"/>
  <c r="Q131" i="20"/>
  <c r="N131" i="20"/>
  <c r="F131" i="20"/>
  <c r="AI130" i="20"/>
  <c r="AH130" i="20"/>
  <c r="AG130" i="20"/>
  <c r="AF130" i="20"/>
  <c r="AE130" i="20"/>
  <c r="AD130" i="20"/>
  <c r="AC130" i="20"/>
  <c r="AB130" i="20"/>
  <c r="Y130" i="20"/>
  <c r="V130" i="20"/>
  <c r="U130" i="20"/>
  <c r="R130" i="20"/>
  <c r="Q130" i="20"/>
  <c r="N130" i="20"/>
  <c r="AI129" i="20"/>
  <c r="AH129" i="20"/>
  <c r="AG129" i="20"/>
  <c r="AF129" i="20"/>
  <c r="AE129" i="20"/>
  <c r="AD129" i="20"/>
  <c r="AC129" i="20"/>
  <c r="AB129" i="20"/>
  <c r="Y129" i="20"/>
  <c r="V129" i="20"/>
  <c r="U129" i="20"/>
  <c r="R129" i="20"/>
  <c r="Q129" i="20"/>
  <c r="N129" i="20"/>
  <c r="AI128" i="20"/>
  <c r="AH128" i="20"/>
  <c r="AG128" i="20"/>
  <c r="AF128" i="20"/>
  <c r="AE128" i="20"/>
  <c r="AD128" i="20"/>
  <c r="AC128" i="20"/>
  <c r="AB128" i="20"/>
  <c r="Y128" i="20"/>
  <c r="V128" i="20"/>
  <c r="U128" i="20"/>
  <c r="R128" i="20"/>
  <c r="Q128" i="20"/>
  <c r="N128" i="20"/>
  <c r="AI127" i="20"/>
  <c r="AH127" i="20"/>
  <c r="AG127" i="20"/>
  <c r="AF127" i="20"/>
  <c r="AE127" i="20"/>
  <c r="AD127" i="20"/>
  <c r="AC127" i="20"/>
  <c r="AB127" i="20"/>
  <c r="Y127" i="20"/>
  <c r="V127" i="20"/>
  <c r="U127" i="20"/>
  <c r="R127" i="20"/>
  <c r="Q127" i="20"/>
  <c r="N127" i="20"/>
  <c r="AI126" i="20"/>
  <c r="AH126" i="20"/>
  <c r="AG126" i="20"/>
  <c r="AF126" i="20"/>
  <c r="AE126" i="20"/>
  <c r="AD126" i="20"/>
  <c r="AC126" i="20"/>
  <c r="AB126" i="20"/>
  <c r="Y126" i="20"/>
  <c r="V126" i="20"/>
  <c r="U126" i="20"/>
  <c r="R126" i="20"/>
  <c r="Q126" i="20"/>
  <c r="N126" i="20"/>
  <c r="AI125" i="20"/>
  <c r="AH125" i="20"/>
  <c r="AG125" i="20"/>
  <c r="AF125" i="20"/>
  <c r="AE125" i="20"/>
  <c r="AD125" i="20"/>
  <c r="AC125" i="20"/>
  <c r="AB125" i="20"/>
  <c r="Y125" i="20"/>
  <c r="V125" i="20"/>
  <c r="U125" i="20"/>
  <c r="R125" i="20"/>
  <c r="Q125" i="20"/>
  <c r="N125" i="20"/>
  <c r="AI124" i="20"/>
  <c r="AH124" i="20"/>
  <c r="AG124" i="20"/>
  <c r="AF124" i="20"/>
  <c r="AE124" i="20"/>
  <c r="AD124" i="20"/>
  <c r="AC124" i="20"/>
  <c r="AB124" i="20"/>
  <c r="Y124" i="20"/>
  <c r="V124" i="20"/>
  <c r="U124" i="20"/>
  <c r="R124" i="20"/>
  <c r="Q124" i="20"/>
  <c r="N124" i="20"/>
  <c r="AI123" i="20"/>
  <c r="AH123" i="20"/>
  <c r="AG123" i="20"/>
  <c r="AF123" i="20"/>
  <c r="AE123" i="20"/>
  <c r="AD123" i="20"/>
  <c r="AC123" i="20"/>
  <c r="AB123" i="20"/>
  <c r="Y123" i="20"/>
  <c r="V123" i="20"/>
  <c r="U123" i="20"/>
  <c r="R123" i="20"/>
  <c r="Q123" i="20"/>
  <c r="N123" i="20"/>
  <c r="AI122" i="20"/>
  <c r="AH122" i="20"/>
  <c r="AG122" i="20"/>
  <c r="AF122" i="20"/>
  <c r="AE122" i="20"/>
  <c r="AD122" i="20"/>
  <c r="AC122" i="20"/>
  <c r="AB122" i="20"/>
  <c r="Y122" i="20"/>
  <c r="V122" i="20"/>
  <c r="U122" i="20"/>
  <c r="R122" i="20"/>
  <c r="Q122" i="20"/>
  <c r="N122" i="20"/>
  <c r="AI121" i="20"/>
  <c r="AH121" i="20"/>
  <c r="AG121" i="20"/>
  <c r="AF121" i="20"/>
  <c r="AE121" i="20"/>
  <c r="AD121" i="20"/>
  <c r="AC121" i="20"/>
  <c r="AB121" i="20"/>
  <c r="Y121" i="20"/>
  <c r="V121" i="20"/>
  <c r="U121" i="20"/>
  <c r="R121" i="20"/>
  <c r="Q121" i="20"/>
  <c r="N121" i="20"/>
  <c r="AI120" i="20"/>
  <c r="AH120" i="20"/>
  <c r="AG120" i="20"/>
  <c r="AF120" i="20"/>
  <c r="AE120" i="20"/>
  <c r="AD120" i="20"/>
  <c r="AC120" i="20"/>
  <c r="AB120" i="20"/>
  <c r="Y120" i="20"/>
  <c r="V120" i="20"/>
  <c r="U120" i="20"/>
  <c r="R120" i="20"/>
  <c r="Q120" i="20"/>
  <c r="N120" i="20"/>
  <c r="AI119" i="20"/>
  <c r="AH119" i="20"/>
  <c r="AG119" i="20"/>
  <c r="AF119" i="20"/>
  <c r="AE119" i="20"/>
  <c r="AD119" i="20"/>
  <c r="AC119" i="20"/>
  <c r="AB119" i="20"/>
  <c r="Y119" i="20"/>
  <c r="V119" i="20"/>
  <c r="U119" i="20"/>
  <c r="R119" i="20"/>
  <c r="Q119" i="20"/>
  <c r="N119" i="20"/>
  <c r="AI118" i="20"/>
  <c r="AH118" i="20"/>
  <c r="AG118" i="20"/>
  <c r="AF118" i="20"/>
  <c r="AE118" i="20"/>
  <c r="AD118" i="20"/>
  <c r="AC118" i="20"/>
  <c r="AB118" i="20"/>
  <c r="Y118" i="20"/>
  <c r="V118" i="20"/>
  <c r="U118" i="20"/>
  <c r="R118" i="20"/>
  <c r="Q118" i="20"/>
  <c r="N118" i="20"/>
  <c r="AI117" i="20"/>
  <c r="AH117" i="20"/>
  <c r="AG117" i="20"/>
  <c r="AF117" i="20"/>
  <c r="AE117" i="20"/>
  <c r="AD117" i="20"/>
  <c r="AC117" i="20"/>
  <c r="AB117" i="20"/>
  <c r="Y117" i="20"/>
  <c r="V117" i="20"/>
  <c r="U117" i="20"/>
  <c r="R117" i="20"/>
  <c r="Q117" i="20"/>
  <c r="N117" i="20"/>
  <c r="AI116" i="20"/>
  <c r="AH116" i="20"/>
  <c r="AG116" i="20"/>
  <c r="AF116" i="20"/>
  <c r="AE116" i="20"/>
  <c r="AD116" i="20"/>
  <c r="AC116" i="20"/>
  <c r="AB116" i="20"/>
  <c r="Y116" i="20"/>
  <c r="V116" i="20"/>
  <c r="U116" i="20"/>
  <c r="R116" i="20"/>
  <c r="Q116" i="20"/>
  <c r="N116" i="20"/>
  <c r="AI115" i="20"/>
  <c r="AH115" i="20"/>
  <c r="AG115" i="20"/>
  <c r="AF115" i="20"/>
  <c r="AE115" i="20"/>
  <c r="AD115" i="20"/>
  <c r="AC115" i="20"/>
  <c r="AB115" i="20"/>
  <c r="Y115" i="20"/>
  <c r="V115" i="20"/>
  <c r="U115" i="20"/>
  <c r="R115" i="20"/>
  <c r="Q115" i="20"/>
  <c r="N115" i="20"/>
  <c r="AI114" i="20"/>
  <c r="AH114" i="20"/>
  <c r="AG114" i="20"/>
  <c r="AF114" i="20"/>
  <c r="AE114" i="20"/>
  <c r="AD114" i="20"/>
  <c r="AC114" i="20"/>
  <c r="AB114" i="20"/>
  <c r="Y114" i="20"/>
  <c r="V114" i="20"/>
  <c r="U114" i="20"/>
  <c r="R114" i="20"/>
  <c r="Q114" i="20"/>
  <c r="N114" i="20"/>
  <c r="AI113" i="20"/>
  <c r="AH113" i="20"/>
  <c r="AG113" i="20"/>
  <c r="AF113" i="20"/>
  <c r="AE113" i="20"/>
  <c r="AD113" i="20"/>
  <c r="AC113" i="20"/>
  <c r="AB113" i="20"/>
  <c r="Y113" i="20"/>
  <c r="V113" i="20"/>
  <c r="U113" i="20"/>
  <c r="R113" i="20"/>
  <c r="Q113" i="20"/>
  <c r="N113" i="20"/>
  <c r="AI112" i="20"/>
  <c r="AH112" i="20"/>
  <c r="AG112" i="20"/>
  <c r="AF112" i="20"/>
  <c r="AE112" i="20"/>
  <c r="AD112" i="20"/>
  <c r="AC112" i="20"/>
  <c r="AB112" i="20"/>
  <c r="Y112" i="20"/>
  <c r="V112" i="20"/>
  <c r="U112" i="20"/>
  <c r="R112" i="20"/>
  <c r="Q112" i="20"/>
  <c r="N112" i="20"/>
  <c r="AI111" i="20"/>
  <c r="AH111" i="20"/>
  <c r="AG111" i="20"/>
  <c r="AF111" i="20"/>
  <c r="AE111" i="20"/>
  <c r="AD111" i="20"/>
  <c r="AC111" i="20"/>
  <c r="AB111" i="20"/>
  <c r="Y111" i="20"/>
  <c r="V111" i="20"/>
  <c r="U111" i="20"/>
  <c r="R111" i="20"/>
  <c r="Q111" i="20"/>
  <c r="N111" i="20"/>
  <c r="AI110" i="20"/>
  <c r="AH110" i="20"/>
  <c r="AG110" i="20"/>
  <c r="AF110" i="20"/>
  <c r="AE110" i="20"/>
  <c r="AD110" i="20"/>
  <c r="AC110" i="20"/>
  <c r="AB110" i="20"/>
  <c r="Y110" i="20"/>
  <c r="V110" i="20"/>
  <c r="U110" i="20"/>
  <c r="R110" i="20"/>
  <c r="Q110" i="20"/>
  <c r="N110" i="20"/>
  <c r="AI109" i="20"/>
  <c r="AH109" i="20"/>
  <c r="AG109" i="20"/>
  <c r="AF109" i="20"/>
  <c r="AE109" i="20"/>
  <c r="AD109" i="20"/>
  <c r="AC109" i="20"/>
  <c r="AB109" i="20"/>
  <c r="Y109" i="20"/>
  <c r="V109" i="20"/>
  <c r="U109" i="20"/>
  <c r="R109" i="20"/>
  <c r="Q109" i="20"/>
  <c r="N109" i="20"/>
  <c r="AI108" i="20"/>
  <c r="AH108" i="20"/>
  <c r="AG108" i="20"/>
  <c r="AF108" i="20"/>
  <c r="AE108" i="20"/>
  <c r="AD108" i="20"/>
  <c r="AC108" i="20"/>
  <c r="AB108" i="20"/>
  <c r="Y108" i="20"/>
  <c r="V108" i="20"/>
  <c r="U108" i="20"/>
  <c r="R108" i="20"/>
  <c r="Q108" i="20"/>
  <c r="N108" i="20"/>
  <c r="G108" i="20"/>
  <c r="AI107" i="20"/>
  <c r="AH107" i="20"/>
  <c r="AG107" i="20"/>
  <c r="AF107" i="20"/>
  <c r="AE107" i="20"/>
  <c r="AD107" i="20"/>
  <c r="AC107" i="20"/>
  <c r="AB107" i="20"/>
  <c r="Y107" i="20"/>
  <c r="V107" i="20"/>
  <c r="U107" i="20"/>
  <c r="R107" i="20"/>
  <c r="Q107" i="20"/>
  <c r="N107" i="20"/>
  <c r="D107" i="20"/>
  <c r="C107" i="20"/>
  <c r="AI106" i="20"/>
  <c r="AH106" i="20"/>
  <c r="AG106" i="20"/>
  <c r="AF106" i="20"/>
  <c r="AE106" i="20"/>
  <c r="AD106" i="20"/>
  <c r="AC106" i="20"/>
  <c r="AB106" i="20"/>
  <c r="Y106" i="20"/>
  <c r="V106" i="20"/>
  <c r="U106" i="20"/>
  <c r="R106" i="20"/>
  <c r="Q106" i="20"/>
  <c r="N106" i="20"/>
  <c r="AI105" i="20"/>
  <c r="AH105" i="20"/>
  <c r="AG105" i="20"/>
  <c r="AF105" i="20"/>
  <c r="AE105" i="20"/>
  <c r="AD105" i="20"/>
  <c r="AC105" i="20"/>
  <c r="AB105" i="20"/>
  <c r="Y105" i="20"/>
  <c r="V105" i="20"/>
  <c r="U105" i="20"/>
  <c r="R105" i="20"/>
  <c r="Q105" i="20"/>
  <c r="N105" i="20"/>
  <c r="AI104" i="20"/>
  <c r="AH104" i="20"/>
  <c r="AG104" i="20"/>
  <c r="AF104" i="20"/>
  <c r="AE104" i="20"/>
  <c r="AD104" i="20"/>
  <c r="AC104" i="20"/>
  <c r="AB104" i="20"/>
  <c r="Y104" i="20"/>
  <c r="V104" i="20"/>
  <c r="U104" i="20"/>
  <c r="R104" i="20"/>
  <c r="Q104" i="20"/>
  <c r="N104" i="20"/>
  <c r="AI103" i="20"/>
  <c r="AH103" i="20"/>
  <c r="AG103" i="20"/>
  <c r="AF103" i="20"/>
  <c r="AE103" i="20"/>
  <c r="AD103" i="20"/>
  <c r="AC103" i="20"/>
  <c r="AB103" i="20"/>
  <c r="Y103" i="20"/>
  <c r="V103" i="20"/>
  <c r="U103" i="20"/>
  <c r="R103" i="20"/>
  <c r="Q103" i="20"/>
  <c r="N103" i="20"/>
  <c r="AI102" i="20"/>
  <c r="AH102" i="20"/>
  <c r="AG102" i="20"/>
  <c r="AF102" i="20"/>
  <c r="AE102" i="20"/>
  <c r="AD102" i="20"/>
  <c r="AC102" i="20"/>
  <c r="AB102" i="20"/>
  <c r="Y102" i="20"/>
  <c r="V102" i="20"/>
  <c r="U102" i="20"/>
  <c r="R102" i="20"/>
  <c r="Q102" i="20"/>
  <c r="N102" i="20"/>
  <c r="AI101" i="20"/>
  <c r="AH101" i="20"/>
  <c r="AG101" i="20"/>
  <c r="AF101" i="20"/>
  <c r="AE101" i="20"/>
  <c r="AD101" i="20"/>
  <c r="AC101" i="20"/>
  <c r="AB101" i="20"/>
  <c r="Y101" i="20"/>
  <c r="V101" i="20"/>
  <c r="U101" i="20"/>
  <c r="R101" i="20"/>
  <c r="Q101" i="20"/>
  <c r="N101" i="20"/>
  <c r="AI100" i="20"/>
  <c r="AH100" i="20"/>
  <c r="AG100" i="20"/>
  <c r="AF100" i="20"/>
  <c r="AE100" i="20"/>
  <c r="AD100" i="20"/>
  <c r="AC100" i="20"/>
  <c r="AB100" i="20"/>
  <c r="Y100" i="20"/>
  <c r="V100" i="20"/>
  <c r="U100" i="20"/>
  <c r="R100" i="20"/>
  <c r="Q100" i="20"/>
  <c r="N100" i="20"/>
  <c r="AI99" i="20"/>
  <c r="AH99" i="20"/>
  <c r="AG99" i="20"/>
  <c r="AF99" i="20"/>
  <c r="AE99" i="20"/>
  <c r="AD99" i="20"/>
  <c r="AC99" i="20"/>
  <c r="AB99" i="20"/>
  <c r="Y99" i="20"/>
  <c r="V99" i="20"/>
  <c r="U99" i="20"/>
  <c r="R99" i="20"/>
  <c r="Q99" i="20"/>
  <c r="N99" i="20"/>
  <c r="AI98" i="20"/>
  <c r="AH98" i="20"/>
  <c r="AG98" i="20"/>
  <c r="AF98" i="20"/>
  <c r="AE98" i="20"/>
  <c r="AD98" i="20"/>
  <c r="AC98" i="20"/>
  <c r="AB98" i="20"/>
  <c r="Y98" i="20"/>
  <c r="V98" i="20"/>
  <c r="U98" i="20"/>
  <c r="R98" i="20"/>
  <c r="Q98" i="20"/>
  <c r="N98" i="20"/>
  <c r="AI97" i="20"/>
  <c r="AH97" i="20"/>
  <c r="AG97" i="20"/>
  <c r="AF97" i="20"/>
  <c r="AE97" i="20"/>
  <c r="AD97" i="20"/>
  <c r="AC97" i="20"/>
  <c r="AB97" i="20"/>
  <c r="Y97" i="20"/>
  <c r="V97" i="20"/>
  <c r="U97" i="20"/>
  <c r="R97" i="20"/>
  <c r="Q97" i="20"/>
  <c r="N97" i="20"/>
  <c r="AI96" i="20"/>
  <c r="AH96" i="20"/>
  <c r="AG96" i="20"/>
  <c r="AF96" i="20"/>
  <c r="AE96" i="20"/>
  <c r="AD96" i="20"/>
  <c r="AC96" i="20"/>
  <c r="AB96" i="20"/>
  <c r="Y96" i="20"/>
  <c r="V96" i="20"/>
  <c r="U96" i="20"/>
  <c r="R96" i="20"/>
  <c r="Q96" i="20"/>
  <c r="N96" i="20"/>
  <c r="N95" i="20"/>
  <c r="N94" i="20"/>
  <c r="F94" i="20"/>
  <c r="E94" i="20"/>
  <c r="B94" i="20"/>
  <c r="N93" i="20"/>
  <c r="F93" i="20"/>
  <c r="E93" i="20"/>
  <c r="N92" i="20"/>
  <c r="F92" i="20"/>
  <c r="E92" i="20"/>
  <c r="N91" i="20"/>
  <c r="F91" i="20"/>
  <c r="E91" i="20"/>
  <c r="N90" i="20"/>
  <c r="F90" i="20"/>
  <c r="E90" i="20"/>
  <c r="N89" i="20"/>
  <c r="F89" i="20"/>
  <c r="E89" i="20"/>
  <c r="N88" i="20"/>
  <c r="F88" i="20"/>
  <c r="E88" i="20"/>
  <c r="N87" i="20"/>
  <c r="F87" i="20"/>
  <c r="E87" i="20"/>
  <c r="N86" i="20"/>
  <c r="F86" i="20"/>
  <c r="E86" i="20"/>
  <c r="N85" i="20"/>
  <c r="F85" i="20"/>
  <c r="E85" i="20"/>
  <c r="N84" i="20"/>
  <c r="F84" i="20"/>
  <c r="E84" i="20"/>
  <c r="N83" i="20"/>
  <c r="F83" i="20"/>
  <c r="E83" i="20"/>
  <c r="N82" i="20"/>
  <c r="F82" i="20"/>
  <c r="E82" i="20"/>
  <c r="B82" i="20"/>
  <c r="N81" i="20"/>
  <c r="N80" i="20"/>
  <c r="N79" i="20"/>
  <c r="N78" i="20"/>
  <c r="N77" i="20"/>
  <c r="N76" i="20"/>
  <c r="N75" i="20"/>
  <c r="N74" i="20"/>
  <c r="N73" i="20"/>
  <c r="N72" i="20"/>
  <c r="N71" i="20"/>
  <c r="N70" i="20"/>
  <c r="N69" i="20"/>
  <c r="N68" i="20"/>
  <c r="N67" i="20"/>
  <c r="N66" i="20"/>
  <c r="N65" i="20"/>
  <c r="N64" i="20"/>
  <c r="N63" i="20"/>
  <c r="N62" i="20"/>
  <c r="N61" i="20"/>
  <c r="N60" i="20"/>
  <c r="N59" i="20"/>
  <c r="N58" i="20"/>
  <c r="N57" i="20"/>
  <c r="N56" i="20"/>
  <c r="N55" i="20"/>
  <c r="N54" i="20"/>
  <c r="N53" i="20"/>
  <c r="N52" i="20"/>
  <c r="N51" i="20"/>
  <c r="N50" i="20"/>
  <c r="N49" i="20"/>
  <c r="N48" i="20"/>
  <c r="N47" i="20"/>
  <c r="C93" i="20"/>
  <c r="H93" i="20" s="1"/>
  <c r="N46" i="20"/>
  <c r="N45" i="20"/>
  <c r="C92" i="20"/>
  <c r="H92" i="20" s="1"/>
  <c r="N44" i="20"/>
  <c r="N43" i="20"/>
  <c r="C91" i="20"/>
  <c r="N42" i="20"/>
  <c r="N41" i="20"/>
  <c r="C90" i="20"/>
  <c r="H90" i="20" s="1"/>
  <c r="N40" i="20"/>
  <c r="N39" i="20"/>
  <c r="C89" i="20"/>
  <c r="H89" i="20" s="1"/>
  <c r="N38" i="20"/>
  <c r="N37" i="20"/>
  <c r="N36" i="20"/>
  <c r="N35" i="20"/>
  <c r="C87" i="20"/>
  <c r="H87" i="20" s="1"/>
  <c r="N34" i="20"/>
  <c r="N33" i="20"/>
  <c r="C86" i="20"/>
  <c r="H86" i="20" s="1"/>
  <c r="N32" i="20"/>
  <c r="N31" i="20"/>
  <c r="N30" i="20"/>
  <c r="N29" i="20"/>
  <c r="C84" i="20"/>
  <c r="H84" i="20" s="1"/>
  <c r="N28" i="20"/>
  <c r="N27" i="20"/>
  <c r="C83" i="20"/>
  <c r="B83" i="20"/>
  <c r="N26" i="20"/>
  <c r="N25" i="20"/>
  <c r="C82" i="20"/>
  <c r="N24" i="20"/>
  <c r="N23" i="20"/>
  <c r="N22" i="20"/>
  <c r="AM21" i="20"/>
  <c r="AC21" i="20"/>
  <c r="N21" i="20"/>
  <c r="N20" i="20"/>
  <c r="F20" i="20"/>
  <c r="N19" i="20"/>
  <c r="F19" i="20"/>
  <c r="S5" i="20" s="1"/>
  <c r="T5" i="20" s="1"/>
  <c r="N18" i="20"/>
  <c r="N17" i="20"/>
  <c r="N16" i="20"/>
  <c r="N15" i="20"/>
  <c r="F15" i="20"/>
  <c r="N14" i="20"/>
  <c r="N13" i="20"/>
  <c r="F13" i="20"/>
  <c r="N12" i="20"/>
  <c r="N11" i="20"/>
  <c r="F11" i="20"/>
  <c r="N10" i="20"/>
  <c r="F10" i="20"/>
  <c r="N9" i="20"/>
  <c r="F9" i="20"/>
  <c r="D9" i="20"/>
  <c r="N8" i="20"/>
  <c r="F8" i="20"/>
  <c r="N7" i="20"/>
  <c r="N6" i="20"/>
  <c r="F6" i="20"/>
  <c r="V16" i="20" s="1"/>
  <c r="AI5" i="20"/>
  <c r="N5" i="20"/>
  <c r="F5" i="20"/>
  <c r="L6" i="20" s="1"/>
  <c r="F20" i="21"/>
  <c r="F20" i="26"/>
  <c r="F131" i="21"/>
  <c r="F132" i="21"/>
  <c r="F133" i="21"/>
  <c r="F134" i="21"/>
  <c r="F135" i="21"/>
  <c r="F136" i="21"/>
  <c r="F137" i="21"/>
  <c r="F138" i="21"/>
  <c r="F139" i="21"/>
  <c r="F140" i="21"/>
  <c r="F141" i="21"/>
  <c r="F142" i="21"/>
  <c r="F143" i="21"/>
  <c r="F144" i="21"/>
  <c r="F145" i="21"/>
  <c r="F146" i="21"/>
  <c r="F147" i="21"/>
  <c r="F148" i="21"/>
  <c r="F149" i="21"/>
  <c r="F150" i="21"/>
  <c r="F151" i="21"/>
  <c r="F152" i="21"/>
  <c r="F153" i="21"/>
  <c r="F154" i="21"/>
  <c r="F155" i="21"/>
  <c r="F156" i="21"/>
  <c r="F157" i="21"/>
  <c r="F158" i="21"/>
  <c r="F159" i="21"/>
  <c r="F160" i="21"/>
  <c r="F161" i="21"/>
  <c r="F162" i="21"/>
  <c r="F163" i="21"/>
  <c r="F164" i="21"/>
  <c r="F165" i="21"/>
  <c r="F166" i="21"/>
  <c r="F167" i="21"/>
  <c r="F168" i="21"/>
  <c r="F169" i="21"/>
  <c r="F170" i="21"/>
  <c r="F171" i="21"/>
  <c r="F172" i="21"/>
  <c r="F173" i="21"/>
  <c r="F174" i="21"/>
  <c r="F175" i="21"/>
  <c r="F176" i="21"/>
  <c r="F177" i="21"/>
  <c r="F178" i="21"/>
  <c r="F179" i="21"/>
  <c r="F180" i="21"/>
  <c r="F181" i="21"/>
  <c r="F182" i="21"/>
  <c r="F183" i="21"/>
  <c r="F184" i="21"/>
  <c r="F185" i="21"/>
  <c r="F186" i="21"/>
  <c r="F187" i="21"/>
  <c r="F188" i="21"/>
  <c r="F189" i="21"/>
  <c r="F190" i="21"/>
  <c r="F191" i="21"/>
  <c r="F192" i="21"/>
  <c r="F193" i="21"/>
  <c r="F194" i="21"/>
  <c r="F195" i="21"/>
  <c r="F196" i="21"/>
  <c r="F131" i="26"/>
  <c r="F132" i="26"/>
  <c r="F133" i="26"/>
  <c r="F134" i="26"/>
  <c r="F135" i="26"/>
  <c r="F136" i="26"/>
  <c r="F137" i="26"/>
  <c r="F138" i="26"/>
  <c r="F139" i="26"/>
  <c r="F140" i="26"/>
  <c r="F141" i="26"/>
  <c r="F142" i="26"/>
  <c r="F143" i="26"/>
  <c r="F144" i="26"/>
  <c r="F145" i="26"/>
  <c r="F146" i="26"/>
  <c r="F147" i="26"/>
  <c r="F148" i="26"/>
  <c r="F149" i="26"/>
  <c r="F150" i="26"/>
  <c r="F151" i="26"/>
  <c r="F152" i="26"/>
  <c r="F153" i="26"/>
  <c r="F154" i="26"/>
  <c r="F155" i="26"/>
  <c r="F156" i="26"/>
  <c r="F157" i="26"/>
  <c r="F158" i="26"/>
  <c r="F159" i="26"/>
  <c r="F160" i="26"/>
  <c r="F161" i="26"/>
  <c r="F162" i="26"/>
  <c r="F163" i="26"/>
  <c r="F164" i="26"/>
  <c r="F165" i="26"/>
  <c r="F166" i="26"/>
  <c r="F167" i="26"/>
  <c r="F168" i="26"/>
  <c r="F169" i="26"/>
  <c r="F170" i="26"/>
  <c r="F171" i="26"/>
  <c r="F172" i="26"/>
  <c r="F173" i="26"/>
  <c r="F174" i="26"/>
  <c r="F175" i="26"/>
  <c r="F176" i="26"/>
  <c r="F177" i="26"/>
  <c r="F178" i="26"/>
  <c r="F179" i="26"/>
  <c r="F180" i="26"/>
  <c r="F181" i="26"/>
  <c r="F182" i="26"/>
  <c r="F183" i="26"/>
  <c r="F184" i="26"/>
  <c r="F185" i="26"/>
  <c r="F186" i="26"/>
  <c r="F187" i="26"/>
  <c r="F188" i="26"/>
  <c r="F189" i="26"/>
  <c r="F190" i="26"/>
  <c r="F191" i="26"/>
  <c r="F192" i="26"/>
  <c r="F193" i="26"/>
  <c r="F194" i="26"/>
  <c r="F195" i="26"/>
  <c r="F196" i="26"/>
  <c r="F131" i="19"/>
  <c r="F132" i="19"/>
  <c r="F133" i="19"/>
  <c r="F134" i="19"/>
  <c r="F135" i="19"/>
  <c r="F136" i="19"/>
  <c r="F137" i="19"/>
  <c r="F138" i="19"/>
  <c r="F139" i="19"/>
  <c r="F140" i="19"/>
  <c r="F141" i="19"/>
  <c r="F142" i="19"/>
  <c r="F143" i="19"/>
  <c r="F144" i="19"/>
  <c r="F145" i="19"/>
  <c r="F146" i="19"/>
  <c r="F147" i="19"/>
  <c r="F148" i="19"/>
  <c r="F149" i="19"/>
  <c r="F150" i="19"/>
  <c r="F151" i="19"/>
  <c r="F152" i="19"/>
  <c r="F153" i="19"/>
  <c r="F154" i="19"/>
  <c r="F155" i="19"/>
  <c r="F156" i="19"/>
  <c r="F157" i="19"/>
  <c r="F158" i="19"/>
  <c r="F159" i="19"/>
  <c r="F160" i="19"/>
  <c r="F161" i="19"/>
  <c r="F162" i="19"/>
  <c r="F163" i="19"/>
  <c r="F164" i="19"/>
  <c r="F165" i="19"/>
  <c r="F166" i="19"/>
  <c r="F167" i="19"/>
  <c r="F168" i="19"/>
  <c r="F169" i="19"/>
  <c r="F170" i="19"/>
  <c r="F171" i="19"/>
  <c r="F172" i="19"/>
  <c r="F173" i="19"/>
  <c r="F174" i="19"/>
  <c r="F175" i="19"/>
  <c r="F176" i="19"/>
  <c r="F177" i="19"/>
  <c r="F178" i="19"/>
  <c r="F20" i="19" s="1"/>
  <c r="F179" i="19"/>
  <c r="F180" i="19"/>
  <c r="F181" i="19"/>
  <c r="F182" i="19"/>
  <c r="F183" i="19"/>
  <c r="F184" i="19"/>
  <c r="F185" i="19"/>
  <c r="F186" i="19"/>
  <c r="F187" i="19"/>
  <c r="F188" i="19"/>
  <c r="F189" i="19"/>
  <c r="F190" i="19"/>
  <c r="F191" i="19"/>
  <c r="F192" i="19"/>
  <c r="F193" i="19"/>
  <c r="F194" i="19"/>
  <c r="F195" i="19"/>
  <c r="F196" i="19"/>
  <c r="F131" i="18"/>
  <c r="F132" i="18"/>
  <c r="F133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146" i="18"/>
  <c r="F147" i="18"/>
  <c r="F148" i="18"/>
  <c r="F149" i="18"/>
  <c r="F150" i="18"/>
  <c r="F151" i="18"/>
  <c r="F152" i="18"/>
  <c r="F20" i="18" s="1"/>
  <c r="F153" i="18"/>
  <c r="F154" i="18"/>
  <c r="F155" i="18"/>
  <c r="F156" i="18"/>
  <c r="F157" i="18"/>
  <c r="F158" i="18"/>
  <c r="F159" i="18"/>
  <c r="F160" i="18"/>
  <c r="F161" i="18"/>
  <c r="F162" i="18"/>
  <c r="F163" i="18"/>
  <c r="F164" i="18"/>
  <c r="F165" i="18"/>
  <c r="F166" i="18"/>
  <c r="F167" i="18"/>
  <c r="F168" i="18"/>
  <c r="F169" i="18"/>
  <c r="F170" i="18"/>
  <c r="F171" i="18"/>
  <c r="F172" i="18"/>
  <c r="F173" i="18"/>
  <c r="F174" i="18"/>
  <c r="F175" i="18"/>
  <c r="F176" i="18"/>
  <c r="F177" i="18"/>
  <c r="F178" i="18"/>
  <c r="F179" i="18"/>
  <c r="F180" i="18"/>
  <c r="F181" i="18"/>
  <c r="F182" i="18"/>
  <c r="F183" i="18"/>
  <c r="F184" i="18"/>
  <c r="F185" i="18"/>
  <c r="F186" i="18"/>
  <c r="F187" i="18"/>
  <c r="F188" i="18"/>
  <c r="F189" i="18"/>
  <c r="F190" i="18"/>
  <c r="F191" i="18"/>
  <c r="F192" i="18"/>
  <c r="F193" i="18"/>
  <c r="F194" i="18"/>
  <c r="F195" i="18"/>
  <c r="F196" i="18"/>
  <c r="E49" i="18" l="1"/>
  <c r="F49" i="18" s="1"/>
  <c r="E54" i="18"/>
  <c r="F54" i="18" s="1"/>
  <c r="E48" i="18"/>
  <c r="F48" i="18" s="1"/>
  <c r="E53" i="18"/>
  <c r="F53" i="18" s="1"/>
  <c r="E50" i="18"/>
  <c r="F50" i="18" s="1"/>
  <c r="E51" i="18"/>
  <c r="F51" i="18" s="1"/>
  <c r="E47" i="18"/>
  <c r="F47" i="18" s="1"/>
  <c r="E52" i="18"/>
  <c r="F52" i="18" s="1"/>
  <c r="E46" i="18"/>
  <c r="F46" i="18" s="1"/>
  <c r="E43" i="18"/>
  <c r="F43" i="18" s="1"/>
  <c r="E44" i="18"/>
  <c r="F44" i="18" s="1"/>
  <c r="E45" i="18"/>
  <c r="F45" i="18" s="1"/>
  <c r="E33" i="19"/>
  <c r="F33" i="19" s="1"/>
  <c r="E44" i="19"/>
  <c r="F44" i="19" s="1"/>
  <c r="E34" i="19"/>
  <c r="F34" i="19" s="1"/>
  <c r="G34" i="19" s="1"/>
  <c r="E40" i="19"/>
  <c r="F40" i="19" s="1"/>
  <c r="E45" i="19"/>
  <c r="F45" i="19" s="1"/>
  <c r="E49" i="19"/>
  <c r="F49" i="19" s="1"/>
  <c r="E38" i="19"/>
  <c r="F38" i="19" s="1"/>
  <c r="E35" i="19"/>
  <c r="F35" i="19" s="1"/>
  <c r="G35" i="19" s="1"/>
  <c r="E50" i="19"/>
  <c r="F50" i="19" s="1"/>
  <c r="E48" i="19"/>
  <c r="F48" i="19" s="1"/>
  <c r="E46" i="19"/>
  <c r="F46" i="19" s="1"/>
  <c r="E51" i="19"/>
  <c r="F51" i="19" s="1"/>
  <c r="E52" i="19"/>
  <c r="F52" i="19" s="1"/>
  <c r="E36" i="19"/>
  <c r="F36" i="19" s="1"/>
  <c r="E41" i="19"/>
  <c r="F41" i="19" s="1"/>
  <c r="E47" i="19"/>
  <c r="F47" i="19" s="1"/>
  <c r="E43" i="19"/>
  <c r="F43" i="19" s="1"/>
  <c r="E37" i="19"/>
  <c r="F37" i="19" s="1"/>
  <c r="G37" i="19" s="1"/>
  <c r="E42" i="19"/>
  <c r="F42" i="19" s="1"/>
  <c r="E39" i="19"/>
  <c r="F39" i="19" s="1"/>
  <c r="E44" i="20"/>
  <c r="F44" i="20" s="1"/>
  <c r="E53" i="20"/>
  <c r="F53" i="20" s="1"/>
  <c r="E54" i="20"/>
  <c r="F54" i="20" s="1"/>
  <c r="H91" i="20"/>
  <c r="J6" i="20"/>
  <c r="K6" i="20" s="1"/>
  <c r="E69" i="21"/>
  <c r="F69" i="21" s="1"/>
  <c r="E74" i="21"/>
  <c r="F74" i="21" s="1"/>
  <c r="E70" i="21"/>
  <c r="F70" i="21" s="1"/>
  <c r="E75" i="21"/>
  <c r="F75" i="21" s="1"/>
  <c r="E73" i="21"/>
  <c r="F73" i="21" s="1"/>
  <c r="E71" i="21"/>
  <c r="F71" i="21" s="1"/>
  <c r="E76" i="21"/>
  <c r="F76" i="21" s="1"/>
  <c r="E77" i="21"/>
  <c r="F77" i="21" s="1"/>
  <c r="E72" i="21"/>
  <c r="F72" i="21" s="1"/>
  <c r="E78" i="21"/>
  <c r="F78" i="21" s="1"/>
  <c r="B37" i="26"/>
  <c r="C38" i="26"/>
  <c r="B40" i="26"/>
  <c r="C41" i="26"/>
  <c r="B40" i="21"/>
  <c r="C41" i="21"/>
  <c r="C42" i="21"/>
  <c r="B41" i="21"/>
  <c r="V13" i="20"/>
  <c r="M16" i="20"/>
  <c r="V6" i="20"/>
  <c r="V15" i="20"/>
  <c r="V7" i="20"/>
  <c r="U10" i="20"/>
  <c r="U7" i="20"/>
  <c r="U15" i="20"/>
  <c r="B40" i="19"/>
  <c r="C41" i="19"/>
  <c r="B37" i="19"/>
  <c r="C38" i="19"/>
  <c r="B38" i="18"/>
  <c r="C39" i="18"/>
  <c r="C38" i="18"/>
  <c r="B37" i="18"/>
  <c r="C43" i="13"/>
  <c r="B42" i="13"/>
  <c r="C38" i="13"/>
  <c r="B37" i="13"/>
  <c r="AP21" i="20"/>
  <c r="C38" i="20"/>
  <c r="B37" i="20"/>
  <c r="B42" i="20"/>
  <c r="C43" i="20"/>
  <c r="E39" i="20"/>
  <c r="F39" i="20" s="1"/>
  <c r="E26" i="19"/>
  <c r="F26" i="19" s="1"/>
  <c r="E27" i="19"/>
  <c r="F27" i="19" s="1"/>
  <c r="E32" i="19"/>
  <c r="F32" i="19" s="1"/>
  <c r="E31" i="19"/>
  <c r="F31" i="19" s="1"/>
  <c r="E25" i="19"/>
  <c r="F25" i="19" s="1"/>
  <c r="G25" i="19" s="1"/>
  <c r="E30" i="19"/>
  <c r="F30" i="19" s="1"/>
  <c r="G30" i="19" s="1"/>
  <c r="E29" i="19"/>
  <c r="F29" i="19" s="1"/>
  <c r="E28" i="19"/>
  <c r="F28" i="19" s="1"/>
  <c r="M6" i="20"/>
  <c r="L42" i="20"/>
  <c r="AD21" i="20"/>
  <c r="L8" i="20"/>
  <c r="AE21" i="20"/>
  <c r="M19" i="20"/>
  <c r="J7" i="20"/>
  <c r="AN21" i="20"/>
  <c r="M9" i="20"/>
  <c r="AO21" i="20"/>
  <c r="M11" i="20"/>
  <c r="L7" i="20"/>
  <c r="U23" i="20"/>
  <c r="U19" i="20"/>
  <c r="U34" i="20"/>
  <c r="U22" i="20"/>
  <c r="U13" i="20"/>
  <c r="U6" i="20"/>
  <c r="U17" i="20"/>
  <c r="U8" i="20"/>
  <c r="U18" i="20"/>
  <c r="U47" i="20"/>
  <c r="U16" i="20"/>
  <c r="U14" i="20"/>
  <c r="U20" i="20"/>
  <c r="U21" i="20"/>
  <c r="U24" i="20"/>
  <c r="M81" i="20"/>
  <c r="M7" i="20"/>
  <c r="M204" i="20"/>
  <c r="M200" i="20"/>
  <c r="M196" i="20"/>
  <c r="L195" i="20"/>
  <c r="J193" i="20"/>
  <c r="M188" i="20"/>
  <c r="L187" i="20"/>
  <c r="J185" i="20"/>
  <c r="M180" i="20"/>
  <c r="L179" i="20"/>
  <c r="J177" i="20"/>
  <c r="M172" i="20"/>
  <c r="L171" i="20"/>
  <c r="J169" i="20"/>
  <c r="M164" i="20"/>
  <c r="L163" i="20"/>
  <c r="J161" i="20"/>
  <c r="M156" i="20"/>
  <c r="L155" i="20"/>
  <c r="J153" i="20"/>
  <c r="M148" i="20"/>
  <c r="L147" i="20"/>
  <c r="J145" i="20"/>
  <c r="M140" i="20"/>
  <c r="L139" i="20"/>
  <c r="J137" i="20"/>
  <c r="L204" i="20"/>
  <c r="J203" i="20"/>
  <c r="L200" i="20"/>
  <c r="J199" i="20"/>
  <c r="L196" i="20"/>
  <c r="J194" i="20"/>
  <c r="M189" i="20"/>
  <c r="L188" i="20"/>
  <c r="J186" i="20"/>
  <c r="M181" i="20"/>
  <c r="L180" i="20"/>
  <c r="J178" i="20"/>
  <c r="M173" i="20"/>
  <c r="L172" i="20"/>
  <c r="J170" i="20"/>
  <c r="M165" i="20"/>
  <c r="L164" i="20"/>
  <c r="J162" i="20"/>
  <c r="M157" i="20"/>
  <c r="L156" i="20"/>
  <c r="J154" i="20"/>
  <c r="M149" i="20"/>
  <c r="L148" i="20"/>
  <c r="M205" i="20"/>
  <c r="M201" i="20"/>
  <c r="M197" i="20"/>
  <c r="J195" i="20"/>
  <c r="M190" i="20"/>
  <c r="L189" i="20"/>
  <c r="J187" i="20"/>
  <c r="M182" i="20"/>
  <c r="L181" i="20"/>
  <c r="J179" i="20"/>
  <c r="M174" i="20"/>
  <c r="L173" i="20"/>
  <c r="J171" i="20"/>
  <c r="M166" i="20"/>
  <c r="L165" i="20"/>
  <c r="J163" i="20"/>
  <c r="M158" i="20"/>
  <c r="L157" i="20"/>
  <c r="J155" i="20"/>
  <c r="M150" i="20"/>
  <c r="L149" i="20"/>
  <c r="J147" i="20"/>
  <c r="M142" i="20"/>
  <c r="L141" i="20"/>
  <c r="J139" i="20"/>
  <c r="L205" i="20"/>
  <c r="J204" i="20"/>
  <c r="L201" i="20"/>
  <c r="J200" i="20"/>
  <c r="L197" i="20"/>
  <c r="J196" i="20"/>
  <c r="M191" i="20"/>
  <c r="L190" i="20"/>
  <c r="J188" i="20"/>
  <c r="M183" i="20"/>
  <c r="L182" i="20"/>
  <c r="J180" i="20"/>
  <c r="M175" i="20"/>
  <c r="L174" i="20"/>
  <c r="J172" i="20"/>
  <c r="M167" i="20"/>
  <c r="L166" i="20"/>
  <c r="J164" i="20"/>
  <c r="M159" i="20"/>
  <c r="L158" i="20"/>
  <c r="J156" i="20"/>
  <c r="M151" i="20"/>
  <c r="L150" i="20"/>
  <c r="J148" i="20"/>
  <c r="M143" i="20"/>
  <c r="L142" i="20"/>
  <c r="J140" i="20"/>
  <c r="M135" i="20"/>
  <c r="M202" i="20"/>
  <c r="M198" i="20"/>
  <c r="M192" i="20"/>
  <c r="L191" i="20"/>
  <c r="J189" i="20"/>
  <c r="M184" i="20"/>
  <c r="L183" i="20"/>
  <c r="J181" i="20"/>
  <c r="M176" i="20"/>
  <c r="L175" i="20"/>
  <c r="J173" i="20"/>
  <c r="M168" i="20"/>
  <c r="L167" i="20"/>
  <c r="J165" i="20"/>
  <c r="M160" i="20"/>
  <c r="L159" i="20"/>
  <c r="J157" i="20"/>
  <c r="M152" i="20"/>
  <c r="L151" i="20"/>
  <c r="J149" i="20"/>
  <c r="M144" i="20"/>
  <c r="L143" i="20"/>
  <c r="J141" i="20"/>
  <c r="M136" i="20"/>
  <c r="L135" i="20"/>
  <c r="J133" i="20"/>
  <c r="M129" i="20"/>
  <c r="M123" i="20"/>
  <c r="L121" i="20"/>
  <c r="M203" i="20"/>
  <c r="M199" i="20"/>
  <c r="M194" i="20"/>
  <c r="L193" i="20"/>
  <c r="J191" i="20"/>
  <c r="M186" i="20"/>
  <c r="L185" i="20"/>
  <c r="J183" i="20"/>
  <c r="M178" i="20"/>
  <c r="L177" i="20"/>
  <c r="J175" i="20"/>
  <c r="M170" i="20"/>
  <c r="L169" i="20"/>
  <c r="J167" i="20"/>
  <c r="M162" i="20"/>
  <c r="L161" i="20"/>
  <c r="J159" i="20"/>
  <c r="M154" i="20"/>
  <c r="L153" i="20"/>
  <c r="J151" i="20"/>
  <c r="M146" i="20"/>
  <c r="L145" i="20"/>
  <c r="J143" i="20"/>
  <c r="M138" i="20"/>
  <c r="L137" i="20"/>
  <c r="J135" i="20"/>
  <c r="M130" i="20"/>
  <c r="M124" i="20"/>
  <c r="L194" i="20"/>
  <c r="L186" i="20"/>
  <c r="L178" i="20"/>
  <c r="L170" i="20"/>
  <c r="L162" i="20"/>
  <c r="L154" i="20"/>
  <c r="M147" i="20"/>
  <c r="J144" i="20"/>
  <c r="M139" i="20"/>
  <c r="L136" i="20"/>
  <c r="J134" i="20"/>
  <c r="L132" i="20"/>
  <c r="J131" i="20"/>
  <c r="J129" i="20"/>
  <c r="J124" i="20"/>
  <c r="M122" i="20"/>
  <c r="J121" i="20"/>
  <c r="L118" i="20"/>
  <c r="L117" i="20"/>
  <c r="J116" i="20"/>
  <c r="L110" i="20"/>
  <c r="J109" i="20"/>
  <c r="M105" i="20"/>
  <c r="M101" i="20"/>
  <c r="M97" i="20"/>
  <c r="M92" i="20"/>
  <c r="M193" i="20"/>
  <c r="M185" i="20"/>
  <c r="M177" i="20"/>
  <c r="M169" i="20"/>
  <c r="M161" i="20"/>
  <c r="M153" i="20"/>
  <c r="J136" i="20"/>
  <c r="J127" i="20"/>
  <c r="M125" i="20"/>
  <c r="L122" i="20"/>
  <c r="M119" i="20"/>
  <c r="M114" i="20"/>
  <c r="M111" i="20"/>
  <c r="L105" i="20"/>
  <c r="J104" i="20"/>
  <c r="L101" i="20"/>
  <c r="J100" i="20"/>
  <c r="L97" i="20"/>
  <c r="J96" i="20"/>
  <c r="L92" i="20"/>
  <c r="M133" i="20"/>
  <c r="J132" i="20"/>
  <c r="M128" i="20"/>
  <c r="L125" i="20"/>
  <c r="L123" i="20"/>
  <c r="L119" i="20"/>
  <c r="J118" i="20"/>
  <c r="J117" i="20"/>
  <c r="L114" i="20"/>
  <c r="M113" i="20"/>
  <c r="L111" i="20"/>
  <c r="J110" i="20"/>
  <c r="M107" i="20"/>
  <c r="M106" i="20"/>
  <c r="M102" i="20"/>
  <c r="M98" i="20"/>
  <c r="M94" i="20"/>
  <c r="L192" i="20"/>
  <c r="L184" i="20"/>
  <c r="L176" i="20"/>
  <c r="L168" i="20"/>
  <c r="L160" i="20"/>
  <c r="L152" i="20"/>
  <c r="L146" i="20"/>
  <c r="L138" i="20"/>
  <c r="L133" i="20"/>
  <c r="L130" i="20"/>
  <c r="L128" i="20"/>
  <c r="J123" i="20"/>
  <c r="J122" i="20"/>
  <c r="M120" i="20"/>
  <c r="M115" i="20"/>
  <c r="L113" i="20"/>
  <c r="M112" i="20"/>
  <c r="M108" i="20"/>
  <c r="L107" i="20"/>
  <c r="L106" i="20"/>
  <c r="J105" i="20"/>
  <c r="L102" i="20"/>
  <c r="J101" i="20"/>
  <c r="L98" i="20"/>
  <c r="J97" i="20"/>
  <c r="L94" i="20"/>
  <c r="M91" i="20"/>
  <c r="J192" i="20"/>
  <c r="J184" i="20"/>
  <c r="J176" i="20"/>
  <c r="J168" i="20"/>
  <c r="J160" i="20"/>
  <c r="J152" i="20"/>
  <c r="J146" i="20"/>
  <c r="J142" i="20"/>
  <c r="J138" i="20"/>
  <c r="J128" i="20"/>
  <c r="J125" i="20"/>
  <c r="L120" i="20"/>
  <c r="J119" i="20"/>
  <c r="L115" i="20"/>
  <c r="J114" i="20"/>
  <c r="L112" i="20"/>
  <c r="J111" i="20"/>
  <c r="L108" i="20"/>
  <c r="M103" i="20"/>
  <c r="M99" i="20"/>
  <c r="M95" i="20"/>
  <c r="L91" i="20"/>
  <c r="M145" i="20"/>
  <c r="M141" i="20"/>
  <c r="M137" i="20"/>
  <c r="M131" i="20"/>
  <c r="J130" i="20"/>
  <c r="M126" i="20"/>
  <c r="M116" i="20"/>
  <c r="J113" i="20"/>
  <c r="M109" i="20"/>
  <c r="J107" i="20"/>
  <c r="J106" i="20"/>
  <c r="L103" i="20"/>
  <c r="J102" i="20"/>
  <c r="L99" i="20"/>
  <c r="J98" i="20"/>
  <c r="L95" i="20"/>
  <c r="M93" i="20"/>
  <c r="L203" i="20"/>
  <c r="L202" i="20"/>
  <c r="L199" i="20"/>
  <c r="L198" i="20"/>
  <c r="J190" i="20"/>
  <c r="J182" i="20"/>
  <c r="J174" i="20"/>
  <c r="J166" i="20"/>
  <c r="J158" i="20"/>
  <c r="J150" i="20"/>
  <c r="L140" i="20"/>
  <c r="M134" i="20"/>
  <c r="L131" i="20"/>
  <c r="M127" i="20"/>
  <c r="L126" i="20"/>
  <c r="L124" i="20"/>
  <c r="M121" i="20"/>
  <c r="J120" i="20"/>
  <c r="L116" i="20"/>
  <c r="J115" i="20"/>
  <c r="J112" i="20"/>
  <c r="L109" i="20"/>
  <c r="J108" i="20"/>
  <c r="M104" i="20"/>
  <c r="M100" i="20"/>
  <c r="M96" i="20"/>
  <c r="L93" i="20"/>
  <c r="J201" i="20"/>
  <c r="M195" i="20"/>
  <c r="M163" i="20"/>
  <c r="M87" i="20"/>
  <c r="L82" i="20"/>
  <c r="M80" i="20"/>
  <c r="M76" i="20"/>
  <c r="J197" i="20"/>
  <c r="M187" i="20"/>
  <c r="M155" i="20"/>
  <c r="L144" i="20"/>
  <c r="L127" i="20"/>
  <c r="M89" i="20"/>
  <c r="L84" i="20"/>
  <c r="J198" i="20"/>
  <c r="M90" i="20"/>
  <c r="L89" i="20"/>
  <c r="M86" i="20"/>
  <c r="L81" i="20"/>
  <c r="L77" i="20"/>
  <c r="L73" i="20"/>
  <c r="L69" i="20"/>
  <c r="L65" i="20"/>
  <c r="M179" i="20"/>
  <c r="L134" i="20"/>
  <c r="M132" i="20"/>
  <c r="L90" i="20"/>
  <c r="L86" i="20"/>
  <c r="M83" i="20"/>
  <c r="M78" i="20"/>
  <c r="M74" i="20"/>
  <c r="M70" i="20"/>
  <c r="M66" i="20"/>
  <c r="L129" i="20"/>
  <c r="M117" i="20"/>
  <c r="J205" i="20"/>
  <c r="M171" i="20"/>
  <c r="M118" i="20"/>
  <c r="M110" i="20"/>
  <c r="L88" i="20"/>
  <c r="M85" i="20"/>
  <c r="M79" i="20"/>
  <c r="M75" i="20"/>
  <c r="M71" i="20"/>
  <c r="M67" i="20"/>
  <c r="J202" i="20"/>
  <c r="L74" i="20"/>
  <c r="L71" i="20"/>
  <c r="L67" i="20"/>
  <c r="J103" i="20"/>
  <c r="L96" i="20"/>
  <c r="L104" i="20"/>
  <c r="L85" i="20"/>
  <c r="M82" i="20"/>
  <c r="L87" i="20"/>
  <c r="L78" i="20"/>
  <c r="L72" i="20"/>
  <c r="L68" i="20"/>
  <c r="L64" i="20"/>
  <c r="L61" i="20"/>
  <c r="L57" i="20"/>
  <c r="L53" i="20"/>
  <c r="M51" i="20"/>
  <c r="L49" i="20"/>
  <c r="L83" i="20"/>
  <c r="L80" i="20"/>
  <c r="L75" i="20"/>
  <c r="M62" i="20"/>
  <c r="M58" i="20"/>
  <c r="M54" i="20"/>
  <c r="L51" i="20"/>
  <c r="L100" i="20"/>
  <c r="J99" i="20"/>
  <c r="M73" i="20"/>
  <c r="M69" i="20"/>
  <c r="M65" i="20"/>
  <c r="L62" i="20"/>
  <c r="M88" i="20"/>
  <c r="M77" i="20"/>
  <c r="M63" i="20"/>
  <c r="M59" i="20"/>
  <c r="M55" i="20"/>
  <c r="M48" i="20"/>
  <c r="M84" i="20"/>
  <c r="L76" i="20"/>
  <c r="L70" i="20"/>
  <c r="L60" i="20"/>
  <c r="L56" i="20"/>
  <c r="L52" i="20"/>
  <c r="M46" i="20"/>
  <c r="L44" i="20"/>
  <c r="M39" i="20"/>
  <c r="L37" i="20"/>
  <c r="M35" i="20"/>
  <c r="L79" i="20"/>
  <c r="L46" i="20"/>
  <c r="M41" i="20"/>
  <c r="L39" i="20"/>
  <c r="L35" i="20"/>
  <c r="M32" i="20"/>
  <c r="M29" i="20"/>
  <c r="J126" i="20"/>
  <c r="M57" i="20"/>
  <c r="M53" i="20"/>
  <c r="M50" i="20"/>
  <c r="M64" i="20"/>
  <c r="L63" i="20"/>
  <c r="L50" i="20"/>
  <c r="M45" i="20"/>
  <c r="L43" i="20"/>
  <c r="M36" i="20"/>
  <c r="M33" i="20"/>
  <c r="M68" i="20"/>
  <c r="L58" i="20"/>
  <c r="L54" i="20"/>
  <c r="M49" i="20"/>
  <c r="M47" i="20"/>
  <c r="L45" i="20"/>
  <c r="M38" i="20"/>
  <c r="L36" i="20"/>
  <c r="L33" i="20"/>
  <c r="M30" i="20"/>
  <c r="M27" i="20"/>
  <c r="L66" i="20"/>
  <c r="M42" i="20"/>
  <c r="M31" i="20"/>
  <c r="M28" i="20"/>
  <c r="L27" i="20"/>
  <c r="L19" i="20"/>
  <c r="M18" i="20"/>
  <c r="M72" i="20"/>
  <c r="L47" i="20"/>
  <c r="L32" i="20"/>
  <c r="M25" i="20"/>
  <c r="M56" i="20"/>
  <c r="L48" i="20"/>
  <c r="L38" i="20"/>
  <c r="L25" i="20"/>
  <c r="L12" i="20"/>
  <c r="L11" i="20"/>
  <c r="M10" i="20"/>
  <c r="M34" i="20"/>
  <c r="M61" i="20"/>
  <c r="L59" i="20"/>
  <c r="M52" i="20"/>
  <c r="M44" i="20"/>
  <c r="L34" i="20"/>
  <c r="M26" i="20"/>
  <c r="L9" i="20"/>
  <c r="M5" i="20"/>
  <c r="O5" i="20" s="1"/>
  <c r="M40" i="20"/>
  <c r="L26" i="20"/>
  <c r="M24" i="20"/>
  <c r="M23" i="20"/>
  <c r="M22" i="20"/>
  <c r="M21" i="20"/>
  <c r="M20" i="20"/>
  <c r="M8" i="20"/>
  <c r="V12" i="20"/>
  <c r="L13" i="20"/>
  <c r="L17" i="20"/>
  <c r="L18" i="20"/>
  <c r="V44" i="20"/>
  <c r="M13" i="20"/>
  <c r="L15" i="20"/>
  <c r="M17" i="20"/>
  <c r="E48" i="20"/>
  <c r="F48" i="20" s="1"/>
  <c r="E52" i="20"/>
  <c r="F52" i="20" s="1"/>
  <c r="E50" i="20"/>
  <c r="F50" i="20" s="1"/>
  <c r="E46" i="20"/>
  <c r="F46" i="20" s="1"/>
  <c r="E43" i="20"/>
  <c r="F43" i="20" s="1"/>
  <c r="E45" i="20"/>
  <c r="F45" i="20" s="1"/>
  <c r="E36" i="20"/>
  <c r="F36" i="20" s="1"/>
  <c r="E33" i="20"/>
  <c r="F33" i="20" s="1"/>
  <c r="E47" i="20"/>
  <c r="F47" i="20" s="1"/>
  <c r="E40" i="20"/>
  <c r="F40" i="20" s="1"/>
  <c r="E51" i="20"/>
  <c r="E42" i="20"/>
  <c r="F42" i="20" s="1"/>
  <c r="E34" i="20"/>
  <c r="F34" i="20" s="1"/>
  <c r="E31" i="20"/>
  <c r="F31" i="20" s="1"/>
  <c r="E25" i="20"/>
  <c r="F25" i="20" s="1"/>
  <c r="G25" i="20" s="1"/>
  <c r="E41" i="20"/>
  <c r="F41" i="20" s="1"/>
  <c r="E37" i="20"/>
  <c r="F37" i="20" s="1"/>
  <c r="E28" i="20"/>
  <c r="F28" i="20" s="1"/>
  <c r="E26" i="20"/>
  <c r="F26" i="20" s="1"/>
  <c r="E35" i="20"/>
  <c r="F35" i="20" s="1"/>
  <c r="E29" i="20"/>
  <c r="F29" i="20" s="1"/>
  <c r="E32" i="20"/>
  <c r="F32" i="20" s="1"/>
  <c r="E30" i="20"/>
  <c r="F30" i="20" s="1"/>
  <c r="E27" i="20"/>
  <c r="F27" i="20" s="1"/>
  <c r="E49" i="20"/>
  <c r="F49" i="20" s="1"/>
  <c r="E38" i="20"/>
  <c r="F38" i="20" s="1"/>
  <c r="L30" i="20"/>
  <c r="L31" i="20"/>
  <c r="L41" i="20"/>
  <c r="L10" i="20"/>
  <c r="V5" i="20"/>
  <c r="X5" i="20" s="1"/>
  <c r="V9" i="20"/>
  <c r="V14" i="20"/>
  <c r="M15" i="20"/>
  <c r="V19" i="20"/>
  <c r="L22" i="20"/>
  <c r="L29" i="20"/>
  <c r="M43" i="20"/>
  <c r="L20" i="20"/>
  <c r="L55" i="20"/>
  <c r="V92" i="20"/>
  <c r="V94" i="20"/>
  <c r="V91" i="20"/>
  <c r="V95" i="20"/>
  <c r="V93" i="20"/>
  <c r="V90" i="20"/>
  <c r="V87" i="20"/>
  <c r="V80" i="20"/>
  <c r="V76" i="20"/>
  <c r="V89" i="20"/>
  <c r="V86" i="20"/>
  <c r="V83" i="20"/>
  <c r="V78" i="20"/>
  <c r="V74" i="20"/>
  <c r="V70" i="20"/>
  <c r="V66" i="20"/>
  <c r="V85" i="20"/>
  <c r="V79" i="20"/>
  <c r="V75" i="20"/>
  <c r="V71" i="20"/>
  <c r="V67" i="20"/>
  <c r="V73" i="20"/>
  <c r="V69" i="20"/>
  <c r="V65" i="20"/>
  <c r="V88" i="20"/>
  <c r="V84" i="20"/>
  <c r="V51" i="20"/>
  <c r="V62" i="20"/>
  <c r="V58" i="20"/>
  <c r="V54" i="20"/>
  <c r="V82" i="20"/>
  <c r="V81" i="20"/>
  <c r="V72" i="20"/>
  <c r="V68" i="20"/>
  <c r="V64" i="20"/>
  <c r="V63" i="20"/>
  <c r="V59" i="20"/>
  <c r="V55" i="20"/>
  <c r="V48" i="20"/>
  <c r="V46" i="20"/>
  <c r="V39" i="20"/>
  <c r="V35" i="20"/>
  <c r="V77" i="20"/>
  <c r="V41" i="20"/>
  <c r="V32" i="20"/>
  <c r="V29" i="20"/>
  <c r="V61" i="20"/>
  <c r="V60" i="20"/>
  <c r="V56" i="20"/>
  <c r="V52" i="20"/>
  <c r="V45" i="20"/>
  <c r="V36" i="20"/>
  <c r="V33" i="20"/>
  <c r="V50" i="20"/>
  <c r="V47" i="20"/>
  <c r="V38" i="20"/>
  <c r="V30" i="20"/>
  <c r="V27" i="20"/>
  <c r="V34" i="20"/>
  <c r="V18" i="20"/>
  <c r="V25" i="20"/>
  <c r="V49" i="20"/>
  <c r="V31" i="20"/>
  <c r="V28" i="20"/>
  <c r="V10" i="20"/>
  <c r="V57" i="20"/>
  <c r="V43" i="20"/>
  <c r="V42" i="20"/>
  <c r="V37" i="20"/>
  <c r="V26" i="20"/>
  <c r="V53" i="20"/>
  <c r="V24" i="20"/>
  <c r="V23" i="20"/>
  <c r="V22" i="20"/>
  <c r="V21" i="20"/>
  <c r="V20" i="20"/>
  <c r="V8" i="20"/>
  <c r="M12" i="20"/>
  <c r="L23" i="20"/>
  <c r="L28" i="20"/>
  <c r="L40" i="20"/>
  <c r="V11" i="20"/>
  <c r="L14" i="20"/>
  <c r="L24" i="20"/>
  <c r="H82" i="20"/>
  <c r="AL21" i="20"/>
  <c r="AB21" i="20"/>
  <c r="M37" i="20"/>
  <c r="M60" i="20"/>
  <c r="M14" i="20"/>
  <c r="L16" i="20"/>
  <c r="V17" i="20"/>
  <c r="L21" i="20"/>
  <c r="V40" i="20"/>
  <c r="U92" i="20"/>
  <c r="U94" i="20"/>
  <c r="U91" i="20"/>
  <c r="U95" i="20"/>
  <c r="U93" i="20"/>
  <c r="U90" i="20"/>
  <c r="U82" i="20"/>
  <c r="U84" i="20"/>
  <c r="U89" i="20"/>
  <c r="U81" i="20"/>
  <c r="U77" i="20"/>
  <c r="U73" i="20"/>
  <c r="U69" i="20"/>
  <c r="U65" i="20"/>
  <c r="U86" i="20"/>
  <c r="U88" i="20"/>
  <c r="U87" i="20"/>
  <c r="U80" i="20"/>
  <c r="U75" i="20"/>
  <c r="U79" i="20"/>
  <c r="U74" i="20"/>
  <c r="U71" i="20"/>
  <c r="U67" i="20"/>
  <c r="U61" i="20"/>
  <c r="U57" i="20"/>
  <c r="U53" i="20"/>
  <c r="U49" i="20"/>
  <c r="U51" i="20"/>
  <c r="U76" i="20"/>
  <c r="U62" i="20"/>
  <c r="U78" i="20"/>
  <c r="U72" i="20"/>
  <c r="U68" i="20"/>
  <c r="U64" i="20"/>
  <c r="U58" i="20"/>
  <c r="U54" i="20"/>
  <c r="U59" i="20"/>
  <c r="U55" i="20"/>
  <c r="U48" i="20"/>
  <c r="U44" i="20"/>
  <c r="U37" i="20"/>
  <c r="U83" i="20"/>
  <c r="U46" i="20"/>
  <c r="U39" i="20"/>
  <c r="U35" i="20"/>
  <c r="U60" i="20"/>
  <c r="U56" i="20"/>
  <c r="U52" i="20"/>
  <c r="U43" i="20"/>
  <c r="U66" i="20"/>
  <c r="U45" i="20"/>
  <c r="U36" i="20"/>
  <c r="U33" i="20"/>
  <c r="U26" i="20"/>
  <c r="H83" i="20"/>
  <c r="U38" i="20"/>
  <c r="U9" i="20"/>
  <c r="U32" i="20"/>
  <c r="U42" i="20"/>
  <c r="U50" i="20"/>
  <c r="U63" i="20"/>
  <c r="U70" i="20"/>
  <c r="U28" i="20"/>
  <c r="U29" i="20"/>
  <c r="C85" i="20"/>
  <c r="H85" i="20" s="1"/>
  <c r="U31" i="20"/>
  <c r="C88" i="20"/>
  <c r="H88" i="20" s="1"/>
  <c r="U11" i="20"/>
  <c r="U12" i="20"/>
  <c r="S193" i="20"/>
  <c r="S185" i="20"/>
  <c r="S177" i="20"/>
  <c r="S169" i="20"/>
  <c r="S161" i="20"/>
  <c r="S153" i="20"/>
  <c r="S145" i="20"/>
  <c r="S137" i="20"/>
  <c r="S203" i="20"/>
  <c r="S199" i="20"/>
  <c r="S194" i="20"/>
  <c r="S186" i="20"/>
  <c r="S178" i="20"/>
  <c r="S170" i="20"/>
  <c r="S162" i="20"/>
  <c r="S154" i="20"/>
  <c r="S195" i="20"/>
  <c r="S187" i="20"/>
  <c r="S179" i="20"/>
  <c r="S171" i="20"/>
  <c r="S163" i="20"/>
  <c r="S155" i="20"/>
  <c r="S147" i="20"/>
  <c r="S139" i="20"/>
  <c r="S204" i="20"/>
  <c r="S200" i="20"/>
  <c r="S196" i="20"/>
  <c r="S188" i="20"/>
  <c r="S180" i="20"/>
  <c r="S172" i="20"/>
  <c r="S164" i="20"/>
  <c r="S156" i="20"/>
  <c r="S148" i="20"/>
  <c r="S140" i="20"/>
  <c r="S189" i="20"/>
  <c r="S181" i="20"/>
  <c r="S173" i="20"/>
  <c r="S165" i="20"/>
  <c r="S157" i="20"/>
  <c r="S149" i="20"/>
  <c r="S141" i="20"/>
  <c r="S133" i="20"/>
  <c r="S191" i="20"/>
  <c r="S183" i="20"/>
  <c r="S175" i="20"/>
  <c r="S167" i="20"/>
  <c r="S159" i="20"/>
  <c r="S151" i="20"/>
  <c r="S143" i="20"/>
  <c r="S135" i="20"/>
  <c r="S142" i="20"/>
  <c r="S131" i="20"/>
  <c r="S126" i="20"/>
  <c r="S116" i="20"/>
  <c r="S109" i="20"/>
  <c r="S121" i="20"/>
  <c r="S104" i="20"/>
  <c r="S100" i="20"/>
  <c r="S96" i="20"/>
  <c r="S202" i="20"/>
  <c r="S198" i="20"/>
  <c r="S190" i="20"/>
  <c r="S182" i="20"/>
  <c r="S174" i="20"/>
  <c r="S166" i="20"/>
  <c r="S158" i="20"/>
  <c r="S150" i="20"/>
  <c r="S134" i="20"/>
  <c r="S129" i="20"/>
  <c r="S127" i="20"/>
  <c r="S124" i="20"/>
  <c r="S118" i="20"/>
  <c r="S117" i="20"/>
  <c r="S110" i="20"/>
  <c r="S205" i="20"/>
  <c r="S201" i="20"/>
  <c r="S197" i="20"/>
  <c r="S144" i="20"/>
  <c r="S136" i="20"/>
  <c r="S132" i="20"/>
  <c r="S122" i="20"/>
  <c r="S105" i="20"/>
  <c r="S101" i="20"/>
  <c r="S97" i="20"/>
  <c r="S119" i="20"/>
  <c r="S114" i="20"/>
  <c r="S111" i="20"/>
  <c r="S128" i="20"/>
  <c r="S125" i="20"/>
  <c r="S123" i="20"/>
  <c r="S113" i="20"/>
  <c r="S107" i="20"/>
  <c r="S106" i="20"/>
  <c r="S102" i="20"/>
  <c r="S98" i="20"/>
  <c r="S120" i="20"/>
  <c r="S115" i="20"/>
  <c r="S112" i="20"/>
  <c r="S108" i="20"/>
  <c r="S146" i="20"/>
  <c r="S138" i="20"/>
  <c r="S130" i="20"/>
  <c r="S192" i="20"/>
  <c r="S160" i="20"/>
  <c r="S184" i="20"/>
  <c r="S152" i="20"/>
  <c r="S103" i="20"/>
  <c r="S99" i="20"/>
  <c r="S176" i="20"/>
  <c r="S168" i="20"/>
  <c r="U25" i="20"/>
  <c r="U30" i="20"/>
  <c r="F51" i="20"/>
  <c r="U27" i="20"/>
  <c r="U40" i="20"/>
  <c r="U41" i="20"/>
  <c r="U85" i="20"/>
  <c r="B94" i="21"/>
  <c r="B90" i="21"/>
  <c r="B89" i="21"/>
  <c r="B88" i="21"/>
  <c r="B87" i="21"/>
  <c r="B86" i="21"/>
  <c r="B85" i="21"/>
  <c r="B84" i="21"/>
  <c r="B83" i="21"/>
  <c r="B82" i="21"/>
  <c r="G39" i="19" l="1"/>
  <c r="G40" i="19"/>
  <c r="G33" i="19"/>
  <c r="G38" i="19"/>
  <c r="O6" i="20"/>
  <c r="G36" i="19"/>
  <c r="B42" i="26"/>
  <c r="C43" i="26"/>
  <c r="B39" i="26"/>
  <c r="C40" i="26"/>
  <c r="B43" i="21"/>
  <c r="C44" i="21"/>
  <c r="C43" i="21"/>
  <c r="B42" i="21"/>
  <c r="G31" i="19"/>
  <c r="G32" i="19"/>
  <c r="B39" i="19"/>
  <c r="C40" i="19"/>
  <c r="B42" i="19"/>
  <c r="C43" i="19"/>
  <c r="C40" i="18"/>
  <c r="B39" i="18"/>
  <c r="C41" i="18"/>
  <c r="B40" i="18"/>
  <c r="C40" i="13"/>
  <c r="B39" i="13"/>
  <c r="B44" i="13"/>
  <c r="C45" i="13"/>
  <c r="B44" i="20"/>
  <c r="C45" i="20"/>
  <c r="C40" i="20"/>
  <c r="B39" i="20"/>
  <c r="G26" i="20"/>
  <c r="G28" i="19"/>
  <c r="G26" i="19"/>
  <c r="G29" i="19"/>
  <c r="G27" i="19"/>
  <c r="J8" i="20"/>
  <c r="K7" i="20"/>
  <c r="O7" i="20" s="1"/>
  <c r="T135" i="20"/>
  <c r="X135" i="20" s="1"/>
  <c r="AT21" i="20"/>
  <c r="AS21" i="20"/>
  <c r="AR21" i="20"/>
  <c r="AQ21" i="20"/>
  <c r="K182" i="20"/>
  <c r="O182" i="20" s="1"/>
  <c r="K113" i="20"/>
  <c r="O113" i="20" s="1"/>
  <c r="K152" i="20"/>
  <c r="O152" i="20" s="1"/>
  <c r="K127" i="20"/>
  <c r="O127" i="20" s="1"/>
  <c r="K134" i="20"/>
  <c r="O134" i="20" s="1"/>
  <c r="K143" i="20"/>
  <c r="O143" i="20" s="1"/>
  <c r="K149" i="20"/>
  <c r="O149" i="20" s="1"/>
  <c r="K148" i="20"/>
  <c r="O148" i="20" s="1"/>
  <c r="K139" i="20"/>
  <c r="O139" i="20" s="1"/>
  <c r="T168" i="20"/>
  <c r="X168" i="20" s="1"/>
  <c r="T103" i="20"/>
  <c r="X103" i="20" s="1"/>
  <c r="T146" i="20"/>
  <c r="X146" i="20" s="1"/>
  <c r="T102" i="20"/>
  <c r="X102" i="20" s="1"/>
  <c r="T114" i="20"/>
  <c r="X114" i="20" s="1"/>
  <c r="T136" i="20"/>
  <c r="X136" i="20" s="1"/>
  <c r="T124" i="20"/>
  <c r="X124" i="20" s="1"/>
  <c r="T182" i="20"/>
  <c r="X182" i="20" s="1"/>
  <c r="T121" i="20"/>
  <c r="X121" i="20" s="1"/>
  <c r="T143" i="20"/>
  <c r="X143" i="20" s="1"/>
  <c r="T141" i="20"/>
  <c r="X141" i="20" s="1"/>
  <c r="T148" i="20"/>
  <c r="X148" i="20" s="1"/>
  <c r="T204" i="20"/>
  <c r="X204" i="20" s="1"/>
  <c r="T195" i="20"/>
  <c r="X195" i="20" s="1"/>
  <c r="T203" i="20"/>
  <c r="X203" i="20" s="1"/>
  <c r="T193" i="20"/>
  <c r="X193" i="20" s="1"/>
  <c r="G27" i="20"/>
  <c r="K198" i="20"/>
  <c r="O198" i="20" s="1"/>
  <c r="K197" i="20"/>
  <c r="O197" i="20" s="1"/>
  <c r="K201" i="20"/>
  <c r="O201" i="20" s="1"/>
  <c r="K112" i="20"/>
  <c r="O112" i="20" s="1"/>
  <c r="K190" i="20"/>
  <c r="O190" i="20" s="1"/>
  <c r="K98" i="20"/>
  <c r="O98" i="20" s="1"/>
  <c r="K119" i="20"/>
  <c r="O119" i="20" s="1"/>
  <c r="K160" i="20"/>
  <c r="O160" i="20" s="1"/>
  <c r="K97" i="20"/>
  <c r="O97" i="20" s="1"/>
  <c r="K132" i="20"/>
  <c r="O132" i="20" s="1"/>
  <c r="K104" i="20"/>
  <c r="O104" i="20" s="1"/>
  <c r="K136" i="20"/>
  <c r="O136" i="20" s="1"/>
  <c r="K167" i="20"/>
  <c r="O167" i="20" s="1"/>
  <c r="K173" i="20"/>
  <c r="O173" i="20" s="1"/>
  <c r="K172" i="20"/>
  <c r="O172" i="20" s="1"/>
  <c r="K163" i="20"/>
  <c r="O163" i="20" s="1"/>
  <c r="K170" i="20"/>
  <c r="O170" i="20" s="1"/>
  <c r="K161" i="20"/>
  <c r="O161" i="20" s="1"/>
  <c r="T111" i="20"/>
  <c r="X111" i="20" s="1"/>
  <c r="T140" i="20"/>
  <c r="X140" i="20" s="1"/>
  <c r="B84" i="20"/>
  <c r="T152" i="20"/>
  <c r="X152" i="20" s="1"/>
  <c r="T106" i="20"/>
  <c r="X106" i="20" s="1"/>
  <c r="T127" i="20"/>
  <c r="X127" i="20" s="1"/>
  <c r="T151" i="20"/>
  <c r="X151" i="20" s="1"/>
  <c r="T139" i="20"/>
  <c r="X139" i="20" s="1"/>
  <c r="K126" i="20"/>
  <c r="O126" i="20" s="1"/>
  <c r="K202" i="20"/>
  <c r="O202" i="20" s="1"/>
  <c r="K115" i="20"/>
  <c r="O115" i="20" s="1"/>
  <c r="K168" i="20"/>
  <c r="O168" i="20" s="1"/>
  <c r="K121" i="20"/>
  <c r="O121" i="20" s="1"/>
  <c r="K191" i="20"/>
  <c r="O191" i="20" s="1"/>
  <c r="K133" i="20"/>
  <c r="O133" i="20" s="1"/>
  <c r="K196" i="20"/>
  <c r="O196" i="20" s="1"/>
  <c r="K187" i="20"/>
  <c r="O187" i="20" s="1"/>
  <c r="K194" i="20"/>
  <c r="O194" i="20" s="1"/>
  <c r="K185" i="20"/>
  <c r="O185" i="20" s="1"/>
  <c r="T104" i="20"/>
  <c r="X104" i="20" s="1"/>
  <c r="T185" i="20"/>
  <c r="X185" i="20" s="1"/>
  <c r="K137" i="20"/>
  <c r="O137" i="20" s="1"/>
  <c r="T119" i="20"/>
  <c r="X119" i="20" s="1"/>
  <c r="T144" i="20"/>
  <c r="X144" i="20" s="1"/>
  <c r="T190" i="20"/>
  <c r="X190" i="20" s="1"/>
  <c r="T149" i="20"/>
  <c r="X149" i="20" s="1"/>
  <c r="T156" i="20"/>
  <c r="X156" i="20" s="1"/>
  <c r="T137" i="20"/>
  <c r="X137" i="20" s="1"/>
  <c r="T184" i="20"/>
  <c r="X184" i="20" s="1"/>
  <c r="T108" i="20"/>
  <c r="X108" i="20" s="1"/>
  <c r="T107" i="20"/>
  <c r="X107" i="20" s="1"/>
  <c r="T197" i="20"/>
  <c r="X197" i="20" s="1"/>
  <c r="T129" i="20"/>
  <c r="X129" i="20" s="1"/>
  <c r="T198" i="20"/>
  <c r="X198" i="20" s="1"/>
  <c r="T109" i="20"/>
  <c r="X109" i="20" s="1"/>
  <c r="T159" i="20"/>
  <c r="X159" i="20" s="1"/>
  <c r="T157" i="20"/>
  <c r="X157" i="20" s="1"/>
  <c r="T164" i="20"/>
  <c r="X164" i="20" s="1"/>
  <c r="T147" i="20"/>
  <c r="X147" i="20" s="1"/>
  <c r="T162" i="20"/>
  <c r="X162" i="20" s="1"/>
  <c r="T145" i="20"/>
  <c r="X145" i="20" s="1"/>
  <c r="G29" i="20"/>
  <c r="K103" i="20"/>
  <c r="O103" i="20" s="1"/>
  <c r="K102" i="20"/>
  <c r="O102" i="20" s="1"/>
  <c r="K130" i="20"/>
  <c r="O130" i="20" s="1"/>
  <c r="K125" i="20"/>
  <c r="O125" i="20" s="1"/>
  <c r="K176" i="20"/>
  <c r="O176" i="20" s="1"/>
  <c r="K101" i="20"/>
  <c r="O101" i="20" s="1"/>
  <c r="K117" i="20"/>
  <c r="O117" i="20" s="1"/>
  <c r="K144" i="20"/>
  <c r="O144" i="20" s="1"/>
  <c r="K151" i="20"/>
  <c r="O151" i="20" s="1"/>
  <c r="K157" i="20"/>
  <c r="O157" i="20" s="1"/>
  <c r="K156" i="20"/>
  <c r="O156" i="20" s="1"/>
  <c r="K147" i="20"/>
  <c r="O147" i="20" s="1"/>
  <c r="K154" i="20"/>
  <c r="O154" i="20" s="1"/>
  <c r="K145" i="20"/>
  <c r="O145" i="20" s="1"/>
  <c r="T98" i="20"/>
  <c r="X98" i="20" s="1"/>
  <c r="T187" i="20"/>
  <c r="X187" i="20" s="1"/>
  <c r="T176" i="20"/>
  <c r="X176" i="20" s="1"/>
  <c r="T154" i="20"/>
  <c r="X154" i="20" s="1"/>
  <c r="T99" i="20"/>
  <c r="X99" i="20" s="1"/>
  <c r="T160" i="20"/>
  <c r="X160" i="20" s="1"/>
  <c r="T112" i="20"/>
  <c r="X112" i="20" s="1"/>
  <c r="T113" i="20"/>
  <c r="X113" i="20" s="1"/>
  <c r="T97" i="20"/>
  <c r="X97" i="20" s="1"/>
  <c r="T201" i="20"/>
  <c r="X201" i="20" s="1"/>
  <c r="T134" i="20"/>
  <c r="X134" i="20" s="1"/>
  <c r="T202" i="20"/>
  <c r="X202" i="20" s="1"/>
  <c r="T116" i="20"/>
  <c r="X116" i="20" s="1"/>
  <c r="T167" i="20"/>
  <c r="X167" i="20" s="1"/>
  <c r="T165" i="20"/>
  <c r="X165" i="20" s="1"/>
  <c r="T172" i="20"/>
  <c r="X172" i="20" s="1"/>
  <c r="T155" i="20"/>
  <c r="X155" i="20" s="1"/>
  <c r="T170" i="20"/>
  <c r="X170" i="20" s="1"/>
  <c r="T153" i="20"/>
  <c r="X153" i="20" s="1"/>
  <c r="K99" i="20"/>
  <c r="O99" i="20" s="1"/>
  <c r="K120" i="20"/>
  <c r="O120" i="20" s="1"/>
  <c r="K150" i="20"/>
  <c r="O150" i="20" s="1"/>
  <c r="K128" i="20"/>
  <c r="O128" i="20" s="1"/>
  <c r="K184" i="20"/>
  <c r="O184" i="20" s="1"/>
  <c r="K118" i="20"/>
  <c r="O118" i="20" s="1"/>
  <c r="K124" i="20"/>
  <c r="O124" i="20" s="1"/>
  <c r="K175" i="20"/>
  <c r="O175" i="20" s="1"/>
  <c r="K181" i="20"/>
  <c r="O181" i="20" s="1"/>
  <c r="K180" i="20"/>
  <c r="O180" i="20" s="1"/>
  <c r="K200" i="20"/>
  <c r="O200" i="20" s="1"/>
  <c r="K171" i="20"/>
  <c r="O171" i="20" s="1"/>
  <c r="K178" i="20"/>
  <c r="O178" i="20" s="1"/>
  <c r="K199" i="20"/>
  <c r="O199" i="20" s="1"/>
  <c r="K169" i="20"/>
  <c r="O169" i="20" s="1"/>
  <c r="T118" i="20"/>
  <c r="X118" i="20" s="1"/>
  <c r="T133" i="20"/>
  <c r="X133" i="20" s="1"/>
  <c r="T199" i="20"/>
  <c r="X199" i="20" s="1"/>
  <c r="T192" i="20"/>
  <c r="X192" i="20" s="1"/>
  <c r="T115" i="20"/>
  <c r="X115" i="20" s="1"/>
  <c r="T123" i="20"/>
  <c r="X123" i="20" s="1"/>
  <c r="T101" i="20"/>
  <c r="X101" i="20" s="1"/>
  <c r="T205" i="20"/>
  <c r="X205" i="20" s="1"/>
  <c r="T150" i="20"/>
  <c r="X150" i="20" s="1"/>
  <c r="T126" i="20"/>
  <c r="X126" i="20" s="1"/>
  <c r="T175" i="20"/>
  <c r="X175" i="20" s="1"/>
  <c r="T173" i="20"/>
  <c r="X173" i="20" s="1"/>
  <c r="T180" i="20"/>
  <c r="X180" i="20" s="1"/>
  <c r="T163" i="20"/>
  <c r="X163" i="20" s="1"/>
  <c r="T178" i="20"/>
  <c r="X178" i="20" s="1"/>
  <c r="T161" i="20"/>
  <c r="X161" i="20" s="1"/>
  <c r="K205" i="20"/>
  <c r="O205" i="20" s="1"/>
  <c r="K158" i="20"/>
  <c r="O158" i="20" s="1"/>
  <c r="K106" i="20"/>
  <c r="O106" i="20" s="1"/>
  <c r="K111" i="20"/>
  <c r="O111" i="20" s="1"/>
  <c r="K138" i="20"/>
  <c r="O138" i="20" s="1"/>
  <c r="K192" i="20"/>
  <c r="O192" i="20" s="1"/>
  <c r="K105" i="20"/>
  <c r="O105" i="20" s="1"/>
  <c r="K122" i="20"/>
  <c r="O122" i="20" s="1"/>
  <c r="K96" i="20"/>
  <c r="O96" i="20" s="1"/>
  <c r="K109" i="20"/>
  <c r="O109" i="20" s="1"/>
  <c r="K129" i="20"/>
  <c r="O129" i="20" s="1"/>
  <c r="K135" i="20"/>
  <c r="O135" i="20" s="1"/>
  <c r="K141" i="20"/>
  <c r="O141" i="20" s="1"/>
  <c r="K140" i="20"/>
  <c r="O140" i="20" s="1"/>
  <c r="K195" i="20"/>
  <c r="O195" i="20" s="1"/>
  <c r="K193" i="20"/>
  <c r="O193" i="20" s="1"/>
  <c r="T174" i="20"/>
  <c r="X174" i="20" s="1"/>
  <c r="T120" i="20"/>
  <c r="X120" i="20" s="1"/>
  <c r="T105" i="20"/>
  <c r="X105" i="20" s="1"/>
  <c r="T158" i="20"/>
  <c r="X158" i="20" s="1"/>
  <c r="T96" i="20"/>
  <c r="X96" i="20" s="1"/>
  <c r="T131" i="20"/>
  <c r="X131" i="20" s="1"/>
  <c r="T183" i="20"/>
  <c r="X183" i="20" s="1"/>
  <c r="T181" i="20"/>
  <c r="X181" i="20" s="1"/>
  <c r="T188" i="20"/>
  <c r="X188" i="20" s="1"/>
  <c r="T186" i="20"/>
  <c r="X186" i="20" s="1"/>
  <c r="T169" i="20"/>
  <c r="X169" i="20" s="1"/>
  <c r="K166" i="20"/>
  <c r="O166" i="20" s="1"/>
  <c r="K107" i="20"/>
  <c r="O107" i="20" s="1"/>
  <c r="K142" i="20"/>
  <c r="O142" i="20" s="1"/>
  <c r="K123" i="20"/>
  <c r="O123" i="20" s="1"/>
  <c r="K131" i="20"/>
  <c r="O131" i="20" s="1"/>
  <c r="K159" i="20"/>
  <c r="O159" i="20" s="1"/>
  <c r="K165" i="20"/>
  <c r="O165" i="20" s="1"/>
  <c r="K164" i="20"/>
  <c r="O164" i="20" s="1"/>
  <c r="K204" i="20"/>
  <c r="O204" i="20" s="1"/>
  <c r="K155" i="20"/>
  <c r="O155" i="20" s="1"/>
  <c r="K162" i="20"/>
  <c r="O162" i="20" s="1"/>
  <c r="K203" i="20"/>
  <c r="O203" i="20" s="1"/>
  <c r="K153" i="20"/>
  <c r="O153" i="20" s="1"/>
  <c r="T132" i="20"/>
  <c r="X132" i="20" s="1"/>
  <c r="T200" i="20"/>
  <c r="X200" i="20" s="1"/>
  <c r="T130" i="20"/>
  <c r="X130" i="20" s="1"/>
  <c r="T125" i="20"/>
  <c r="X125" i="20" s="1"/>
  <c r="T110" i="20"/>
  <c r="X110" i="20" s="1"/>
  <c r="T171" i="20"/>
  <c r="X171" i="20" s="1"/>
  <c r="T138" i="20"/>
  <c r="X138" i="20" s="1"/>
  <c r="T128" i="20"/>
  <c r="X128" i="20" s="1"/>
  <c r="T122" i="20"/>
  <c r="X122" i="20" s="1"/>
  <c r="T117" i="20"/>
  <c r="X117" i="20" s="1"/>
  <c r="T166" i="20"/>
  <c r="X166" i="20" s="1"/>
  <c r="T100" i="20"/>
  <c r="X100" i="20" s="1"/>
  <c r="T142" i="20"/>
  <c r="X142" i="20" s="1"/>
  <c r="T191" i="20"/>
  <c r="X191" i="20" s="1"/>
  <c r="T189" i="20"/>
  <c r="X189" i="20" s="1"/>
  <c r="T196" i="20"/>
  <c r="X196" i="20" s="1"/>
  <c r="T179" i="20"/>
  <c r="X179" i="20" s="1"/>
  <c r="T194" i="20"/>
  <c r="X194" i="20" s="1"/>
  <c r="T177" i="20"/>
  <c r="X177" i="20" s="1"/>
  <c r="Y5" i="20"/>
  <c r="G28" i="20"/>
  <c r="K108" i="20"/>
  <c r="O108" i="20" s="1"/>
  <c r="K174" i="20"/>
  <c r="O174" i="20" s="1"/>
  <c r="K114" i="20"/>
  <c r="O114" i="20" s="1"/>
  <c r="K146" i="20"/>
  <c r="O146" i="20" s="1"/>
  <c r="K110" i="20"/>
  <c r="O110" i="20" s="1"/>
  <c r="K100" i="20"/>
  <c r="O100" i="20" s="1"/>
  <c r="K116" i="20"/>
  <c r="O116" i="20" s="1"/>
  <c r="K183" i="20"/>
  <c r="O183" i="20" s="1"/>
  <c r="K189" i="20"/>
  <c r="O189" i="20" s="1"/>
  <c r="K188" i="20"/>
  <c r="O188" i="20" s="1"/>
  <c r="K179" i="20"/>
  <c r="O179" i="20" s="1"/>
  <c r="K186" i="20"/>
  <c r="O186" i="20" s="1"/>
  <c r="K177" i="20"/>
  <c r="O177" i="20" s="1"/>
  <c r="C42" i="26" l="1"/>
  <c r="B41" i="26"/>
  <c r="C45" i="26"/>
  <c r="B44" i="26"/>
  <c r="C45" i="21"/>
  <c r="B44" i="21"/>
  <c r="B91" i="21"/>
  <c r="C46" i="21"/>
  <c r="B45" i="21"/>
  <c r="C42" i="19"/>
  <c r="G42" i="19" s="1"/>
  <c r="B41" i="19"/>
  <c r="G41" i="19" s="1"/>
  <c r="C45" i="19"/>
  <c r="B44" i="19"/>
  <c r="B41" i="18"/>
  <c r="C42" i="18"/>
  <c r="C43" i="18"/>
  <c r="B42" i="18"/>
  <c r="C47" i="13"/>
  <c r="B46" i="13"/>
  <c r="B41" i="13"/>
  <c r="C42" i="13"/>
  <c r="B41" i="20"/>
  <c r="C42" i="20"/>
  <c r="C47" i="20"/>
  <c r="B46" i="20"/>
  <c r="AE26" i="20"/>
  <c r="AB26" i="20"/>
  <c r="AP26" i="20"/>
  <c r="AO26" i="20"/>
  <c r="AM26" i="20"/>
  <c r="AN26" i="20"/>
  <c r="AL26" i="20"/>
  <c r="AC26" i="20"/>
  <c r="AD26" i="20"/>
  <c r="J9" i="20"/>
  <c r="K8" i="20"/>
  <c r="O8" i="20" s="1"/>
  <c r="G31" i="20"/>
  <c r="B85" i="20"/>
  <c r="AB31" i="20" s="1"/>
  <c r="G30" i="20"/>
  <c r="J20" i="24"/>
  <c r="J19" i="24"/>
  <c r="G83" i="21"/>
  <c r="G84" i="21"/>
  <c r="G85" i="21"/>
  <c r="G86" i="21"/>
  <c r="G87" i="21"/>
  <c r="G88" i="21"/>
  <c r="G89" i="21"/>
  <c r="G90" i="21"/>
  <c r="G91" i="21"/>
  <c r="G92" i="21"/>
  <c r="G93" i="21"/>
  <c r="G94" i="21"/>
  <c r="G82" i="21"/>
  <c r="E57" i="21"/>
  <c r="E58" i="21"/>
  <c r="F58" i="21" s="1"/>
  <c r="E59" i="21"/>
  <c r="E60" i="21"/>
  <c r="F60" i="21" s="1"/>
  <c r="E61" i="21"/>
  <c r="E62" i="21"/>
  <c r="F62" i="21" s="1"/>
  <c r="E63" i="21"/>
  <c r="E64" i="21"/>
  <c r="F64" i="21" s="1"/>
  <c r="E65" i="21"/>
  <c r="E66" i="21"/>
  <c r="F66" i="21" s="1"/>
  <c r="E67" i="21"/>
  <c r="E68" i="21"/>
  <c r="F68" i="21" s="1"/>
  <c r="B46" i="26" l="1"/>
  <c r="C47" i="26"/>
  <c r="B43" i="26"/>
  <c r="C44" i="26"/>
  <c r="B46" i="21"/>
  <c r="C47" i="21"/>
  <c r="B92" i="21"/>
  <c r="C48" i="21"/>
  <c r="B47" i="21"/>
  <c r="B46" i="19"/>
  <c r="C47" i="19"/>
  <c r="B43" i="19"/>
  <c r="G43" i="19" s="1"/>
  <c r="C44" i="19"/>
  <c r="G44" i="19" s="1"/>
  <c r="B44" i="18"/>
  <c r="C45" i="18"/>
  <c r="B43" i="18"/>
  <c r="C44" i="18"/>
  <c r="C44" i="13"/>
  <c r="B43" i="13"/>
  <c r="B48" i="13"/>
  <c r="C49" i="13"/>
  <c r="AO31" i="20"/>
  <c r="AP31" i="20"/>
  <c r="AT31" i="20" s="1"/>
  <c r="AM31" i="20"/>
  <c r="AN31" i="20"/>
  <c r="AE31" i="20"/>
  <c r="AT26" i="20"/>
  <c r="AS26" i="20"/>
  <c r="AR26" i="20"/>
  <c r="AQ26" i="20"/>
  <c r="B48" i="20"/>
  <c r="C49" i="20"/>
  <c r="AL31" i="20"/>
  <c r="AD31" i="20"/>
  <c r="C44" i="20"/>
  <c r="B43" i="20"/>
  <c r="AC31" i="20"/>
  <c r="J10" i="20"/>
  <c r="K9" i="20"/>
  <c r="O9" i="20" s="1"/>
  <c r="B86" i="20"/>
  <c r="AC36" i="20" s="1"/>
  <c r="G33" i="20"/>
  <c r="G32" i="20"/>
  <c r="F63" i="21"/>
  <c r="F65" i="21"/>
  <c r="F67" i="21"/>
  <c r="F57" i="21"/>
  <c r="F59" i="21"/>
  <c r="F61" i="21"/>
  <c r="B82" i="13"/>
  <c r="B94" i="18"/>
  <c r="B82" i="18"/>
  <c r="B94" i="19"/>
  <c r="B82" i="19"/>
  <c r="B94" i="26"/>
  <c r="B92" i="26"/>
  <c r="B91" i="26"/>
  <c r="B90" i="26"/>
  <c r="B89" i="26"/>
  <c r="B88" i="26"/>
  <c r="B87" i="26"/>
  <c r="B86" i="26"/>
  <c r="B85" i="26"/>
  <c r="B84" i="26"/>
  <c r="B83" i="26"/>
  <c r="B82" i="26"/>
  <c r="F20" i="13"/>
  <c r="F131" i="13"/>
  <c r="F132" i="13"/>
  <c r="F133" i="13"/>
  <c r="F134" i="13"/>
  <c r="F135" i="13"/>
  <c r="F136" i="13"/>
  <c r="F137" i="13"/>
  <c r="F138" i="13"/>
  <c r="F139" i="13"/>
  <c r="F140" i="13"/>
  <c r="F141" i="13"/>
  <c r="F142" i="13"/>
  <c r="F143" i="13"/>
  <c r="F144" i="13"/>
  <c r="F145" i="13"/>
  <c r="F146" i="13"/>
  <c r="F147" i="13"/>
  <c r="F148" i="13"/>
  <c r="F149" i="13"/>
  <c r="F150" i="13"/>
  <c r="F151" i="13"/>
  <c r="F152" i="13"/>
  <c r="F153" i="13"/>
  <c r="F154" i="13"/>
  <c r="F155" i="13"/>
  <c r="F156" i="13"/>
  <c r="F157" i="13"/>
  <c r="F158" i="13"/>
  <c r="F159" i="13"/>
  <c r="F160" i="13"/>
  <c r="F161" i="13"/>
  <c r="F162" i="13"/>
  <c r="F163" i="13"/>
  <c r="F164" i="13"/>
  <c r="F165" i="13"/>
  <c r="F166" i="13"/>
  <c r="F167" i="13"/>
  <c r="F168" i="13"/>
  <c r="F169" i="13"/>
  <c r="F170" i="13"/>
  <c r="F171" i="13"/>
  <c r="F172" i="13"/>
  <c r="F173" i="13"/>
  <c r="F174" i="13"/>
  <c r="F175" i="13"/>
  <c r="F176" i="13"/>
  <c r="F177" i="13"/>
  <c r="F178" i="13"/>
  <c r="F179" i="13"/>
  <c r="F180" i="13"/>
  <c r="F181" i="13"/>
  <c r="F182" i="13"/>
  <c r="F183" i="13"/>
  <c r="F184" i="13"/>
  <c r="F185" i="13"/>
  <c r="F186" i="13"/>
  <c r="F187" i="13"/>
  <c r="F188" i="13"/>
  <c r="F189" i="13"/>
  <c r="F190" i="13"/>
  <c r="F191" i="13"/>
  <c r="F192" i="13"/>
  <c r="F193" i="13"/>
  <c r="F194" i="13"/>
  <c r="F195" i="13"/>
  <c r="F196" i="13"/>
  <c r="AQ31" i="20" l="1"/>
  <c r="E51" i="13"/>
  <c r="F51" i="13" s="1"/>
  <c r="E56" i="13"/>
  <c r="F56" i="13" s="1"/>
  <c r="E60" i="13"/>
  <c r="F60" i="13" s="1"/>
  <c r="E52" i="13"/>
  <c r="F52" i="13" s="1"/>
  <c r="E50" i="13"/>
  <c r="F50" i="13" s="1"/>
  <c r="E47" i="13"/>
  <c r="F47" i="13" s="1"/>
  <c r="E53" i="13"/>
  <c r="F53" i="13" s="1"/>
  <c r="E57" i="13"/>
  <c r="F57" i="13" s="1"/>
  <c r="E48" i="13"/>
  <c r="F48" i="13" s="1"/>
  <c r="E54" i="13"/>
  <c r="F54" i="13" s="1"/>
  <c r="E58" i="13"/>
  <c r="F58" i="13" s="1"/>
  <c r="E49" i="13"/>
  <c r="F49" i="13" s="1"/>
  <c r="E59" i="13"/>
  <c r="F59" i="13" s="1"/>
  <c r="E55" i="13"/>
  <c r="F55" i="13" s="1"/>
  <c r="B45" i="26"/>
  <c r="C46" i="26"/>
  <c r="C49" i="26"/>
  <c r="B48" i="26"/>
  <c r="B49" i="21"/>
  <c r="C50" i="21"/>
  <c r="C49" i="21"/>
  <c r="B48" i="21"/>
  <c r="B93" i="21"/>
  <c r="B93" i="26"/>
  <c r="B45" i="19"/>
  <c r="G45" i="19" s="1"/>
  <c r="C46" i="19"/>
  <c r="G46" i="19" s="1"/>
  <c r="C49" i="19"/>
  <c r="B48" i="19"/>
  <c r="B45" i="18"/>
  <c r="G45" i="18" s="1"/>
  <c r="C46" i="18"/>
  <c r="G44" i="18"/>
  <c r="B46" i="18"/>
  <c r="C47" i="18"/>
  <c r="B50" i="13"/>
  <c r="C51" i="13"/>
  <c r="C46" i="13"/>
  <c r="B45" i="13"/>
  <c r="AR31" i="20"/>
  <c r="AS31" i="20"/>
  <c r="B45" i="20"/>
  <c r="C46" i="20"/>
  <c r="C51" i="20"/>
  <c r="B50" i="20"/>
  <c r="AE36" i="20"/>
  <c r="AD36" i="20"/>
  <c r="AB36" i="20"/>
  <c r="K10" i="20"/>
  <c r="O10" i="20" s="1"/>
  <c r="J11" i="20"/>
  <c r="B87" i="20"/>
  <c r="AC41" i="20" s="1"/>
  <c r="G35" i="20"/>
  <c r="G34" i="20"/>
  <c r="G48" i="13" l="1"/>
  <c r="C51" i="26"/>
  <c r="B52" i="26" s="1"/>
  <c r="B50" i="26"/>
  <c r="C48" i="26"/>
  <c r="B47" i="26"/>
  <c r="C52" i="21"/>
  <c r="B51" i="21"/>
  <c r="C51" i="21"/>
  <c r="B50" i="21"/>
  <c r="C51" i="19"/>
  <c r="B50" i="19"/>
  <c r="C48" i="19"/>
  <c r="G48" i="19" s="1"/>
  <c r="B47" i="19"/>
  <c r="G47" i="19" s="1"/>
  <c r="B47" i="18"/>
  <c r="G47" i="18" s="1"/>
  <c r="C48" i="18"/>
  <c r="G46" i="18"/>
  <c r="B48" i="18"/>
  <c r="C49" i="18"/>
  <c r="B47" i="13"/>
  <c r="C48" i="13"/>
  <c r="C53" i="13"/>
  <c r="B52" i="13"/>
  <c r="C53" i="20"/>
  <c r="B52" i="20"/>
  <c r="AE41" i="20"/>
  <c r="AB41" i="20"/>
  <c r="B47" i="20"/>
  <c r="C48" i="20"/>
  <c r="AD41" i="20"/>
  <c r="K11" i="20"/>
  <c r="O11" i="20" s="1"/>
  <c r="J12" i="20"/>
  <c r="G36" i="20"/>
  <c r="B88" i="20"/>
  <c r="AB46" i="20" s="1"/>
  <c r="G37" i="20"/>
  <c r="B83" i="18"/>
  <c r="B84" i="13"/>
  <c r="B83" i="13"/>
  <c r="B85" i="13"/>
  <c r="F94" i="26"/>
  <c r="E94" i="26"/>
  <c r="F93" i="26"/>
  <c r="E93" i="26"/>
  <c r="F92" i="26"/>
  <c r="E92" i="26"/>
  <c r="F91" i="26"/>
  <c r="E91" i="26"/>
  <c r="C91" i="26"/>
  <c r="F90" i="26"/>
  <c r="E90" i="26"/>
  <c r="F89" i="26"/>
  <c r="E89" i="26"/>
  <c r="C89" i="26"/>
  <c r="F88" i="26"/>
  <c r="E88" i="26"/>
  <c r="F87" i="26"/>
  <c r="E87" i="26"/>
  <c r="F86" i="26"/>
  <c r="E86" i="26"/>
  <c r="F85" i="26"/>
  <c r="E85" i="26"/>
  <c r="F84" i="26"/>
  <c r="E84" i="26"/>
  <c r="F83" i="26"/>
  <c r="E83" i="26"/>
  <c r="C83" i="26"/>
  <c r="F82" i="26"/>
  <c r="E82" i="26"/>
  <c r="E52" i="26"/>
  <c r="F52" i="26" s="1"/>
  <c r="E51" i="26"/>
  <c r="F51" i="26" s="1"/>
  <c r="E50" i="26"/>
  <c r="F50" i="26" s="1"/>
  <c r="E49" i="26"/>
  <c r="F49" i="26" s="1"/>
  <c r="E48" i="26"/>
  <c r="F48" i="26" s="1"/>
  <c r="E47" i="26"/>
  <c r="F47" i="26" s="1"/>
  <c r="E46" i="26"/>
  <c r="F46" i="26" s="1"/>
  <c r="E45" i="26"/>
  <c r="C92" i="26"/>
  <c r="E44" i="26"/>
  <c r="F44" i="26" s="1"/>
  <c r="E43" i="26"/>
  <c r="F43" i="26" s="1"/>
  <c r="E42" i="26"/>
  <c r="F42" i="26" s="1"/>
  <c r="E41" i="26"/>
  <c r="F41" i="26" s="1"/>
  <c r="C90" i="26"/>
  <c r="E40" i="26"/>
  <c r="F40" i="26" s="1"/>
  <c r="E39" i="26"/>
  <c r="F39" i="26" s="1"/>
  <c r="E38" i="26"/>
  <c r="F38" i="26" s="1"/>
  <c r="E37" i="26"/>
  <c r="F37" i="26" s="1"/>
  <c r="C88" i="26"/>
  <c r="E36" i="26"/>
  <c r="F36" i="26" s="1"/>
  <c r="E35" i="26"/>
  <c r="C87" i="26"/>
  <c r="E34" i="26"/>
  <c r="F34" i="26" s="1"/>
  <c r="E33" i="26"/>
  <c r="F33" i="26" s="1"/>
  <c r="C86" i="26"/>
  <c r="E32" i="26"/>
  <c r="F32" i="26" s="1"/>
  <c r="E31" i="26"/>
  <c r="F31" i="26" s="1"/>
  <c r="E30" i="26"/>
  <c r="F30" i="26" s="1"/>
  <c r="E29" i="26"/>
  <c r="C84" i="26"/>
  <c r="E28" i="26"/>
  <c r="F28" i="26" s="1"/>
  <c r="E27" i="26"/>
  <c r="F27" i="26" s="1"/>
  <c r="E26" i="26"/>
  <c r="F26" i="26" s="1"/>
  <c r="E25" i="26"/>
  <c r="F25" i="26" s="1"/>
  <c r="G25" i="26" s="1"/>
  <c r="C82" i="26"/>
  <c r="F19" i="26"/>
  <c r="F15" i="26"/>
  <c r="F13" i="26"/>
  <c r="F11" i="26"/>
  <c r="F10" i="26"/>
  <c r="F9" i="26"/>
  <c r="D9" i="26"/>
  <c r="F8" i="26"/>
  <c r="F6" i="26"/>
  <c r="F5" i="26"/>
  <c r="B54" i="20" l="1"/>
  <c r="G48" i="18"/>
  <c r="G49" i="18"/>
  <c r="B52" i="19"/>
  <c r="B49" i="26"/>
  <c r="C50" i="26"/>
  <c r="B53" i="21"/>
  <c r="C54" i="21"/>
  <c r="B52" i="21"/>
  <c r="C53" i="21"/>
  <c r="B49" i="19"/>
  <c r="G49" i="19" s="1"/>
  <c r="C50" i="19"/>
  <c r="G50" i="19" s="1"/>
  <c r="C51" i="18"/>
  <c r="B50" i="18"/>
  <c r="C50" i="18"/>
  <c r="G50" i="18" s="1"/>
  <c r="B49" i="18"/>
  <c r="B54" i="13"/>
  <c r="C55" i="13"/>
  <c r="C50" i="13"/>
  <c r="G50" i="13" s="1"/>
  <c r="B49" i="13"/>
  <c r="G49" i="13" s="1"/>
  <c r="AC46" i="20"/>
  <c r="AD46" i="20"/>
  <c r="AE46" i="20"/>
  <c r="C50" i="20"/>
  <c r="B49" i="20"/>
  <c r="K12" i="20"/>
  <c r="O12" i="20" s="1"/>
  <c r="J13" i="20"/>
  <c r="G38" i="20"/>
  <c r="AE51" i="20"/>
  <c r="B89" i="20"/>
  <c r="AB51" i="20" s="1"/>
  <c r="G39" i="20"/>
  <c r="B84" i="18"/>
  <c r="B86" i="13"/>
  <c r="G27" i="26"/>
  <c r="G28" i="26"/>
  <c r="G26" i="26"/>
  <c r="F29" i="26"/>
  <c r="F45" i="26"/>
  <c r="F35" i="26"/>
  <c r="C85" i="26"/>
  <c r="C93" i="26"/>
  <c r="E53" i="21"/>
  <c r="F53" i="21" s="1"/>
  <c r="E54" i="21"/>
  <c r="F54" i="21" s="1"/>
  <c r="E55" i="21"/>
  <c r="F55" i="21" s="1"/>
  <c r="E56" i="21"/>
  <c r="F56" i="21" s="1"/>
  <c r="E41" i="21"/>
  <c r="E42" i="21"/>
  <c r="F42" i="21" s="1"/>
  <c r="E43" i="21"/>
  <c r="E44" i="21"/>
  <c r="F44" i="21" s="1"/>
  <c r="E45" i="21"/>
  <c r="F45" i="21" s="1"/>
  <c r="E46" i="21"/>
  <c r="F46" i="21" s="1"/>
  <c r="E47" i="21"/>
  <c r="E48" i="21"/>
  <c r="F48" i="21" s="1"/>
  <c r="E49" i="21"/>
  <c r="E50" i="21"/>
  <c r="F50" i="21" s="1"/>
  <c r="E51" i="21"/>
  <c r="E52" i="21"/>
  <c r="F52" i="21" s="1"/>
  <c r="C93" i="19"/>
  <c r="C89" i="19"/>
  <c r="C85" i="19"/>
  <c r="F93" i="19"/>
  <c r="E93" i="19"/>
  <c r="F92" i="19"/>
  <c r="E92" i="19"/>
  <c r="E91" i="18"/>
  <c r="F91" i="18"/>
  <c r="E92" i="18"/>
  <c r="F92" i="18"/>
  <c r="E93" i="18"/>
  <c r="F93" i="18"/>
  <c r="C93" i="18"/>
  <c r="C92" i="18"/>
  <c r="C91" i="18"/>
  <c r="C90" i="18"/>
  <c r="C89" i="18"/>
  <c r="C88" i="18"/>
  <c r="C87" i="18"/>
  <c r="C86" i="18"/>
  <c r="C85" i="18"/>
  <c r="C84" i="18"/>
  <c r="C83" i="18"/>
  <c r="C82" i="18"/>
  <c r="C92" i="19"/>
  <c r="C91" i="19"/>
  <c r="C90" i="19"/>
  <c r="C88" i="19"/>
  <c r="C87" i="19"/>
  <c r="C86" i="19"/>
  <c r="C84" i="19"/>
  <c r="C83" i="19"/>
  <c r="C82" i="19"/>
  <c r="C52" i="26" l="1"/>
  <c r="B51" i="26"/>
  <c r="C55" i="21"/>
  <c r="B54" i="21"/>
  <c r="B55" i="21"/>
  <c r="C56" i="21"/>
  <c r="C52" i="19"/>
  <c r="G52" i="19" s="1"/>
  <c r="B51" i="19"/>
  <c r="G51" i="19" s="1"/>
  <c r="B51" i="18"/>
  <c r="G51" i="18" s="1"/>
  <c r="C52" i="18"/>
  <c r="C53" i="18"/>
  <c r="B52" i="18"/>
  <c r="B51" i="13"/>
  <c r="G51" i="13" s="1"/>
  <c r="C52" i="13"/>
  <c r="G52" i="13" s="1"/>
  <c r="C57" i="13"/>
  <c r="B56" i="13"/>
  <c r="AC51" i="20"/>
  <c r="B51" i="20"/>
  <c r="C52" i="20"/>
  <c r="AD51" i="20"/>
  <c r="K13" i="20"/>
  <c r="O13" i="20" s="1"/>
  <c r="J14" i="20"/>
  <c r="B90" i="20"/>
  <c r="AD56" i="20" s="1"/>
  <c r="G41" i="20"/>
  <c r="G40" i="20"/>
  <c r="F51" i="21"/>
  <c r="F49" i="21"/>
  <c r="F47" i="21"/>
  <c r="F43" i="21"/>
  <c r="F41" i="21"/>
  <c r="B84" i="19"/>
  <c r="B83" i="19"/>
  <c r="B85" i="18"/>
  <c r="B87" i="13"/>
  <c r="G29" i="26"/>
  <c r="B85" i="19"/>
  <c r="B54" i="18" l="1"/>
  <c r="G52" i="18"/>
  <c r="B56" i="21"/>
  <c r="C57" i="21"/>
  <c r="C58" i="21"/>
  <c r="B57" i="21"/>
  <c r="C54" i="18"/>
  <c r="G54" i="18" s="1"/>
  <c r="B53" i="18"/>
  <c r="G53" i="18" s="1"/>
  <c r="C59" i="13"/>
  <c r="B58" i="13"/>
  <c r="B53" i="13"/>
  <c r="G53" i="13" s="1"/>
  <c r="C54" i="13"/>
  <c r="G54" i="13" s="1"/>
  <c r="AB56" i="20"/>
  <c r="AC56" i="20"/>
  <c r="AE56" i="20"/>
  <c r="C54" i="20"/>
  <c r="G54" i="20" s="1"/>
  <c r="B53" i="20"/>
  <c r="G53" i="20" s="1"/>
  <c r="K14" i="20"/>
  <c r="O14" i="20" s="1"/>
  <c r="J15" i="20"/>
  <c r="G42" i="20"/>
  <c r="B91" i="20"/>
  <c r="G43" i="20"/>
  <c r="B86" i="18"/>
  <c r="B88" i="13"/>
  <c r="G31" i="26"/>
  <c r="G30" i="26"/>
  <c r="B86" i="19"/>
  <c r="B60" i="13" l="1"/>
  <c r="B59" i="21"/>
  <c r="C60" i="21"/>
  <c r="C59" i="21"/>
  <c r="B58" i="21"/>
  <c r="G58" i="21" s="1"/>
  <c r="G57" i="21"/>
  <c r="C56" i="13"/>
  <c r="G56" i="13" s="1"/>
  <c r="B55" i="13"/>
  <c r="G55" i="13" s="1"/>
  <c r="K15" i="20"/>
  <c r="O15" i="20" s="1"/>
  <c r="J16" i="20"/>
  <c r="B92" i="20"/>
  <c r="G45" i="20"/>
  <c r="G44" i="20"/>
  <c r="B87" i="18"/>
  <c r="B89" i="13"/>
  <c r="G33" i="26"/>
  <c r="G32" i="26"/>
  <c r="B87" i="19"/>
  <c r="F24" i="24"/>
  <c r="AI205" i="21"/>
  <c r="AH205" i="21"/>
  <c r="AG205" i="21"/>
  <c r="AF205" i="21"/>
  <c r="AE205" i="21"/>
  <c r="AD205" i="21"/>
  <c r="AC205" i="21"/>
  <c r="AB205" i="21"/>
  <c r="Y205" i="21"/>
  <c r="V205" i="21"/>
  <c r="U205" i="21"/>
  <c r="R205" i="21"/>
  <c r="Q205" i="21"/>
  <c r="N205" i="21"/>
  <c r="AI204" i="21"/>
  <c r="AH204" i="21"/>
  <c r="AG204" i="21"/>
  <c r="AF204" i="21"/>
  <c r="AE204" i="21"/>
  <c r="AD204" i="21"/>
  <c r="AC204" i="21"/>
  <c r="AB204" i="21"/>
  <c r="Y204" i="21"/>
  <c r="V204" i="21"/>
  <c r="U204" i="21"/>
  <c r="R204" i="21"/>
  <c r="Q204" i="21"/>
  <c r="N204" i="21"/>
  <c r="AI203" i="21"/>
  <c r="AH203" i="21"/>
  <c r="AG203" i="21"/>
  <c r="AF203" i="21"/>
  <c r="AE203" i="21"/>
  <c r="AD203" i="21"/>
  <c r="AC203" i="21"/>
  <c r="AB203" i="21"/>
  <c r="Y203" i="21"/>
  <c r="V203" i="21"/>
  <c r="U203" i="21"/>
  <c r="R203" i="21"/>
  <c r="Q203" i="21"/>
  <c r="N203" i="21"/>
  <c r="AI202" i="21"/>
  <c r="AH202" i="21"/>
  <c r="AG202" i="21"/>
  <c r="AF202" i="21"/>
  <c r="AE202" i="21"/>
  <c r="AD202" i="21"/>
  <c r="AC202" i="21"/>
  <c r="AB202" i="21"/>
  <c r="Y202" i="21"/>
  <c r="V202" i="21"/>
  <c r="U202" i="21"/>
  <c r="R202" i="21"/>
  <c r="Q202" i="21"/>
  <c r="N202" i="21"/>
  <c r="AI201" i="21"/>
  <c r="AH201" i="21"/>
  <c r="AG201" i="21"/>
  <c r="AF201" i="21"/>
  <c r="AE201" i="21"/>
  <c r="AD201" i="21"/>
  <c r="AC201" i="21"/>
  <c r="AB201" i="21"/>
  <c r="Y201" i="21"/>
  <c r="V201" i="21"/>
  <c r="U201" i="21"/>
  <c r="R201" i="21"/>
  <c r="Q201" i="21"/>
  <c r="N201" i="21"/>
  <c r="AI200" i="21"/>
  <c r="AH200" i="21"/>
  <c r="AG200" i="21"/>
  <c r="AF200" i="21"/>
  <c r="AE200" i="21"/>
  <c r="AD200" i="21"/>
  <c r="AC200" i="21"/>
  <c r="AB200" i="21"/>
  <c r="Y200" i="21"/>
  <c r="V200" i="21"/>
  <c r="U200" i="21"/>
  <c r="R200" i="21"/>
  <c r="Q200" i="21"/>
  <c r="N200" i="21"/>
  <c r="AI199" i="21"/>
  <c r="AH199" i="21"/>
  <c r="AG199" i="21"/>
  <c r="AF199" i="21"/>
  <c r="AE199" i="21"/>
  <c r="AD199" i="21"/>
  <c r="AC199" i="21"/>
  <c r="AB199" i="21"/>
  <c r="Y199" i="21"/>
  <c r="V199" i="21"/>
  <c r="U199" i="21"/>
  <c r="R199" i="21"/>
  <c r="Q199" i="21"/>
  <c r="N199" i="21"/>
  <c r="AI198" i="21"/>
  <c r="AH198" i="21"/>
  <c r="AG198" i="21"/>
  <c r="AF198" i="21"/>
  <c r="AE198" i="21"/>
  <c r="AD198" i="21"/>
  <c r="AC198" i="21"/>
  <c r="AB198" i="21"/>
  <c r="Y198" i="21"/>
  <c r="V198" i="21"/>
  <c r="U198" i="21"/>
  <c r="R198" i="21"/>
  <c r="Q198" i="21"/>
  <c r="N198" i="21"/>
  <c r="AI197" i="21"/>
  <c r="AH197" i="21"/>
  <c r="AG197" i="21"/>
  <c r="AF197" i="21"/>
  <c r="AE197" i="21"/>
  <c r="AD197" i="21"/>
  <c r="AC197" i="21"/>
  <c r="AB197" i="21"/>
  <c r="Y197" i="21"/>
  <c r="V197" i="21"/>
  <c r="U197" i="21"/>
  <c r="R197" i="21"/>
  <c r="Q197" i="21"/>
  <c r="N197" i="21"/>
  <c r="AI196" i="21"/>
  <c r="AH196" i="21"/>
  <c r="AG196" i="21"/>
  <c r="AF196" i="21"/>
  <c r="AE196" i="21"/>
  <c r="AD196" i="21"/>
  <c r="AC196" i="21"/>
  <c r="AB196" i="21"/>
  <c r="Y196" i="21"/>
  <c r="V196" i="21"/>
  <c r="U196" i="21"/>
  <c r="R196" i="21"/>
  <c r="Q196" i="21"/>
  <c r="N196" i="21"/>
  <c r="AI195" i="21"/>
  <c r="AH195" i="21"/>
  <c r="AG195" i="21"/>
  <c r="AF195" i="21"/>
  <c r="AE195" i="21"/>
  <c r="AD195" i="21"/>
  <c r="AC195" i="21"/>
  <c r="AB195" i="21"/>
  <c r="Y195" i="21"/>
  <c r="V195" i="21"/>
  <c r="U195" i="21"/>
  <c r="R195" i="21"/>
  <c r="Q195" i="21"/>
  <c r="N195" i="21"/>
  <c r="AI194" i="21"/>
  <c r="AH194" i="21"/>
  <c r="AG194" i="21"/>
  <c r="AF194" i="21"/>
  <c r="AE194" i="21"/>
  <c r="AD194" i="21"/>
  <c r="AC194" i="21"/>
  <c r="AB194" i="21"/>
  <c r="Y194" i="21"/>
  <c r="V194" i="21"/>
  <c r="U194" i="21"/>
  <c r="R194" i="21"/>
  <c r="Q194" i="21"/>
  <c r="N194" i="21"/>
  <c r="AI193" i="21"/>
  <c r="AH193" i="21"/>
  <c r="AG193" i="21"/>
  <c r="AF193" i="21"/>
  <c r="AE193" i="21"/>
  <c r="AD193" i="21"/>
  <c r="AC193" i="21"/>
  <c r="AB193" i="21"/>
  <c r="Y193" i="21"/>
  <c r="V193" i="21"/>
  <c r="U193" i="21"/>
  <c r="R193" i="21"/>
  <c r="Q193" i="21"/>
  <c r="N193" i="21"/>
  <c r="AI192" i="21"/>
  <c r="AH192" i="21"/>
  <c r="AG192" i="21"/>
  <c r="AF192" i="21"/>
  <c r="AE192" i="21"/>
  <c r="AD192" i="21"/>
  <c r="AC192" i="21"/>
  <c r="AB192" i="21"/>
  <c r="Y192" i="21"/>
  <c r="V192" i="21"/>
  <c r="U192" i="21"/>
  <c r="R192" i="21"/>
  <c r="Q192" i="21"/>
  <c r="N192" i="21"/>
  <c r="AI191" i="21"/>
  <c r="AH191" i="21"/>
  <c r="AG191" i="21"/>
  <c r="AF191" i="21"/>
  <c r="AE191" i="21"/>
  <c r="AD191" i="21"/>
  <c r="AC191" i="21"/>
  <c r="AB191" i="21"/>
  <c r="Y191" i="21"/>
  <c r="V191" i="21"/>
  <c r="U191" i="21"/>
  <c r="R191" i="21"/>
  <c r="Q191" i="21"/>
  <c r="N191" i="21"/>
  <c r="AI190" i="21"/>
  <c r="AH190" i="21"/>
  <c r="AG190" i="21"/>
  <c r="AF190" i="21"/>
  <c r="AE190" i="21"/>
  <c r="AD190" i="21"/>
  <c r="AC190" i="21"/>
  <c r="AB190" i="21"/>
  <c r="Y190" i="21"/>
  <c r="V190" i="21"/>
  <c r="U190" i="21"/>
  <c r="R190" i="21"/>
  <c r="Q190" i="21"/>
  <c r="N190" i="21"/>
  <c r="AI189" i="21"/>
  <c r="AH189" i="21"/>
  <c r="AG189" i="21"/>
  <c r="AF189" i="21"/>
  <c r="AE189" i="21"/>
  <c r="AD189" i="21"/>
  <c r="AC189" i="21"/>
  <c r="AB189" i="21"/>
  <c r="Y189" i="21"/>
  <c r="V189" i="21"/>
  <c r="U189" i="21"/>
  <c r="R189" i="21"/>
  <c r="Q189" i="21"/>
  <c r="N189" i="21"/>
  <c r="AI188" i="21"/>
  <c r="AH188" i="21"/>
  <c r="AG188" i="21"/>
  <c r="AF188" i="21"/>
  <c r="AE188" i="21"/>
  <c r="AD188" i="21"/>
  <c r="AC188" i="21"/>
  <c r="AB188" i="21"/>
  <c r="Y188" i="21"/>
  <c r="V188" i="21"/>
  <c r="U188" i="21"/>
  <c r="R188" i="21"/>
  <c r="Q188" i="21"/>
  <c r="N188" i="21"/>
  <c r="AI187" i="21"/>
  <c r="AH187" i="21"/>
  <c r="AG187" i="21"/>
  <c r="AF187" i="21"/>
  <c r="AE187" i="21"/>
  <c r="AD187" i="21"/>
  <c r="AC187" i="21"/>
  <c r="AB187" i="21"/>
  <c r="Y187" i="21"/>
  <c r="V187" i="21"/>
  <c r="U187" i="21"/>
  <c r="R187" i="21"/>
  <c r="Q187" i="21"/>
  <c r="N187" i="21"/>
  <c r="AI186" i="21"/>
  <c r="AH186" i="21"/>
  <c r="AG186" i="21"/>
  <c r="AF186" i="21"/>
  <c r="AE186" i="21"/>
  <c r="AD186" i="21"/>
  <c r="AC186" i="21"/>
  <c r="AB186" i="21"/>
  <c r="Y186" i="21"/>
  <c r="V186" i="21"/>
  <c r="U186" i="21"/>
  <c r="R186" i="21"/>
  <c r="Q186" i="21"/>
  <c r="N186" i="21"/>
  <c r="AI185" i="21"/>
  <c r="AH185" i="21"/>
  <c r="AG185" i="21"/>
  <c r="AF185" i="21"/>
  <c r="AE185" i="21"/>
  <c r="AD185" i="21"/>
  <c r="AC185" i="21"/>
  <c r="AB185" i="21"/>
  <c r="Y185" i="21"/>
  <c r="V185" i="21"/>
  <c r="U185" i="21"/>
  <c r="R185" i="21"/>
  <c r="Q185" i="21"/>
  <c r="N185" i="21"/>
  <c r="AI184" i="21"/>
  <c r="AH184" i="21"/>
  <c r="AG184" i="21"/>
  <c r="AF184" i="21"/>
  <c r="AE184" i="21"/>
  <c r="AD184" i="21"/>
  <c r="AC184" i="21"/>
  <c r="AB184" i="21"/>
  <c r="Y184" i="21"/>
  <c r="V184" i="21"/>
  <c r="U184" i="21"/>
  <c r="R184" i="21"/>
  <c r="Q184" i="21"/>
  <c r="N184" i="21"/>
  <c r="AI183" i="21"/>
  <c r="AH183" i="21"/>
  <c r="AG183" i="21"/>
  <c r="AF183" i="21"/>
  <c r="AE183" i="21"/>
  <c r="AD183" i="21"/>
  <c r="AC183" i="21"/>
  <c r="AB183" i="21"/>
  <c r="Y183" i="21"/>
  <c r="V183" i="21"/>
  <c r="U183" i="21"/>
  <c r="R183" i="21"/>
  <c r="Q183" i="21"/>
  <c r="N183" i="21"/>
  <c r="AI182" i="21"/>
  <c r="AH182" i="21"/>
  <c r="AG182" i="21"/>
  <c r="AF182" i="21"/>
  <c r="AE182" i="21"/>
  <c r="AD182" i="21"/>
  <c r="AC182" i="21"/>
  <c r="AB182" i="21"/>
  <c r="Y182" i="21"/>
  <c r="V182" i="21"/>
  <c r="U182" i="21"/>
  <c r="R182" i="21"/>
  <c r="Q182" i="21"/>
  <c r="N182" i="21"/>
  <c r="AI181" i="21"/>
  <c r="AH181" i="21"/>
  <c r="AG181" i="21"/>
  <c r="AF181" i="21"/>
  <c r="AE181" i="21"/>
  <c r="AD181" i="21"/>
  <c r="AC181" i="21"/>
  <c r="AB181" i="21"/>
  <c r="Y181" i="21"/>
  <c r="V181" i="21"/>
  <c r="U181" i="21"/>
  <c r="R181" i="21"/>
  <c r="Q181" i="21"/>
  <c r="N181" i="21"/>
  <c r="AI180" i="21"/>
  <c r="AH180" i="21"/>
  <c r="AG180" i="21"/>
  <c r="AF180" i="21"/>
  <c r="AE180" i="21"/>
  <c r="AD180" i="21"/>
  <c r="AC180" i="21"/>
  <c r="AB180" i="21"/>
  <c r="Y180" i="21"/>
  <c r="V180" i="21"/>
  <c r="U180" i="21"/>
  <c r="R180" i="21"/>
  <c r="Q180" i="21"/>
  <c r="N180" i="21"/>
  <c r="AI179" i="21"/>
  <c r="AH179" i="21"/>
  <c r="AG179" i="21"/>
  <c r="AF179" i="21"/>
  <c r="AE179" i="21"/>
  <c r="AD179" i="21"/>
  <c r="AC179" i="21"/>
  <c r="AB179" i="21"/>
  <c r="Y179" i="21"/>
  <c r="V179" i="21"/>
  <c r="U179" i="21"/>
  <c r="R179" i="21"/>
  <c r="Q179" i="21"/>
  <c r="N179" i="21"/>
  <c r="AI178" i="21"/>
  <c r="AH178" i="21"/>
  <c r="AG178" i="21"/>
  <c r="AF178" i="21"/>
  <c r="AE178" i="21"/>
  <c r="AD178" i="21"/>
  <c r="AC178" i="21"/>
  <c r="AB178" i="21"/>
  <c r="Y178" i="21"/>
  <c r="V178" i="21"/>
  <c r="U178" i="21"/>
  <c r="R178" i="21"/>
  <c r="Q178" i="21"/>
  <c r="N178" i="21"/>
  <c r="AI177" i="21"/>
  <c r="AH177" i="21"/>
  <c r="AG177" i="21"/>
  <c r="AF177" i="21"/>
  <c r="AE177" i="21"/>
  <c r="AD177" i="21"/>
  <c r="AC177" i="21"/>
  <c r="AB177" i="21"/>
  <c r="Y177" i="21"/>
  <c r="V177" i="21"/>
  <c r="U177" i="21"/>
  <c r="R177" i="21"/>
  <c r="Q177" i="21"/>
  <c r="N177" i="21"/>
  <c r="AI176" i="21"/>
  <c r="AH176" i="21"/>
  <c r="AG176" i="21"/>
  <c r="AF176" i="21"/>
  <c r="AE176" i="21"/>
  <c r="AD176" i="21"/>
  <c r="AC176" i="21"/>
  <c r="AB176" i="21"/>
  <c r="Y176" i="21"/>
  <c r="V176" i="21"/>
  <c r="U176" i="21"/>
  <c r="R176" i="21"/>
  <c r="Q176" i="21"/>
  <c r="N176" i="21"/>
  <c r="AI175" i="21"/>
  <c r="AH175" i="21"/>
  <c r="AG175" i="21"/>
  <c r="AF175" i="21"/>
  <c r="AE175" i="21"/>
  <c r="AD175" i="21"/>
  <c r="AC175" i="21"/>
  <c r="AB175" i="21"/>
  <c r="Y175" i="21"/>
  <c r="V175" i="21"/>
  <c r="U175" i="21"/>
  <c r="R175" i="21"/>
  <c r="Q175" i="21"/>
  <c r="N175" i="21"/>
  <c r="AI174" i="21"/>
  <c r="AH174" i="21"/>
  <c r="AG174" i="21"/>
  <c r="AF174" i="21"/>
  <c r="AE174" i="21"/>
  <c r="AD174" i="21"/>
  <c r="AC174" i="21"/>
  <c r="AB174" i="21"/>
  <c r="Y174" i="21"/>
  <c r="V174" i="21"/>
  <c r="U174" i="21"/>
  <c r="R174" i="21"/>
  <c r="Q174" i="21"/>
  <c r="N174" i="21"/>
  <c r="AI173" i="21"/>
  <c r="AH173" i="21"/>
  <c r="AG173" i="21"/>
  <c r="AF173" i="21"/>
  <c r="AE173" i="21"/>
  <c r="AD173" i="21"/>
  <c r="AC173" i="21"/>
  <c r="AB173" i="21"/>
  <c r="Y173" i="21"/>
  <c r="V173" i="21"/>
  <c r="U173" i="21"/>
  <c r="R173" i="21"/>
  <c r="Q173" i="21"/>
  <c r="N173" i="21"/>
  <c r="AI172" i="21"/>
  <c r="AH172" i="21"/>
  <c r="AG172" i="21"/>
  <c r="AF172" i="21"/>
  <c r="AE172" i="21"/>
  <c r="AD172" i="21"/>
  <c r="AC172" i="21"/>
  <c r="AB172" i="21"/>
  <c r="Y172" i="21"/>
  <c r="V172" i="21"/>
  <c r="U172" i="21"/>
  <c r="R172" i="21"/>
  <c r="Q172" i="21"/>
  <c r="N172" i="21"/>
  <c r="AI171" i="21"/>
  <c r="AH171" i="21"/>
  <c r="AG171" i="21"/>
  <c r="AF171" i="21"/>
  <c r="AE171" i="21"/>
  <c r="AD171" i="21"/>
  <c r="AC171" i="21"/>
  <c r="AB171" i="21"/>
  <c r="Y171" i="21"/>
  <c r="V171" i="21"/>
  <c r="U171" i="21"/>
  <c r="R171" i="21"/>
  <c r="Q171" i="21"/>
  <c r="N171" i="21"/>
  <c r="AI170" i="21"/>
  <c r="AH170" i="21"/>
  <c r="AG170" i="21"/>
  <c r="AF170" i="21"/>
  <c r="AE170" i="21"/>
  <c r="AD170" i="21"/>
  <c r="AC170" i="21"/>
  <c r="AB170" i="21"/>
  <c r="Y170" i="21"/>
  <c r="V170" i="21"/>
  <c r="U170" i="21"/>
  <c r="R170" i="21"/>
  <c r="Q170" i="21"/>
  <c r="N170" i="21"/>
  <c r="AI169" i="21"/>
  <c r="AH169" i="21"/>
  <c r="AG169" i="21"/>
  <c r="AF169" i="21"/>
  <c r="AE169" i="21"/>
  <c r="AD169" i="21"/>
  <c r="AC169" i="21"/>
  <c r="AB169" i="21"/>
  <c r="Y169" i="21"/>
  <c r="V169" i="21"/>
  <c r="U169" i="21"/>
  <c r="R169" i="21"/>
  <c r="Q169" i="21"/>
  <c r="N169" i="21"/>
  <c r="AI168" i="21"/>
  <c r="AH168" i="21"/>
  <c r="AG168" i="21"/>
  <c r="AF168" i="21"/>
  <c r="AE168" i="21"/>
  <c r="AD168" i="21"/>
  <c r="AC168" i="21"/>
  <c r="AB168" i="21"/>
  <c r="Y168" i="21"/>
  <c r="V168" i="21"/>
  <c r="U168" i="21"/>
  <c r="R168" i="21"/>
  <c r="Q168" i="21"/>
  <c r="N168" i="21"/>
  <c r="AI167" i="21"/>
  <c r="AH167" i="21"/>
  <c r="AG167" i="21"/>
  <c r="AF167" i="21"/>
  <c r="AE167" i="21"/>
  <c r="AD167" i="21"/>
  <c r="AC167" i="21"/>
  <c r="AB167" i="21"/>
  <c r="Y167" i="21"/>
  <c r="V167" i="21"/>
  <c r="U167" i="21"/>
  <c r="R167" i="21"/>
  <c r="Q167" i="21"/>
  <c r="N167" i="21"/>
  <c r="AI166" i="21"/>
  <c r="AH166" i="21"/>
  <c r="AG166" i="21"/>
  <c r="AF166" i="21"/>
  <c r="AE166" i="21"/>
  <c r="AD166" i="21"/>
  <c r="AC166" i="21"/>
  <c r="AB166" i="21"/>
  <c r="Y166" i="21"/>
  <c r="V166" i="21"/>
  <c r="U166" i="21"/>
  <c r="R166" i="21"/>
  <c r="Q166" i="21"/>
  <c r="N166" i="21"/>
  <c r="AI165" i="21"/>
  <c r="AH165" i="21"/>
  <c r="AG165" i="21"/>
  <c r="AF165" i="21"/>
  <c r="AE165" i="21"/>
  <c r="AD165" i="21"/>
  <c r="AC165" i="21"/>
  <c r="AB165" i="21"/>
  <c r="Y165" i="21"/>
  <c r="V165" i="21"/>
  <c r="U165" i="21"/>
  <c r="R165" i="21"/>
  <c r="Q165" i="21"/>
  <c r="N165" i="21"/>
  <c r="AI164" i="21"/>
  <c r="AH164" i="21"/>
  <c r="AG164" i="21"/>
  <c r="AF164" i="21"/>
  <c r="AE164" i="21"/>
  <c r="AD164" i="21"/>
  <c r="AC164" i="21"/>
  <c r="AB164" i="21"/>
  <c r="Y164" i="21"/>
  <c r="V164" i="21"/>
  <c r="U164" i="21"/>
  <c r="R164" i="21"/>
  <c r="Q164" i="21"/>
  <c r="N164" i="21"/>
  <c r="AI163" i="21"/>
  <c r="AH163" i="21"/>
  <c r="AG163" i="21"/>
  <c r="AF163" i="21"/>
  <c r="AE163" i="21"/>
  <c r="AD163" i="21"/>
  <c r="AC163" i="21"/>
  <c r="AB163" i="21"/>
  <c r="Y163" i="21"/>
  <c r="V163" i="21"/>
  <c r="U163" i="21"/>
  <c r="R163" i="21"/>
  <c r="Q163" i="21"/>
  <c r="N163" i="21"/>
  <c r="AI162" i="21"/>
  <c r="AH162" i="21"/>
  <c r="AG162" i="21"/>
  <c r="AF162" i="21"/>
  <c r="AE162" i="21"/>
  <c r="AD162" i="21"/>
  <c r="AC162" i="21"/>
  <c r="AB162" i="21"/>
  <c r="Y162" i="21"/>
  <c r="V162" i="21"/>
  <c r="U162" i="21"/>
  <c r="R162" i="21"/>
  <c r="Q162" i="21"/>
  <c r="N162" i="21"/>
  <c r="AI161" i="21"/>
  <c r="AH161" i="21"/>
  <c r="AG161" i="21"/>
  <c r="AF161" i="21"/>
  <c r="AE161" i="21"/>
  <c r="AD161" i="21"/>
  <c r="AC161" i="21"/>
  <c r="AB161" i="21"/>
  <c r="Y161" i="21"/>
  <c r="V161" i="21"/>
  <c r="U161" i="21"/>
  <c r="R161" i="21"/>
  <c r="Q161" i="21"/>
  <c r="N161" i="21"/>
  <c r="AI160" i="21"/>
  <c r="AH160" i="21"/>
  <c r="AG160" i="21"/>
  <c r="AF160" i="21"/>
  <c r="AE160" i="21"/>
  <c r="AD160" i="21"/>
  <c r="AC160" i="21"/>
  <c r="AB160" i="21"/>
  <c r="Y160" i="21"/>
  <c r="V160" i="21"/>
  <c r="U160" i="21"/>
  <c r="R160" i="21"/>
  <c r="Q160" i="21"/>
  <c r="N160" i="21"/>
  <c r="AI159" i="21"/>
  <c r="AH159" i="21"/>
  <c r="AG159" i="21"/>
  <c r="AF159" i="21"/>
  <c r="AE159" i="21"/>
  <c r="AD159" i="21"/>
  <c r="AC159" i="21"/>
  <c r="AB159" i="21"/>
  <c r="Y159" i="21"/>
  <c r="V159" i="21"/>
  <c r="U159" i="21"/>
  <c r="R159" i="21"/>
  <c r="Q159" i="21"/>
  <c r="N159" i="21"/>
  <c r="AI158" i="21"/>
  <c r="AH158" i="21"/>
  <c r="AG158" i="21"/>
  <c r="AF158" i="21"/>
  <c r="AE158" i="21"/>
  <c r="AD158" i="21"/>
  <c r="AC158" i="21"/>
  <c r="AB158" i="21"/>
  <c r="Y158" i="21"/>
  <c r="V158" i="21"/>
  <c r="U158" i="21"/>
  <c r="R158" i="21"/>
  <c r="Q158" i="21"/>
  <c r="N158" i="21"/>
  <c r="AI157" i="21"/>
  <c r="AH157" i="21"/>
  <c r="AG157" i="21"/>
  <c r="AF157" i="21"/>
  <c r="AE157" i="21"/>
  <c r="AD157" i="21"/>
  <c r="AC157" i="21"/>
  <c r="AB157" i="21"/>
  <c r="Y157" i="21"/>
  <c r="V157" i="21"/>
  <c r="U157" i="21"/>
  <c r="R157" i="21"/>
  <c r="Q157" i="21"/>
  <c r="N157" i="21"/>
  <c r="AI156" i="21"/>
  <c r="AH156" i="21"/>
  <c r="AG156" i="21"/>
  <c r="AF156" i="21"/>
  <c r="AE156" i="21"/>
  <c r="AD156" i="21"/>
  <c r="AC156" i="21"/>
  <c r="AB156" i="21"/>
  <c r="Y156" i="21"/>
  <c r="V156" i="21"/>
  <c r="U156" i="21"/>
  <c r="R156" i="21"/>
  <c r="Q156" i="21"/>
  <c r="N156" i="21"/>
  <c r="AC155" i="21"/>
  <c r="N155" i="21"/>
  <c r="AE154" i="21"/>
  <c r="AD154" i="21"/>
  <c r="AC154" i="21"/>
  <c r="AB154" i="21"/>
  <c r="N154" i="21"/>
  <c r="AE153" i="21"/>
  <c r="AD153" i="21"/>
  <c r="AC153" i="21"/>
  <c r="AB153" i="21"/>
  <c r="N153" i="21"/>
  <c r="AE152" i="21"/>
  <c r="AD152" i="21"/>
  <c r="AC152" i="21"/>
  <c r="AB152" i="21"/>
  <c r="N152" i="21"/>
  <c r="AE151" i="21"/>
  <c r="AD151" i="21"/>
  <c r="AC151" i="21"/>
  <c r="AB151" i="21"/>
  <c r="N151" i="21"/>
  <c r="AE150" i="21"/>
  <c r="AD150" i="21"/>
  <c r="AC150" i="21"/>
  <c r="AB150" i="21"/>
  <c r="N150" i="21"/>
  <c r="AE149" i="21"/>
  <c r="AD149" i="21"/>
  <c r="AC149" i="21"/>
  <c r="AB149" i="21"/>
  <c r="N149" i="21"/>
  <c r="AE148" i="21"/>
  <c r="AD148" i="21"/>
  <c r="AC148" i="21"/>
  <c r="AB148" i="21"/>
  <c r="N148" i="21"/>
  <c r="AE147" i="21"/>
  <c r="AD147" i="21"/>
  <c r="AC147" i="21"/>
  <c r="AB147" i="21"/>
  <c r="N147" i="21"/>
  <c r="AE146" i="21"/>
  <c r="AD146" i="21"/>
  <c r="AC146" i="21"/>
  <c r="AB146" i="21"/>
  <c r="N146" i="21"/>
  <c r="AE145" i="21"/>
  <c r="AD145" i="21"/>
  <c r="AC145" i="21"/>
  <c r="AB145" i="21"/>
  <c r="N145" i="21"/>
  <c r="AE144" i="21"/>
  <c r="AD144" i="21"/>
  <c r="AC144" i="21"/>
  <c r="AB144" i="21"/>
  <c r="N144" i="21"/>
  <c r="AE143" i="21"/>
  <c r="AD143" i="21"/>
  <c r="AC143" i="21"/>
  <c r="AB143" i="21"/>
  <c r="N143" i="21"/>
  <c r="AE142" i="21"/>
  <c r="AD142" i="21"/>
  <c r="AC142" i="21"/>
  <c r="AB142" i="21"/>
  <c r="N142" i="21"/>
  <c r="AE141" i="21"/>
  <c r="AD141" i="21"/>
  <c r="AC141" i="21"/>
  <c r="AB141" i="21"/>
  <c r="N141" i="21"/>
  <c r="AE140" i="21"/>
  <c r="AD140" i="21"/>
  <c r="AC140" i="21"/>
  <c r="AB140" i="21"/>
  <c r="N140" i="21"/>
  <c r="AE139" i="21"/>
  <c r="AD139" i="21"/>
  <c r="AC139" i="21"/>
  <c r="AB139" i="21"/>
  <c r="N139" i="21"/>
  <c r="AE138" i="21"/>
  <c r="AD138" i="21"/>
  <c r="AC138" i="21"/>
  <c r="AB138" i="21"/>
  <c r="N138" i="21"/>
  <c r="AE137" i="21"/>
  <c r="AD137" i="21"/>
  <c r="AC137" i="21"/>
  <c r="AB137" i="21"/>
  <c r="N137" i="21"/>
  <c r="AE136" i="21"/>
  <c r="AD136" i="21"/>
  <c r="AC136" i="21"/>
  <c r="AB136" i="21"/>
  <c r="N136" i="21"/>
  <c r="AE135" i="21"/>
  <c r="AD135" i="21"/>
  <c r="AC135" i="21"/>
  <c r="AB135" i="21"/>
  <c r="N135" i="21"/>
  <c r="AE134" i="21"/>
  <c r="AD134" i="21"/>
  <c r="AC134" i="21"/>
  <c r="AB134" i="21"/>
  <c r="N134" i="21"/>
  <c r="AE133" i="21"/>
  <c r="AD133" i="21"/>
  <c r="AC133" i="21"/>
  <c r="AB133" i="21"/>
  <c r="N133" i="21"/>
  <c r="AE132" i="21"/>
  <c r="AD132" i="21"/>
  <c r="AC132" i="21"/>
  <c r="AB132" i="21"/>
  <c r="N132" i="21"/>
  <c r="AE131" i="21"/>
  <c r="AD131" i="21"/>
  <c r="AC131" i="21"/>
  <c r="AB131" i="21"/>
  <c r="N131" i="21"/>
  <c r="AE130" i="21"/>
  <c r="AD130" i="21"/>
  <c r="AC130" i="21"/>
  <c r="AB130" i="21"/>
  <c r="N130" i="21"/>
  <c r="AE129" i="21"/>
  <c r="AD129" i="21"/>
  <c r="AC129" i="21"/>
  <c r="AB129" i="21"/>
  <c r="N129" i="21"/>
  <c r="AE128" i="21"/>
  <c r="AD128" i="21"/>
  <c r="AC128" i="21"/>
  <c r="AB128" i="21"/>
  <c r="N128" i="21"/>
  <c r="AE127" i="21"/>
  <c r="AD127" i="21"/>
  <c r="AC127" i="21"/>
  <c r="AB127" i="21"/>
  <c r="N127" i="21"/>
  <c r="AE126" i="21"/>
  <c r="AD126" i="21"/>
  <c r="AC126" i="21"/>
  <c r="AB126" i="21"/>
  <c r="N126" i="21"/>
  <c r="AE125" i="21"/>
  <c r="AD125" i="21"/>
  <c r="AC125" i="21"/>
  <c r="AB125" i="21"/>
  <c r="N125" i="21"/>
  <c r="AE124" i="21"/>
  <c r="AD124" i="21"/>
  <c r="AC124" i="21"/>
  <c r="AB124" i="21"/>
  <c r="N124" i="21"/>
  <c r="AE123" i="21"/>
  <c r="AD123" i="21"/>
  <c r="AC123" i="21"/>
  <c r="AB123" i="21"/>
  <c r="N123" i="21"/>
  <c r="AE122" i="21"/>
  <c r="AD122" i="21"/>
  <c r="AC122" i="21"/>
  <c r="AB122" i="21"/>
  <c r="N122" i="21"/>
  <c r="AE121" i="21"/>
  <c r="AD121" i="21"/>
  <c r="AC121" i="21"/>
  <c r="AB121" i="21"/>
  <c r="N121" i="21"/>
  <c r="AE120" i="21"/>
  <c r="AD120" i="21"/>
  <c r="AC120" i="21"/>
  <c r="AB120" i="21"/>
  <c r="N120" i="21"/>
  <c r="AE119" i="21"/>
  <c r="AD119" i="21"/>
  <c r="AC119" i="21"/>
  <c r="AB119" i="21"/>
  <c r="N119" i="21"/>
  <c r="AE118" i="21"/>
  <c r="AD118" i="21"/>
  <c r="AC118" i="21"/>
  <c r="AB118" i="21"/>
  <c r="N118" i="21"/>
  <c r="AE117" i="21"/>
  <c r="AD117" i="21"/>
  <c r="AC117" i="21"/>
  <c r="AB117" i="21"/>
  <c r="N117" i="21"/>
  <c r="AE116" i="21"/>
  <c r="AD116" i="21"/>
  <c r="AC116" i="21"/>
  <c r="AB116" i="21"/>
  <c r="N116" i="21"/>
  <c r="AE115" i="21"/>
  <c r="AD115" i="21"/>
  <c r="AC115" i="21"/>
  <c r="AB115" i="21"/>
  <c r="N115" i="21"/>
  <c r="AE114" i="21"/>
  <c r="AD114" i="21"/>
  <c r="AC114" i="21"/>
  <c r="AB114" i="21"/>
  <c r="N114" i="21"/>
  <c r="AE113" i="21"/>
  <c r="AD113" i="21"/>
  <c r="AC113" i="21"/>
  <c r="AB113" i="21"/>
  <c r="N113" i="21"/>
  <c r="AE112" i="21"/>
  <c r="AD112" i="21"/>
  <c r="AC112" i="21"/>
  <c r="AB112" i="21"/>
  <c r="N112" i="21"/>
  <c r="AE111" i="21"/>
  <c r="AD111" i="21"/>
  <c r="AC111" i="21"/>
  <c r="AB111" i="21"/>
  <c r="N111" i="21"/>
  <c r="AE110" i="21"/>
  <c r="AD110" i="21"/>
  <c r="AC110" i="21"/>
  <c r="AB110" i="21"/>
  <c r="N110" i="21"/>
  <c r="AE109" i="21"/>
  <c r="AD109" i="21"/>
  <c r="AC109" i="21"/>
  <c r="AB109" i="21"/>
  <c r="N109" i="21"/>
  <c r="AE108" i="21"/>
  <c r="AD108" i="21"/>
  <c r="AC108" i="21"/>
  <c r="AB108" i="21"/>
  <c r="N108" i="21"/>
  <c r="G108" i="21"/>
  <c r="AE107" i="21"/>
  <c r="AD107" i="21"/>
  <c r="AC107" i="21"/>
  <c r="AB107" i="21"/>
  <c r="N107" i="21"/>
  <c r="D107" i="21"/>
  <c r="C107" i="21"/>
  <c r="AE106" i="21"/>
  <c r="AD106" i="21"/>
  <c r="AC106" i="21"/>
  <c r="AB106" i="21"/>
  <c r="N106" i="21"/>
  <c r="AE105" i="21"/>
  <c r="AD105" i="21"/>
  <c r="AC105" i="21"/>
  <c r="AB105" i="21"/>
  <c r="N105" i="21"/>
  <c r="AE104" i="21"/>
  <c r="AD104" i="21"/>
  <c r="AC104" i="21"/>
  <c r="AB104" i="21"/>
  <c r="N104" i="21"/>
  <c r="AE103" i="21"/>
  <c r="AD103" i="21"/>
  <c r="AC103" i="21"/>
  <c r="AB103" i="21"/>
  <c r="N103" i="21"/>
  <c r="AE102" i="21"/>
  <c r="AD102" i="21"/>
  <c r="AC102" i="21"/>
  <c r="AB102" i="21"/>
  <c r="N102" i="21"/>
  <c r="AE101" i="21"/>
  <c r="AD101" i="21"/>
  <c r="AC101" i="21"/>
  <c r="AB101" i="21"/>
  <c r="N101" i="21"/>
  <c r="AE100" i="21"/>
  <c r="AD100" i="21"/>
  <c r="AC100" i="21"/>
  <c r="AB100" i="21"/>
  <c r="N100" i="21"/>
  <c r="AE99" i="21"/>
  <c r="AD99" i="21"/>
  <c r="AC99" i="21"/>
  <c r="AB99" i="21"/>
  <c r="N99" i="21"/>
  <c r="AE98" i="21"/>
  <c r="AD98" i="21"/>
  <c r="AC98" i="21"/>
  <c r="AB98" i="21"/>
  <c r="N98" i="21"/>
  <c r="AE97" i="21"/>
  <c r="AD97" i="21"/>
  <c r="AC97" i="21"/>
  <c r="AB97" i="21"/>
  <c r="N97" i="21"/>
  <c r="AE96" i="21"/>
  <c r="AD96" i="21"/>
  <c r="AC96" i="21"/>
  <c r="AB96" i="21"/>
  <c r="N96" i="21"/>
  <c r="N95" i="21"/>
  <c r="N94" i="21"/>
  <c r="F94" i="21"/>
  <c r="AE155" i="21" s="1"/>
  <c r="E94" i="21"/>
  <c r="AD155" i="21" s="1"/>
  <c r="N93" i="21"/>
  <c r="F93" i="21"/>
  <c r="E93" i="21"/>
  <c r="C93" i="21"/>
  <c r="N92" i="21"/>
  <c r="F92" i="21"/>
  <c r="E92" i="21"/>
  <c r="C92" i="21"/>
  <c r="N91" i="21"/>
  <c r="F91" i="21"/>
  <c r="E91" i="21"/>
  <c r="C91" i="21"/>
  <c r="N90" i="21"/>
  <c r="F90" i="21"/>
  <c r="E90" i="21"/>
  <c r="C90" i="21"/>
  <c r="N89" i="21"/>
  <c r="F89" i="21"/>
  <c r="E89" i="21"/>
  <c r="C89" i="21"/>
  <c r="N88" i="21"/>
  <c r="F88" i="21"/>
  <c r="E88" i="21"/>
  <c r="C88" i="21"/>
  <c r="N87" i="21"/>
  <c r="F87" i="21"/>
  <c r="E87" i="21"/>
  <c r="C87" i="21"/>
  <c r="N86" i="21"/>
  <c r="F86" i="21"/>
  <c r="E86" i="21"/>
  <c r="C86" i="21"/>
  <c r="N85" i="21"/>
  <c r="F85" i="21"/>
  <c r="E85" i="21"/>
  <c r="C85" i="21"/>
  <c r="N84" i="21"/>
  <c r="F84" i="21"/>
  <c r="E84" i="21"/>
  <c r="C84" i="21"/>
  <c r="N83" i="21"/>
  <c r="F83" i="21"/>
  <c r="E83" i="21"/>
  <c r="C83" i="21"/>
  <c r="N82" i="21"/>
  <c r="F82" i="21"/>
  <c r="E82" i="21"/>
  <c r="C82" i="21"/>
  <c r="N81" i="21"/>
  <c r="N80" i="21"/>
  <c r="N79" i="21"/>
  <c r="N78" i="21"/>
  <c r="N77" i="21"/>
  <c r="N76" i="21"/>
  <c r="N75" i="21"/>
  <c r="N74" i="21"/>
  <c r="N73" i="21"/>
  <c r="N72" i="21"/>
  <c r="N71" i="21"/>
  <c r="N70" i="21"/>
  <c r="N69" i="21"/>
  <c r="N68" i="21"/>
  <c r="N67" i="21"/>
  <c r="N66" i="21"/>
  <c r="N65" i="21"/>
  <c r="N64" i="21"/>
  <c r="N63" i="21"/>
  <c r="N62" i="21"/>
  <c r="N61" i="21"/>
  <c r="N60" i="21"/>
  <c r="N59" i="21"/>
  <c r="N58" i="21"/>
  <c r="N57" i="21"/>
  <c r="N56" i="21"/>
  <c r="N55" i="21"/>
  <c r="N54" i="21"/>
  <c r="N53" i="21"/>
  <c r="N52" i="21"/>
  <c r="N51" i="21"/>
  <c r="N50" i="21"/>
  <c r="N49" i="21"/>
  <c r="N48" i="21"/>
  <c r="N47" i="21"/>
  <c r="N46" i="21"/>
  <c r="N45" i="21"/>
  <c r="N44" i="21"/>
  <c r="N43" i="21"/>
  <c r="N42" i="21"/>
  <c r="N41" i="21"/>
  <c r="N40" i="21"/>
  <c r="E40" i="21"/>
  <c r="F40" i="21" s="1"/>
  <c r="N39" i="21"/>
  <c r="E39" i="21"/>
  <c r="F39" i="21" s="1"/>
  <c r="N38" i="21"/>
  <c r="E38" i="21"/>
  <c r="F38" i="21" s="1"/>
  <c r="N37" i="21"/>
  <c r="E37" i="21"/>
  <c r="F37" i="21" s="1"/>
  <c r="N36" i="21"/>
  <c r="E36" i="21"/>
  <c r="F36" i="21" s="1"/>
  <c r="N35" i="21"/>
  <c r="E35" i="21"/>
  <c r="F35" i="21" s="1"/>
  <c r="N34" i="21"/>
  <c r="E34" i="21"/>
  <c r="F34" i="21" s="1"/>
  <c r="N33" i="21"/>
  <c r="E33" i="21"/>
  <c r="F33" i="21" s="1"/>
  <c r="N32" i="21"/>
  <c r="E32" i="21"/>
  <c r="F32" i="21" s="1"/>
  <c r="N31" i="21"/>
  <c r="E31" i="21"/>
  <c r="F31" i="21" s="1"/>
  <c r="N30" i="21"/>
  <c r="E30" i="21"/>
  <c r="F30" i="21" s="1"/>
  <c r="N29" i="21"/>
  <c r="E29" i="21"/>
  <c r="F29" i="21" s="1"/>
  <c r="N28" i="21"/>
  <c r="E28" i="21"/>
  <c r="F28" i="21" s="1"/>
  <c r="N27" i="21"/>
  <c r="E27" i="21"/>
  <c r="F27" i="21" s="1"/>
  <c r="N26" i="21"/>
  <c r="E26" i="21"/>
  <c r="F26" i="21" s="1"/>
  <c r="N25" i="21"/>
  <c r="E25" i="21"/>
  <c r="F25" i="21" s="1"/>
  <c r="G25" i="21" s="1"/>
  <c r="N24" i="21"/>
  <c r="N23" i="21"/>
  <c r="N22" i="21"/>
  <c r="N21" i="21"/>
  <c r="N20" i="21"/>
  <c r="N19" i="21"/>
  <c r="F19" i="21"/>
  <c r="S5" i="21" s="1"/>
  <c r="T5" i="21" s="1"/>
  <c r="N18" i="21"/>
  <c r="N17" i="21"/>
  <c r="N16" i="21"/>
  <c r="N15" i="21"/>
  <c r="F15" i="21"/>
  <c r="N14" i="21"/>
  <c r="N13" i="21"/>
  <c r="F13" i="21"/>
  <c r="N12" i="21"/>
  <c r="N11" i="21"/>
  <c r="F11" i="21"/>
  <c r="N10" i="21"/>
  <c r="F10" i="21"/>
  <c r="N9" i="21"/>
  <c r="F9" i="21"/>
  <c r="D9" i="21"/>
  <c r="N8" i="21"/>
  <c r="F8" i="21"/>
  <c r="N7" i="21"/>
  <c r="N6" i="21"/>
  <c r="F6" i="21"/>
  <c r="V7" i="21" s="1"/>
  <c r="AI5" i="21"/>
  <c r="N5" i="21"/>
  <c r="F5" i="21"/>
  <c r="U19" i="21" s="1"/>
  <c r="V108" i="21" l="1"/>
  <c r="V125" i="21"/>
  <c r="V107" i="21"/>
  <c r="V116" i="21"/>
  <c r="V133" i="21"/>
  <c r="V141" i="21"/>
  <c r="V97" i="21"/>
  <c r="V149" i="21"/>
  <c r="V105" i="21"/>
  <c r="U124" i="21"/>
  <c r="U98" i="21"/>
  <c r="V99" i="21"/>
  <c r="U106" i="21"/>
  <c r="U109" i="21"/>
  <c r="V110" i="21"/>
  <c r="U117" i="21"/>
  <c r="V118" i="21"/>
  <c r="U126" i="21"/>
  <c r="V127" i="21"/>
  <c r="U134" i="21"/>
  <c r="V135" i="21"/>
  <c r="U142" i="21"/>
  <c r="V143" i="21"/>
  <c r="U150" i="21"/>
  <c r="V151" i="21"/>
  <c r="U132" i="21"/>
  <c r="U140" i="21"/>
  <c r="U17" i="21"/>
  <c r="U97" i="21"/>
  <c r="V98" i="21"/>
  <c r="U105" i="21"/>
  <c r="V106" i="21"/>
  <c r="U107" i="21"/>
  <c r="U108" i="21"/>
  <c r="V109" i="21"/>
  <c r="U116" i="21"/>
  <c r="V117" i="21"/>
  <c r="U125" i="21"/>
  <c r="V126" i="21"/>
  <c r="U133" i="21"/>
  <c r="V134" i="21"/>
  <c r="U141" i="21"/>
  <c r="V142" i="21"/>
  <c r="U149" i="21"/>
  <c r="V150" i="21"/>
  <c r="U56" i="21"/>
  <c r="U96" i="21"/>
  <c r="U64" i="21"/>
  <c r="V96" i="21"/>
  <c r="U103" i="21"/>
  <c r="V104" i="21"/>
  <c r="U114" i="21"/>
  <c r="V115" i="21"/>
  <c r="U122" i="21"/>
  <c r="U123" i="21"/>
  <c r="V124" i="21"/>
  <c r="U131" i="21"/>
  <c r="V132" i="21"/>
  <c r="U139" i="21"/>
  <c r="V140" i="21"/>
  <c r="U147" i="21"/>
  <c r="V148" i="21"/>
  <c r="U155" i="21"/>
  <c r="U102" i="21"/>
  <c r="V103" i="21"/>
  <c r="U113" i="21"/>
  <c r="V114" i="21"/>
  <c r="U121" i="21"/>
  <c r="V122" i="21"/>
  <c r="V123" i="21"/>
  <c r="U130" i="21"/>
  <c r="V131" i="21"/>
  <c r="U138" i="21"/>
  <c r="V139" i="21"/>
  <c r="U146" i="21"/>
  <c r="V147" i="21"/>
  <c r="U154" i="21"/>
  <c r="V155" i="21"/>
  <c r="U104" i="21"/>
  <c r="U101" i="21"/>
  <c r="V102" i="21"/>
  <c r="U112" i="21"/>
  <c r="V113" i="21"/>
  <c r="U120" i="21"/>
  <c r="V121" i="21"/>
  <c r="U129" i="21"/>
  <c r="V130" i="21"/>
  <c r="U137" i="21"/>
  <c r="V138" i="21"/>
  <c r="U145" i="21"/>
  <c r="V146" i="21"/>
  <c r="U153" i="21"/>
  <c r="V154" i="21"/>
  <c r="U100" i="21"/>
  <c r="V101" i="21"/>
  <c r="U111" i="21"/>
  <c r="V112" i="21"/>
  <c r="U119" i="21"/>
  <c r="V120" i="21"/>
  <c r="U128" i="21"/>
  <c r="V129" i="21"/>
  <c r="U136" i="21"/>
  <c r="V137" i="21"/>
  <c r="U144" i="21"/>
  <c r="V145" i="21"/>
  <c r="U152" i="21"/>
  <c r="V153" i="21"/>
  <c r="U115" i="21"/>
  <c r="U148" i="21"/>
  <c r="U99" i="21"/>
  <c r="V100" i="21"/>
  <c r="U110" i="21"/>
  <c r="V111" i="21"/>
  <c r="U118" i="21"/>
  <c r="V119" i="21"/>
  <c r="U127" i="21"/>
  <c r="V128" i="21"/>
  <c r="U135" i="21"/>
  <c r="V136" i="21"/>
  <c r="U143" i="21"/>
  <c r="V144" i="21"/>
  <c r="U151" i="21"/>
  <c r="V152" i="21"/>
  <c r="C61" i="21"/>
  <c r="B60" i="21"/>
  <c r="G60" i="21" s="1"/>
  <c r="G59" i="21"/>
  <c r="C62" i="21"/>
  <c r="B61" i="21"/>
  <c r="B57" i="13"/>
  <c r="G57" i="13" s="1"/>
  <c r="C58" i="13"/>
  <c r="G58" i="13" s="1"/>
  <c r="K16" i="20"/>
  <c r="O16" i="20" s="1"/>
  <c r="J17" i="20"/>
  <c r="B93" i="20"/>
  <c r="G47" i="20"/>
  <c r="G46" i="20"/>
  <c r="H91" i="21"/>
  <c r="H87" i="21"/>
  <c r="H93" i="21"/>
  <c r="H92" i="21"/>
  <c r="B88" i="18"/>
  <c r="B90" i="13"/>
  <c r="G35" i="26"/>
  <c r="G34" i="26"/>
  <c r="V53" i="21"/>
  <c r="U48" i="21"/>
  <c r="V61" i="21"/>
  <c r="V77" i="21"/>
  <c r="U87" i="21"/>
  <c r="U6" i="21"/>
  <c r="U9" i="21"/>
  <c r="V48" i="21"/>
  <c r="U51" i="21"/>
  <c r="V56" i="21"/>
  <c r="U59" i="21"/>
  <c r="V64" i="21"/>
  <c r="U67" i="21"/>
  <c r="V72" i="21"/>
  <c r="U75" i="21"/>
  <c r="V80" i="21"/>
  <c r="V83" i="21"/>
  <c r="V87" i="21"/>
  <c r="V91" i="21"/>
  <c r="V69" i="21"/>
  <c r="L29" i="21"/>
  <c r="U46" i="21"/>
  <c r="V51" i="21"/>
  <c r="U54" i="21"/>
  <c r="V59" i="21"/>
  <c r="U62" i="21"/>
  <c r="V67" i="21"/>
  <c r="U70" i="21"/>
  <c r="V75" i="21"/>
  <c r="U78" i="21"/>
  <c r="U82" i="21"/>
  <c r="U86" i="21"/>
  <c r="U90" i="21"/>
  <c r="U94" i="21"/>
  <c r="U83" i="21"/>
  <c r="U91" i="21"/>
  <c r="U7" i="21"/>
  <c r="V46" i="21"/>
  <c r="U49" i="21"/>
  <c r="V54" i="21"/>
  <c r="U57" i="21"/>
  <c r="V62" i="21"/>
  <c r="U65" i="21"/>
  <c r="V70" i="21"/>
  <c r="U73" i="21"/>
  <c r="V78" i="21"/>
  <c r="U81" i="21"/>
  <c r="V82" i="21"/>
  <c r="V86" i="21"/>
  <c r="V90" i="21"/>
  <c r="V94" i="21"/>
  <c r="V15" i="21"/>
  <c r="V49" i="21"/>
  <c r="U52" i="21"/>
  <c r="V57" i="21"/>
  <c r="U60" i="21"/>
  <c r="V65" i="21"/>
  <c r="U68" i="21"/>
  <c r="V73" i="21"/>
  <c r="U76" i="21"/>
  <c r="V81" i="21"/>
  <c r="U85" i="21"/>
  <c r="U89" i="21"/>
  <c r="U93" i="21"/>
  <c r="U72" i="21"/>
  <c r="U20" i="21"/>
  <c r="U47" i="21"/>
  <c r="V52" i="21"/>
  <c r="U55" i="21"/>
  <c r="V60" i="21"/>
  <c r="U63" i="21"/>
  <c r="V68" i="21"/>
  <c r="U71" i="21"/>
  <c r="V76" i="21"/>
  <c r="U79" i="21"/>
  <c r="V85" i="21"/>
  <c r="V89" i="21"/>
  <c r="V93" i="21"/>
  <c r="U95" i="21"/>
  <c r="U80" i="21"/>
  <c r="U16" i="21"/>
  <c r="V47" i="21"/>
  <c r="U50" i="21"/>
  <c r="V55" i="21"/>
  <c r="U58" i="21"/>
  <c r="V63" i="21"/>
  <c r="U66" i="21"/>
  <c r="V71" i="21"/>
  <c r="U74" i="21"/>
  <c r="V79" i="21"/>
  <c r="U84" i="21"/>
  <c r="U88" i="21"/>
  <c r="U92" i="21"/>
  <c r="V95" i="21"/>
  <c r="V50" i="21"/>
  <c r="U53" i="21"/>
  <c r="V58" i="21"/>
  <c r="U61" i="21"/>
  <c r="V66" i="21"/>
  <c r="U69" i="21"/>
  <c r="V74" i="21"/>
  <c r="U77" i="21"/>
  <c r="V84" i="21"/>
  <c r="V88" i="21"/>
  <c r="V92" i="21"/>
  <c r="H90" i="21"/>
  <c r="H89" i="21"/>
  <c r="H83" i="21"/>
  <c r="G26" i="21"/>
  <c r="H85" i="21"/>
  <c r="L8" i="21"/>
  <c r="J6" i="21"/>
  <c r="K6" i="21" s="1"/>
  <c r="M15" i="21"/>
  <c r="L9" i="21"/>
  <c r="B88" i="19"/>
  <c r="H84" i="21"/>
  <c r="V5" i="21"/>
  <c r="X5" i="21" s="1"/>
  <c r="L6" i="21"/>
  <c r="V6" i="21"/>
  <c r="M8" i="21"/>
  <c r="M204" i="21"/>
  <c r="M200" i="21"/>
  <c r="M196" i="21"/>
  <c r="M192" i="21"/>
  <c r="M188" i="21"/>
  <c r="M184" i="21"/>
  <c r="M180" i="21"/>
  <c r="M176" i="21"/>
  <c r="M172" i="21"/>
  <c r="M168" i="21"/>
  <c r="M164" i="21"/>
  <c r="M160" i="21"/>
  <c r="M156" i="21"/>
  <c r="M152" i="21"/>
  <c r="L204" i="21"/>
  <c r="J203" i="21"/>
  <c r="L200" i="21"/>
  <c r="J199" i="21"/>
  <c r="L196" i="21"/>
  <c r="J195" i="21"/>
  <c r="L192" i="21"/>
  <c r="J191" i="21"/>
  <c r="L188" i="21"/>
  <c r="J187" i="21"/>
  <c r="L184" i="21"/>
  <c r="J183" i="21"/>
  <c r="L180" i="21"/>
  <c r="J179" i="21"/>
  <c r="L176" i="21"/>
  <c r="J175" i="21"/>
  <c r="L172" i="21"/>
  <c r="J171" i="21"/>
  <c r="L168" i="21"/>
  <c r="J167" i="21"/>
  <c r="L164" i="21"/>
  <c r="J163" i="21"/>
  <c r="L160" i="21"/>
  <c r="J159" i="21"/>
  <c r="L156" i="21"/>
  <c r="M205" i="21"/>
  <c r="M201" i="21"/>
  <c r="M197" i="21"/>
  <c r="M193" i="21"/>
  <c r="M189" i="21"/>
  <c r="M185" i="21"/>
  <c r="M181" i="21"/>
  <c r="M177" i="21"/>
  <c r="M173" i="21"/>
  <c r="M169" i="21"/>
  <c r="M165" i="21"/>
  <c r="M161" i="21"/>
  <c r="M157" i="21"/>
  <c r="M153" i="21"/>
  <c r="L205" i="21"/>
  <c r="J204" i="21"/>
  <c r="L201" i="21"/>
  <c r="J200" i="21"/>
  <c r="L197" i="21"/>
  <c r="J196" i="21"/>
  <c r="L193" i="21"/>
  <c r="J192" i="21"/>
  <c r="L189" i="21"/>
  <c r="J188" i="21"/>
  <c r="L185" i="21"/>
  <c r="J184" i="21"/>
  <c r="L181" i="21"/>
  <c r="J180" i="21"/>
  <c r="L177" i="21"/>
  <c r="J176" i="21"/>
  <c r="L173" i="21"/>
  <c r="J172" i="21"/>
  <c r="L169" i="21"/>
  <c r="J168" i="21"/>
  <c r="L165" i="21"/>
  <c r="J164" i="21"/>
  <c r="L161" i="21"/>
  <c r="J160" i="21"/>
  <c r="L157" i="21"/>
  <c r="J156" i="21"/>
  <c r="L153" i="21"/>
  <c r="L149" i="21"/>
  <c r="L145" i="21"/>
  <c r="L141" i="21"/>
  <c r="L137" i="21"/>
  <c r="L133" i="21"/>
  <c r="L129" i="21"/>
  <c r="L123" i="21"/>
  <c r="M122" i="21"/>
  <c r="M202" i="21"/>
  <c r="M198" i="21"/>
  <c r="M194" i="21"/>
  <c r="M190" i="21"/>
  <c r="M186" i="21"/>
  <c r="M182" i="21"/>
  <c r="M178" i="21"/>
  <c r="M174" i="21"/>
  <c r="M170" i="21"/>
  <c r="M166" i="21"/>
  <c r="M162" i="21"/>
  <c r="M158" i="21"/>
  <c r="J205" i="21"/>
  <c r="L202" i="21"/>
  <c r="J201" i="21"/>
  <c r="L198" i="21"/>
  <c r="J197" i="21"/>
  <c r="L194" i="21"/>
  <c r="J193" i="21"/>
  <c r="L190" i="21"/>
  <c r="J189" i="21"/>
  <c r="L186" i="21"/>
  <c r="J185" i="21"/>
  <c r="L182" i="21"/>
  <c r="J181" i="21"/>
  <c r="L178" i="21"/>
  <c r="J177" i="21"/>
  <c r="L174" i="21"/>
  <c r="J173" i="21"/>
  <c r="L170" i="21"/>
  <c r="J169" i="21"/>
  <c r="L166" i="21"/>
  <c r="J165" i="21"/>
  <c r="L162" i="21"/>
  <c r="J161" i="21"/>
  <c r="L158" i="21"/>
  <c r="J157" i="21"/>
  <c r="L154" i="21"/>
  <c r="L150" i="21"/>
  <c r="L146" i="21"/>
  <c r="L142" i="21"/>
  <c r="L138" i="21"/>
  <c r="M203" i="21"/>
  <c r="M199" i="21"/>
  <c r="M195" i="21"/>
  <c r="M191" i="21"/>
  <c r="M187" i="21"/>
  <c r="M183" i="21"/>
  <c r="M179" i="21"/>
  <c r="M175" i="21"/>
  <c r="M171" i="21"/>
  <c r="M167" i="21"/>
  <c r="M163" i="21"/>
  <c r="M159" i="21"/>
  <c r="M155" i="21"/>
  <c r="M151" i="21"/>
  <c r="M147" i="21"/>
  <c r="M143" i="21"/>
  <c r="M139" i="21"/>
  <c r="M135" i="21"/>
  <c r="M131" i="21"/>
  <c r="M127" i="21"/>
  <c r="M125" i="21"/>
  <c r="L148" i="21"/>
  <c r="L140" i="21"/>
  <c r="L122" i="21"/>
  <c r="M119" i="21"/>
  <c r="M114" i="21"/>
  <c r="M111" i="21"/>
  <c r="L105" i="21"/>
  <c r="L101" i="21"/>
  <c r="L97" i="21"/>
  <c r="M145" i="21"/>
  <c r="M137" i="21"/>
  <c r="L119" i="21"/>
  <c r="L114" i="21"/>
  <c r="M113" i="21"/>
  <c r="L111" i="21"/>
  <c r="M107" i="21"/>
  <c r="M106" i="21"/>
  <c r="M102" i="21"/>
  <c r="M98" i="21"/>
  <c r="M94" i="21"/>
  <c r="L89" i="21"/>
  <c r="M86" i="21"/>
  <c r="L81" i="21"/>
  <c r="L77" i="21"/>
  <c r="L73" i="21"/>
  <c r="L69" i="21"/>
  <c r="L203" i="21"/>
  <c r="J202" i="21"/>
  <c r="L195" i="21"/>
  <c r="J194" i="21"/>
  <c r="L187" i="21"/>
  <c r="J186" i="21"/>
  <c r="L179" i="21"/>
  <c r="J178" i="21"/>
  <c r="L171" i="21"/>
  <c r="J170" i="21"/>
  <c r="L163" i="21"/>
  <c r="J162" i="21"/>
  <c r="M150" i="21"/>
  <c r="M142" i="21"/>
  <c r="M134" i="21"/>
  <c r="M132" i="21"/>
  <c r="M130" i="21"/>
  <c r="M128" i="21"/>
  <c r="L125" i="21"/>
  <c r="M123" i="21"/>
  <c r="M120" i="21"/>
  <c r="M115" i="21"/>
  <c r="L113" i="21"/>
  <c r="M112" i="21"/>
  <c r="M108" i="21"/>
  <c r="L107" i="21"/>
  <c r="L106" i="21"/>
  <c r="L102" i="21"/>
  <c r="L98" i="21"/>
  <c r="L94" i="21"/>
  <c r="L155" i="21"/>
  <c r="M154" i="21"/>
  <c r="L147" i="21"/>
  <c r="M144" i="21"/>
  <c r="L139" i="21"/>
  <c r="M136" i="21"/>
  <c r="L134" i="21"/>
  <c r="L132" i="21"/>
  <c r="L130" i="21"/>
  <c r="L128" i="21"/>
  <c r="L120" i="21"/>
  <c r="L115" i="21"/>
  <c r="L112" i="21"/>
  <c r="L108" i="21"/>
  <c r="M103" i="21"/>
  <c r="M99" i="21"/>
  <c r="M95" i="21"/>
  <c r="L91" i="21"/>
  <c r="M88" i="21"/>
  <c r="L83" i="21"/>
  <c r="L78" i="21"/>
  <c r="L74" i="21"/>
  <c r="L70" i="21"/>
  <c r="L144" i="21"/>
  <c r="L136" i="21"/>
  <c r="M121" i="21"/>
  <c r="M116" i="21"/>
  <c r="M109" i="21"/>
  <c r="L103" i="21"/>
  <c r="L99" i="21"/>
  <c r="L95" i="21"/>
  <c r="M93" i="21"/>
  <c r="L88" i="21"/>
  <c r="M85" i="21"/>
  <c r="M79" i="21"/>
  <c r="L152" i="21"/>
  <c r="M149" i="21"/>
  <c r="M141" i="21"/>
  <c r="M126" i="21"/>
  <c r="M124" i="21"/>
  <c r="L121" i="21"/>
  <c r="L116" i="21"/>
  <c r="L109" i="21"/>
  <c r="M104" i="21"/>
  <c r="M100" i="21"/>
  <c r="M96" i="21"/>
  <c r="L93" i="21"/>
  <c r="M90" i="21"/>
  <c r="L85" i="21"/>
  <c r="M82" i="21"/>
  <c r="L79" i="21"/>
  <c r="L75" i="21"/>
  <c r="L71" i="21"/>
  <c r="L191" i="21"/>
  <c r="L175" i="21"/>
  <c r="L159" i="21"/>
  <c r="M146" i="21"/>
  <c r="M138" i="21"/>
  <c r="L127" i="21"/>
  <c r="L126" i="21"/>
  <c r="L82" i="21"/>
  <c r="M81" i="21"/>
  <c r="M77" i="21"/>
  <c r="M129" i="21"/>
  <c r="M91" i="21"/>
  <c r="M87" i="21"/>
  <c r="L86" i="21"/>
  <c r="M80" i="21"/>
  <c r="M76" i="21"/>
  <c r="M71" i="21"/>
  <c r="M67" i="21"/>
  <c r="M63" i="21"/>
  <c r="M59" i="21"/>
  <c r="M55" i="21"/>
  <c r="M51" i="21"/>
  <c r="M47" i="21"/>
  <c r="M43" i="21"/>
  <c r="M148" i="21"/>
  <c r="M140" i="21"/>
  <c r="L87" i="21"/>
  <c r="M83" i="21"/>
  <c r="L80" i="21"/>
  <c r="L76" i="21"/>
  <c r="J198" i="21"/>
  <c r="J182" i="21"/>
  <c r="J166" i="21"/>
  <c r="L131" i="21"/>
  <c r="M92" i="21"/>
  <c r="M73" i="21"/>
  <c r="M68" i="21"/>
  <c r="M64" i="21"/>
  <c r="M60" i="21"/>
  <c r="M56" i="21"/>
  <c r="M52" i="21"/>
  <c r="M48" i="21"/>
  <c r="M44" i="21"/>
  <c r="M40" i="21"/>
  <c r="L199" i="21"/>
  <c r="L183" i="21"/>
  <c r="L167" i="21"/>
  <c r="M133" i="21"/>
  <c r="L92" i="21"/>
  <c r="M84" i="21"/>
  <c r="M70" i="21"/>
  <c r="L68" i="21"/>
  <c r="L64" i="21"/>
  <c r="L60" i="21"/>
  <c r="L56" i="21"/>
  <c r="L52" i="21"/>
  <c r="L48" i="21"/>
  <c r="L44" i="21"/>
  <c r="L40" i="21"/>
  <c r="M37" i="21"/>
  <c r="M118" i="21"/>
  <c r="M117" i="21"/>
  <c r="M110" i="21"/>
  <c r="L84" i="21"/>
  <c r="M75" i="21"/>
  <c r="M72" i="21"/>
  <c r="M65" i="21"/>
  <c r="M61" i="21"/>
  <c r="M57" i="21"/>
  <c r="M53" i="21"/>
  <c r="M49" i="21"/>
  <c r="M45" i="21"/>
  <c r="M41" i="21"/>
  <c r="L37" i="21"/>
  <c r="L151" i="21"/>
  <c r="L143" i="21"/>
  <c r="L135" i="21"/>
  <c r="L124" i="21"/>
  <c r="L118" i="21"/>
  <c r="L117" i="21"/>
  <c r="L110" i="21"/>
  <c r="M78" i="21"/>
  <c r="L72" i="21"/>
  <c r="L65" i="21"/>
  <c r="L61" i="21"/>
  <c r="L57" i="21"/>
  <c r="L53" i="21"/>
  <c r="L49" i="21"/>
  <c r="L45" i="21"/>
  <c r="L41" i="21"/>
  <c r="M39" i="21"/>
  <c r="M74" i="21"/>
  <c r="L67" i="21"/>
  <c r="M66" i="21"/>
  <c r="L59" i="21"/>
  <c r="M58" i="21"/>
  <c r="L51" i="21"/>
  <c r="M50" i="21"/>
  <c r="L42" i="21"/>
  <c r="L33" i="21"/>
  <c r="J190" i="21"/>
  <c r="L104" i="21"/>
  <c r="L66" i="21"/>
  <c r="L58" i="21"/>
  <c r="L50" i="21"/>
  <c r="M105" i="21"/>
  <c r="M89" i="21"/>
  <c r="J174" i="21"/>
  <c r="L100" i="21"/>
  <c r="L36" i="21"/>
  <c r="L34" i="21"/>
  <c r="M29" i="21"/>
  <c r="L26" i="21"/>
  <c r="L24" i="21"/>
  <c r="L23" i="21"/>
  <c r="L22" i="21"/>
  <c r="L21" i="21"/>
  <c r="M20" i="21"/>
  <c r="M19" i="21"/>
  <c r="M101" i="21"/>
  <c r="L63" i="21"/>
  <c r="M62" i="21"/>
  <c r="L55" i="21"/>
  <c r="M54" i="21"/>
  <c r="L47" i="21"/>
  <c r="M46" i="21"/>
  <c r="M32" i="21"/>
  <c r="J158" i="21"/>
  <c r="L96" i="21"/>
  <c r="L62" i="21"/>
  <c r="L54" i="21"/>
  <c r="L46" i="21"/>
  <c r="M35" i="21"/>
  <c r="L32" i="21"/>
  <c r="M27" i="21"/>
  <c r="M97" i="21"/>
  <c r="L90" i="21"/>
  <c r="M38" i="21"/>
  <c r="L35" i="21"/>
  <c r="M30" i="21"/>
  <c r="L27" i="21"/>
  <c r="L28" i="21"/>
  <c r="M25" i="21"/>
  <c r="M24" i="21"/>
  <c r="L43" i="21"/>
  <c r="M36" i="21"/>
  <c r="M21" i="21"/>
  <c r="M69" i="21"/>
  <c r="L14" i="21"/>
  <c r="L13" i="21"/>
  <c r="M12" i="21"/>
  <c r="M11" i="21"/>
  <c r="M42" i="21"/>
  <c r="L39" i="21"/>
  <c r="L38" i="21"/>
  <c r="M33" i="21"/>
  <c r="M31" i="21"/>
  <c r="L20" i="21"/>
  <c r="L19" i="21"/>
  <c r="L12" i="21"/>
  <c r="L11" i="21"/>
  <c r="M10" i="21"/>
  <c r="M34" i="21"/>
  <c r="L31" i="21"/>
  <c r="M22" i="21"/>
  <c r="M18" i="21"/>
  <c r="L10" i="21"/>
  <c r="M9" i="21"/>
  <c r="M13" i="21"/>
  <c r="V17" i="21"/>
  <c r="U18" i="21"/>
  <c r="L30" i="21"/>
  <c r="V16" i="21"/>
  <c r="M6" i="21"/>
  <c r="V14" i="21"/>
  <c r="L15" i="21"/>
  <c r="V18" i="21"/>
  <c r="M23" i="21"/>
  <c r="L25" i="21"/>
  <c r="G27" i="21"/>
  <c r="U44" i="21"/>
  <c r="U40" i="21"/>
  <c r="U37" i="21"/>
  <c r="U45" i="21"/>
  <c r="U41" i="21"/>
  <c r="U33" i="21"/>
  <c r="U38" i="21"/>
  <c r="U34" i="21"/>
  <c r="U26" i="21"/>
  <c r="U24" i="21"/>
  <c r="U23" i="21"/>
  <c r="U22" i="21"/>
  <c r="U21" i="21"/>
  <c r="U43" i="21"/>
  <c r="U42" i="21"/>
  <c r="U32" i="21"/>
  <c r="U36" i="21"/>
  <c r="U35" i="21"/>
  <c r="U27" i="21"/>
  <c r="U39" i="21"/>
  <c r="U30" i="21"/>
  <c r="U28" i="21"/>
  <c r="U25" i="21"/>
  <c r="U15" i="21"/>
  <c r="U14" i="21"/>
  <c r="U13" i="21"/>
  <c r="U29" i="21"/>
  <c r="U12" i="21"/>
  <c r="U11" i="21"/>
  <c r="U10" i="21"/>
  <c r="L16" i="21"/>
  <c r="L17" i="21"/>
  <c r="M16" i="21"/>
  <c r="M17" i="21"/>
  <c r="L18" i="21"/>
  <c r="M26" i="21"/>
  <c r="M5" i="21"/>
  <c r="O5" i="21" s="1"/>
  <c r="S203" i="21"/>
  <c r="S199" i="21"/>
  <c r="S195" i="21"/>
  <c r="S191" i="21"/>
  <c r="S187" i="21"/>
  <c r="S183" i="21"/>
  <c r="S179" i="21"/>
  <c r="S175" i="21"/>
  <c r="S171" i="21"/>
  <c r="S167" i="21"/>
  <c r="S163" i="21"/>
  <c r="S159" i="21"/>
  <c r="S204" i="21"/>
  <c r="S200" i="21"/>
  <c r="S196" i="21"/>
  <c r="S192" i="21"/>
  <c r="S188" i="21"/>
  <c r="S184" i="21"/>
  <c r="S180" i="21"/>
  <c r="S176" i="21"/>
  <c r="S172" i="21"/>
  <c r="S168" i="21"/>
  <c r="S164" i="21"/>
  <c r="S160" i="21"/>
  <c r="S156" i="21"/>
  <c r="S205" i="21"/>
  <c r="S201" i="21"/>
  <c r="S197" i="21"/>
  <c r="S193" i="21"/>
  <c r="S189" i="21"/>
  <c r="S185" i="21"/>
  <c r="S181" i="21"/>
  <c r="S177" i="21"/>
  <c r="S173" i="21"/>
  <c r="S169" i="21"/>
  <c r="S165" i="21"/>
  <c r="S161" i="21"/>
  <c r="S157" i="21"/>
  <c r="S198" i="21"/>
  <c r="S190" i="21"/>
  <c r="S182" i="21"/>
  <c r="S174" i="21"/>
  <c r="S166" i="21"/>
  <c r="S158" i="21"/>
  <c r="S194" i="21"/>
  <c r="S178" i="21"/>
  <c r="S162" i="21"/>
  <c r="S202" i="21"/>
  <c r="S186" i="21"/>
  <c r="S170" i="21"/>
  <c r="U31" i="21"/>
  <c r="L7" i="21"/>
  <c r="U8" i="21"/>
  <c r="M14" i="21"/>
  <c r="M28" i="21"/>
  <c r="V43" i="21"/>
  <c r="V44" i="21"/>
  <c r="V40" i="21"/>
  <c r="V37" i="21"/>
  <c r="V45" i="21"/>
  <c r="V41" i="21"/>
  <c r="V39" i="21"/>
  <c r="V42" i="21"/>
  <c r="V29" i="21"/>
  <c r="V20" i="21"/>
  <c r="V19" i="21"/>
  <c r="V32" i="21"/>
  <c r="V36" i="21"/>
  <c r="V35" i="21"/>
  <c r="V27" i="21"/>
  <c r="V30" i="21"/>
  <c r="V33" i="21"/>
  <c r="V31" i="21"/>
  <c r="V22" i="21"/>
  <c r="V38" i="21"/>
  <c r="V34" i="21"/>
  <c r="V28" i="21"/>
  <c r="V25" i="21"/>
  <c r="V24" i="21"/>
  <c r="V12" i="21"/>
  <c r="V11" i="21"/>
  <c r="V26" i="21"/>
  <c r="V23" i="21"/>
  <c r="V21" i="21"/>
  <c r="V10" i="21"/>
  <c r="V9" i="21"/>
  <c r="M7" i="21"/>
  <c r="V8" i="21"/>
  <c r="V13" i="21"/>
  <c r="H88" i="21"/>
  <c r="H82" i="21"/>
  <c r="H86" i="21"/>
  <c r="C64" i="21" l="1"/>
  <c r="B63" i="21"/>
  <c r="B62" i="21"/>
  <c r="G62" i="21" s="1"/>
  <c r="C63" i="21"/>
  <c r="G61" i="21"/>
  <c r="C60" i="13"/>
  <c r="G60" i="13" s="1"/>
  <c r="B59" i="13"/>
  <c r="G59" i="13" s="1"/>
  <c r="J7" i="21"/>
  <c r="K7" i="21" s="1"/>
  <c r="O7" i="21" s="1"/>
  <c r="K17" i="20"/>
  <c r="O17" i="20" s="1"/>
  <c r="J18" i="20"/>
  <c r="G48" i="20"/>
  <c r="G49" i="20"/>
  <c r="B94" i="13"/>
  <c r="B89" i="18"/>
  <c r="B91" i="13"/>
  <c r="G37" i="26"/>
  <c r="G36" i="26"/>
  <c r="O6" i="21"/>
  <c r="B89" i="19"/>
  <c r="T190" i="21"/>
  <c r="X190" i="21" s="1"/>
  <c r="T169" i="21"/>
  <c r="X169" i="21" s="1"/>
  <c r="T201" i="21"/>
  <c r="X201" i="21" s="1"/>
  <c r="T180" i="21"/>
  <c r="X180" i="21" s="1"/>
  <c r="T159" i="21"/>
  <c r="X159" i="21" s="1"/>
  <c r="T191" i="21"/>
  <c r="X191" i="21" s="1"/>
  <c r="K190" i="21"/>
  <c r="O190" i="21" s="1"/>
  <c r="K169" i="21"/>
  <c r="O169" i="21" s="1"/>
  <c r="K185" i="21"/>
  <c r="O185" i="21" s="1"/>
  <c r="K201" i="21"/>
  <c r="O201" i="21" s="1"/>
  <c r="K156" i="21"/>
  <c r="O156" i="21" s="1"/>
  <c r="K172" i="21"/>
  <c r="O172" i="21" s="1"/>
  <c r="K188" i="21"/>
  <c r="O188" i="21" s="1"/>
  <c r="K204" i="21"/>
  <c r="O204" i="21" s="1"/>
  <c r="K171" i="21"/>
  <c r="O171" i="21" s="1"/>
  <c r="K187" i="21"/>
  <c r="O187" i="21" s="1"/>
  <c r="K203" i="21"/>
  <c r="O203" i="21" s="1"/>
  <c r="T176" i="21"/>
  <c r="X176" i="21" s="1"/>
  <c r="K178" i="21"/>
  <c r="O178" i="21" s="1"/>
  <c r="T170" i="21"/>
  <c r="X170" i="21" s="1"/>
  <c r="T198" i="21"/>
  <c r="X198" i="21" s="1"/>
  <c r="T173" i="21"/>
  <c r="X173" i="21" s="1"/>
  <c r="T205" i="21"/>
  <c r="X205" i="21" s="1"/>
  <c r="T184" i="21"/>
  <c r="X184" i="21" s="1"/>
  <c r="T163" i="21"/>
  <c r="X163" i="21" s="1"/>
  <c r="T195" i="21"/>
  <c r="X195" i="21" s="1"/>
  <c r="G28" i="21"/>
  <c r="K186" i="21"/>
  <c r="O186" i="21" s="1"/>
  <c r="T186" i="21"/>
  <c r="X186" i="21" s="1"/>
  <c r="T177" i="21"/>
  <c r="X177" i="21" s="1"/>
  <c r="T156" i="21"/>
  <c r="X156" i="21" s="1"/>
  <c r="T188" i="21"/>
  <c r="X188" i="21" s="1"/>
  <c r="T167" i="21"/>
  <c r="X167" i="21" s="1"/>
  <c r="T199" i="21"/>
  <c r="X199" i="21" s="1"/>
  <c r="K157" i="21"/>
  <c r="O157" i="21" s="1"/>
  <c r="K173" i="21"/>
  <c r="O173" i="21" s="1"/>
  <c r="K189" i="21"/>
  <c r="O189" i="21" s="1"/>
  <c r="K205" i="21"/>
  <c r="O205" i="21" s="1"/>
  <c r="K160" i="21"/>
  <c r="O160" i="21" s="1"/>
  <c r="K176" i="21"/>
  <c r="O176" i="21" s="1"/>
  <c r="K192" i="21"/>
  <c r="O192" i="21" s="1"/>
  <c r="K159" i="21"/>
  <c r="O159" i="21" s="1"/>
  <c r="K175" i="21"/>
  <c r="O175" i="21" s="1"/>
  <c r="K191" i="21"/>
  <c r="O191" i="21" s="1"/>
  <c r="T165" i="21"/>
  <c r="X165" i="21" s="1"/>
  <c r="T202" i="21"/>
  <c r="X202" i="21" s="1"/>
  <c r="T181" i="21"/>
  <c r="X181" i="21" s="1"/>
  <c r="T160" i="21"/>
  <c r="X160" i="21" s="1"/>
  <c r="T192" i="21"/>
  <c r="X192" i="21" s="1"/>
  <c r="T171" i="21"/>
  <c r="X171" i="21" s="1"/>
  <c r="T203" i="21"/>
  <c r="X203" i="21" s="1"/>
  <c r="K158" i="21"/>
  <c r="O158" i="21" s="1"/>
  <c r="K162" i="21"/>
  <c r="O162" i="21" s="1"/>
  <c r="K194" i="21"/>
  <c r="O194" i="21" s="1"/>
  <c r="T187" i="21"/>
  <c r="X187" i="21" s="1"/>
  <c r="K198" i="21"/>
  <c r="O198" i="21" s="1"/>
  <c r="T158" i="21"/>
  <c r="X158" i="21" s="1"/>
  <c r="T185" i="21"/>
  <c r="X185" i="21" s="1"/>
  <c r="T164" i="21"/>
  <c r="X164" i="21" s="1"/>
  <c r="T196" i="21"/>
  <c r="X196" i="21" s="1"/>
  <c r="T175" i="21"/>
  <c r="X175" i="21" s="1"/>
  <c r="K174" i="21"/>
  <c r="O174" i="21" s="1"/>
  <c r="K161" i="21"/>
  <c r="O161" i="21" s="1"/>
  <c r="K177" i="21"/>
  <c r="O177" i="21" s="1"/>
  <c r="K193" i="21"/>
  <c r="O193" i="21" s="1"/>
  <c r="K164" i="21"/>
  <c r="O164" i="21" s="1"/>
  <c r="K180" i="21"/>
  <c r="O180" i="21" s="1"/>
  <c r="K196" i="21"/>
  <c r="O196" i="21" s="1"/>
  <c r="K163" i="21"/>
  <c r="O163" i="21" s="1"/>
  <c r="K179" i="21"/>
  <c r="O179" i="21" s="1"/>
  <c r="K195" i="21"/>
  <c r="O195" i="21" s="1"/>
  <c r="G29" i="21"/>
  <c r="T162" i="21"/>
  <c r="X162" i="21" s="1"/>
  <c r="T166" i="21"/>
  <c r="X166" i="21" s="1"/>
  <c r="T157" i="21"/>
  <c r="X157" i="21" s="1"/>
  <c r="T189" i="21"/>
  <c r="X189" i="21" s="1"/>
  <c r="T168" i="21"/>
  <c r="X168" i="21" s="1"/>
  <c r="T200" i="21"/>
  <c r="X200" i="21" s="1"/>
  <c r="T179" i="21"/>
  <c r="X179" i="21" s="1"/>
  <c r="K166" i="21"/>
  <c r="O166" i="21" s="1"/>
  <c r="K170" i="21"/>
  <c r="O170" i="21" s="1"/>
  <c r="K202" i="21"/>
  <c r="O202" i="21" s="1"/>
  <c r="T194" i="21"/>
  <c r="X194" i="21" s="1"/>
  <c r="T182" i="21"/>
  <c r="X182" i="21" s="1"/>
  <c r="T197" i="21"/>
  <c r="X197" i="21" s="1"/>
  <c r="T178" i="21"/>
  <c r="X178" i="21" s="1"/>
  <c r="T174" i="21"/>
  <c r="X174" i="21" s="1"/>
  <c r="T161" i="21"/>
  <c r="X161" i="21" s="1"/>
  <c r="T193" i="21"/>
  <c r="X193" i="21" s="1"/>
  <c r="T172" i="21"/>
  <c r="X172" i="21" s="1"/>
  <c r="T204" i="21"/>
  <c r="X204" i="21" s="1"/>
  <c r="T183" i="21"/>
  <c r="X183" i="21" s="1"/>
  <c r="Y5" i="21"/>
  <c r="K182" i="21"/>
  <c r="O182" i="21" s="1"/>
  <c r="K165" i="21"/>
  <c r="O165" i="21" s="1"/>
  <c r="K181" i="21"/>
  <c r="O181" i="21" s="1"/>
  <c r="K197" i="21"/>
  <c r="O197" i="21" s="1"/>
  <c r="K168" i="21"/>
  <c r="O168" i="21" s="1"/>
  <c r="K184" i="21"/>
  <c r="O184" i="21" s="1"/>
  <c r="K200" i="21"/>
  <c r="O200" i="21" s="1"/>
  <c r="K167" i="21"/>
  <c r="O167" i="21" s="1"/>
  <c r="K183" i="21"/>
  <c r="O183" i="21" s="1"/>
  <c r="K199" i="21"/>
  <c r="O199" i="21" s="1"/>
  <c r="J8" i="21" l="1"/>
  <c r="K8" i="21" s="1"/>
  <c r="O8" i="21" s="1"/>
  <c r="B65" i="21"/>
  <c r="C66" i="21"/>
  <c r="C65" i="21"/>
  <c r="B64" i="21"/>
  <c r="G64" i="21" s="1"/>
  <c r="G63" i="21"/>
  <c r="J19" i="20"/>
  <c r="K18" i="20"/>
  <c r="O18" i="20" s="1"/>
  <c r="C94" i="20"/>
  <c r="G51" i="20"/>
  <c r="G52" i="20"/>
  <c r="G50" i="20"/>
  <c r="B90" i="18"/>
  <c r="B92" i="13"/>
  <c r="G39" i="26"/>
  <c r="G38" i="26"/>
  <c r="B90" i="19"/>
  <c r="G30" i="21"/>
  <c r="G31" i="21"/>
  <c r="J9" i="21" l="1"/>
  <c r="Q107" i="21"/>
  <c r="Q103" i="21"/>
  <c r="Q118" i="21"/>
  <c r="Q113" i="21"/>
  <c r="Q104" i="21"/>
  <c r="Q121" i="21"/>
  <c r="Q114" i="21"/>
  <c r="Q108" i="21"/>
  <c r="Q106" i="21"/>
  <c r="Q105" i="21"/>
  <c r="Q102" i="21"/>
  <c r="Q115" i="21"/>
  <c r="Q109" i="21"/>
  <c r="Q117" i="21"/>
  <c r="Q111" i="21"/>
  <c r="Q119" i="21"/>
  <c r="Q110" i="21"/>
  <c r="Q120" i="21"/>
  <c r="Q116" i="21"/>
  <c r="Q112" i="21"/>
  <c r="C67" i="21"/>
  <c r="B66" i="21"/>
  <c r="Q122" i="21" s="1"/>
  <c r="G65" i="21"/>
  <c r="C68" i="21"/>
  <c r="B67" i="21"/>
  <c r="K19" i="20"/>
  <c r="O19" i="20" s="1"/>
  <c r="J20" i="20"/>
  <c r="Q91" i="20"/>
  <c r="Q95" i="20"/>
  <c r="Q93" i="20"/>
  <c r="Q92" i="20"/>
  <c r="Q86" i="20"/>
  <c r="Q88" i="20"/>
  <c r="Q85" i="20"/>
  <c r="Q79" i="20"/>
  <c r="Q75" i="20"/>
  <c r="Q71" i="20"/>
  <c r="Q67" i="20"/>
  <c r="Q82" i="20"/>
  <c r="Q84" i="20"/>
  <c r="Q78" i="20"/>
  <c r="Q72" i="20"/>
  <c r="Q68" i="20"/>
  <c r="Q64" i="20"/>
  <c r="Q89" i="20"/>
  <c r="Q87" i="20"/>
  <c r="Q63" i="20"/>
  <c r="Q59" i="20"/>
  <c r="Q55" i="20"/>
  <c r="Q48" i="20"/>
  <c r="Q94" i="20"/>
  <c r="Q77" i="20"/>
  <c r="Q70" i="20"/>
  <c r="Q66" i="20"/>
  <c r="Q50" i="20"/>
  <c r="Q74" i="20"/>
  <c r="Q76" i="20"/>
  <c r="Q73" i="20"/>
  <c r="Q51" i="20"/>
  <c r="Q45" i="20"/>
  <c r="Q36" i="20"/>
  <c r="Q90" i="20"/>
  <c r="Q58" i="20"/>
  <c r="Q54" i="20"/>
  <c r="Q49" i="20"/>
  <c r="Q47" i="20"/>
  <c r="Q38" i="20"/>
  <c r="Q30" i="20"/>
  <c r="Q27" i="20"/>
  <c r="Q83" i="20"/>
  <c r="Q62" i="20"/>
  <c r="Q80" i="20"/>
  <c r="Q61" i="20"/>
  <c r="Q42" i="20"/>
  <c r="Q34" i="20"/>
  <c r="Q31" i="20"/>
  <c r="Q65" i="20"/>
  <c r="Q44" i="20"/>
  <c r="Q37" i="20"/>
  <c r="Q28" i="20"/>
  <c r="Q33" i="20"/>
  <c r="Q39" i="20"/>
  <c r="Q26" i="20"/>
  <c r="Q52" i="20"/>
  <c r="Q24" i="20"/>
  <c r="Q23" i="20"/>
  <c r="Q22" i="20"/>
  <c r="Q21" i="20"/>
  <c r="Q20" i="20"/>
  <c r="Q8" i="20"/>
  <c r="Q41" i="20"/>
  <c r="Q40" i="20"/>
  <c r="Q19" i="20"/>
  <c r="Q57" i="20"/>
  <c r="Q18" i="20"/>
  <c r="Q17" i="20"/>
  <c r="Q16" i="20"/>
  <c r="Q15" i="20"/>
  <c r="Q29" i="20"/>
  <c r="Q14" i="20"/>
  <c r="Q13" i="20"/>
  <c r="Q43" i="20"/>
  <c r="Q10" i="20"/>
  <c r="Q35" i="20"/>
  <c r="Q69" i="20"/>
  <c r="Q11" i="20"/>
  <c r="Q7" i="20"/>
  <c r="Q81" i="20"/>
  <c r="Q6" i="20"/>
  <c r="R6" i="20" s="1"/>
  <c r="S6" i="20" s="1"/>
  <c r="Q53" i="20"/>
  <c r="Q32" i="20"/>
  <c r="Q25" i="20"/>
  <c r="Q12" i="20"/>
  <c r="Q60" i="20"/>
  <c r="Q56" i="20"/>
  <c r="Q9" i="20"/>
  <c r="Q46" i="20"/>
  <c r="H94" i="20"/>
  <c r="AC84" i="20"/>
  <c r="AD44" i="20"/>
  <c r="AE42" i="20"/>
  <c r="AE67" i="20"/>
  <c r="AB69" i="20"/>
  <c r="AN30" i="20"/>
  <c r="AB63" i="20"/>
  <c r="AD70" i="20"/>
  <c r="AC12" i="20"/>
  <c r="AE61" i="20"/>
  <c r="AP35" i="20"/>
  <c r="AE14" i="20"/>
  <c r="AD84" i="20"/>
  <c r="AE23" i="20"/>
  <c r="AD50" i="20"/>
  <c r="AC77" i="20"/>
  <c r="AD82" i="20"/>
  <c r="AM29" i="20"/>
  <c r="AN10" i="20"/>
  <c r="AB60" i="20"/>
  <c r="AD75" i="20"/>
  <c r="AD71" i="20"/>
  <c r="AC58" i="20"/>
  <c r="AB76" i="20"/>
  <c r="AE38" i="20"/>
  <c r="AD72" i="20"/>
  <c r="AD35" i="20"/>
  <c r="AB33" i="20"/>
  <c r="AC38" i="20"/>
  <c r="AE53" i="20"/>
  <c r="AB18" i="20"/>
  <c r="AE50" i="20"/>
  <c r="AB32" i="20"/>
  <c r="AM30" i="20"/>
  <c r="AE73" i="20"/>
  <c r="AD80" i="20"/>
  <c r="AD16" i="20"/>
  <c r="AB29" i="20"/>
  <c r="AL13" i="20"/>
  <c r="AO34" i="20"/>
  <c r="AE71" i="20"/>
  <c r="AD92" i="20"/>
  <c r="AC13" i="20"/>
  <c r="AL32" i="20"/>
  <c r="AB94" i="20"/>
  <c r="AE77" i="20"/>
  <c r="AC73" i="20"/>
  <c r="AL24" i="20"/>
  <c r="AD12" i="20"/>
  <c r="AE68" i="20"/>
  <c r="AC14" i="20"/>
  <c r="AD60" i="20"/>
  <c r="AB40" i="20"/>
  <c r="AO9" i="20"/>
  <c r="AC69" i="20"/>
  <c r="AE63" i="20"/>
  <c r="AE70" i="20"/>
  <c r="AB45" i="20"/>
  <c r="AL16" i="20"/>
  <c r="AE76" i="20"/>
  <c r="AC88" i="20"/>
  <c r="AD48" i="20"/>
  <c r="AB23" i="20"/>
  <c r="AD67" i="20"/>
  <c r="AO24" i="20"/>
  <c r="AD68" i="20"/>
  <c r="AB82" i="20"/>
  <c r="AD54" i="20"/>
  <c r="AE13" i="20"/>
  <c r="AB37" i="20"/>
  <c r="AB49" i="20"/>
  <c r="AD42" i="20"/>
  <c r="AD29" i="20"/>
  <c r="AB93" i="20"/>
  <c r="AB95" i="20"/>
  <c r="AE74" i="20"/>
  <c r="AM19" i="20"/>
  <c r="AD33" i="20"/>
  <c r="AC72" i="20"/>
  <c r="AB20" i="20"/>
  <c r="AC45" i="20"/>
  <c r="AO13" i="20"/>
  <c r="AN16" i="20"/>
  <c r="AO30" i="20"/>
  <c r="AB80" i="20"/>
  <c r="AD38" i="20"/>
  <c r="AM17" i="20"/>
  <c r="AD15" i="20"/>
  <c r="AE34" i="20"/>
  <c r="AC18" i="20"/>
  <c r="AC23" i="20"/>
  <c r="AE44" i="20"/>
  <c r="AE49" i="20"/>
  <c r="AN14" i="20"/>
  <c r="AD59" i="20"/>
  <c r="AM13" i="20"/>
  <c r="AB47" i="20"/>
  <c r="AB83" i="20"/>
  <c r="AM25" i="20"/>
  <c r="AB73" i="20"/>
  <c r="AD28" i="20"/>
  <c r="AN25" i="20"/>
  <c r="AL27" i="20"/>
  <c r="AE22" i="20"/>
  <c r="AB34" i="20"/>
  <c r="AC89" i="20"/>
  <c r="AB87" i="20"/>
  <c r="AL18" i="20"/>
  <c r="AM18" i="20"/>
  <c r="AD78" i="20"/>
  <c r="AN12" i="20"/>
  <c r="AC55" i="20"/>
  <c r="AD76" i="20"/>
  <c r="AD91" i="20"/>
  <c r="AC53" i="20"/>
  <c r="AE95" i="20"/>
  <c r="AP29" i="20"/>
  <c r="AC29" i="20"/>
  <c r="AE29" i="20"/>
  <c r="AE80" i="20"/>
  <c r="AC68" i="20"/>
  <c r="AD40" i="20"/>
  <c r="AO14" i="20"/>
  <c r="AP27" i="20"/>
  <c r="AE64" i="20"/>
  <c r="AB19" i="20"/>
  <c r="AE52" i="20"/>
  <c r="AL22" i="20"/>
  <c r="AC20" i="20"/>
  <c r="AB65" i="20"/>
  <c r="AN34" i="20"/>
  <c r="AC59" i="20"/>
  <c r="AB55" i="20"/>
  <c r="AM28" i="20"/>
  <c r="AE15" i="20"/>
  <c r="AM14" i="20"/>
  <c r="AB92" i="20"/>
  <c r="AC39" i="20"/>
  <c r="AO8" i="20"/>
  <c r="AE48" i="20"/>
  <c r="AB54" i="20"/>
  <c r="AE55" i="20"/>
  <c r="AC42" i="20"/>
  <c r="AC76" i="20"/>
  <c r="AB81" i="20"/>
  <c r="AB70" i="20"/>
  <c r="AB17" i="20"/>
  <c r="AN17" i="20"/>
  <c r="AB57" i="20"/>
  <c r="AL29" i="20"/>
  <c r="AE75" i="20"/>
  <c r="AO22" i="20"/>
  <c r="AD85" i="20"/>
  <c r="AC70" i="20"/>
  <c r="AD90" i="20"/>
  <c r="AB71" i="20"/>
  <c r="AB78" i="20"/>
  <c r="AB88" i="20"/>
  <c r="AD88" i="20"/>
  <c r="AE94" i="20"/>
  <c r="AC52" i="20"/>
  <c r="AO29" i="20"/>
  <c r="AB38" i="20"/>
  <c r="AO35" i="20"/>
  <c r="AB22" i="20"/>
  <c r="AD58" i="20"/>
  <c r="AM20" i="20"/>
  <c r="AN29" i="20"/>
  <c r="AC24" i="20"/>
  <c r="AD45" i="20"/>
  <c r="AP19" i="20"/>
  <c r="AB35" i="20"/>
  <c r="AB6" i="20"/>
  <c r="AC27" i="20"/>
  <c r="AN32" i="20"/>
  <c r="AD65" i="20"/>
  <c r="AB14" i="20"/>
  <c r="AO5" i="20"/>
  <c r="AD43" i="20"/>
  <c r="AD77" i="20"/>
  <c r="AD74" i="20"/>
  <c r="AC65" i="20"/>
  <c r="AP28" i="20"/>
  <c r="AE65" i="20"/>
  <c r="AB50" i="20"/>
  <c r="AB89" i="20"/>
  <c r="AE87" i="20"/>
  <c r="AO16" i="20"/>
  <c r="AE58" i="20"/>
  <c r="AB86" i="20"/>
  <c r="AD66" i="20"/>
  <c r="AC91" i="20"/>
  <c r="AB39" i="20"/>
  <c r="AM12" i="20"/>
  <c r="AB79" i="20"/>
  <c r="AD89" i="20"/>
  <c r="AN28" i="20"/>
  <c r="AC81" i="20"/>
  <c r="AE88" i="20"/>
  <c r="AB5" i="20"/>
  <c r="AE89" i="20"/>
  <c r="AL17" i="20"/>
  <c r="AE27" i="20"/>
  <c r="AE45" i="20"/>
  <c r="AB24" i="20"/>
  <c r="AM11" i="20"/>
  <c r="AC35" i="20"/>
  <c r="AC62" i="20"/>
  <c r="AC92" i="20"/>
  <c r="AB77" i="20"/>
  <c r="AD69" i="20"/>
  <c r="AD61" i="20"/>
  <c r="AD55" i="20"/>
  <c r="AN6" i="20"/>
  <c r="AC57" i="20"/>
  <c r="AD18" i="20"/>
  <c r="AE54" i="20"/>
  <c r="AM32" i="20"/>
  <c r="AD57" i="20"/>
  <c r="AD73" i="20"/>
  <c r="AE79" i="20"/>
  <c r="AD32" i="20"/>
  <c r="AP25" i="20"/>
  <c r="AD53" i="20"/>
  <c r="AC78" i="20"/>
  <c r="AB52" i="20"/>
  <c r="AD34" i="20"/>
  <c r="AE20" i="20"/>
  <c r="AB43" i="20"/>
  <c r="AC93" i="20"/>
  <c r="AE35" i="20"/>
  <c r="AC17" i="20"/>
  <c r="AB8" i="20"/>
  <c r="AD94" i="20"/>
  <c r="AE47" i="20"/>
  <c r="AL34" i="20"/>
  <c r="AC47" i="20"/>
  <c r="AB44" i="20"/>
  <c r="AC48" i="20"/>
  <c r="AE91" i="20"/>
  <c r="AC28" i="20"/>
  <c r="AO32" i="20"/>
  <c r="AC50" i="20"/>
  <c r="AC54" i="20"/>
  <c r="AC37" i="20"/>
  <c r="AD11" i="20"/>
  <c r="AD6" i="20"/>
  <c r="AC43" i="20"/>
  <c r="AO23" i="20"/>
  <c r="AC67" i="20"/>
  <c r="AB84" i="20"/>
  <c r="AB61" i="20"/>
  <c r="AB74" i="20"/>
  <c r="AN27" i="20"/>
  <c r="AC32" i="20"/>
  <c r="AL14" i="20"/>
  <c r="AN35" i="20"/>
  <c r="AO25" i="20"/>
  <c r="AE92" i="20"/>
  <c r="AC64" i="20"/>
  <c r="AO28" i="20"/>
  <c r="AO20" i="20"/>
  <c r="AE57" i="20"/>
  <c r="AC49" i="20"/>
  <c r="AE39" i="20"/>
  <c r="AD93" i="20"/>
  <c r="AD17" i="20"/>
  <c r="AC44" i="20"/>
  <c r="AE83" i="20"/>
  <c r="AB91" i="20"/>
  <c r="AC61" i="20"/>
  <c r="AB68" i="20"/>
  <c r="AE84" i="20"/>
  <c r="AM7" i="20"/>
  <c r="AC80" i="20"/>
  <c r="AB75" i="20"/>
  <c r="AE10" i="20"/>
  <c r="AD39" i="20"/>
  <c r="AO10" i="20"/>
  <c r="AB16" i="20"/>
  <c r="AD52" i="20"/>
  <c r="AL20" i="20"/>
  <c r="AB28" i="20"/>
  <c r="AC85" i="20"/>
  <c r="AE32" i="20"/>
  <c r="AL23" i="20"/>
  <c r="AD47" i="20"/>
  <c r="AB90" i="20"/>
  <c r="AE25" i="20"/>
  <c r="AM24" i="20"/>
  <c r="AP9" i="20"/>
  <c r="AD25" i="20"/>
  <c r="AB62" i="20"/>
  <c r="AC63" i="20"/>
  <c r="AD86" i="20"/>
  <c r="AE24" i="20"/>
  <c r="AB85" i="20"/>
  <c r="AC94" i="20"/>
  <c r="AL15" i="20"/>
  <c r="AC34" i="20"/>
  <c r="AN33" i="20"/>
  <c r="AC95" i="20"/>
  <c r="AL19" i="20"/>
  <c r="AD87" i="20"/>
  <c r="AC11" i="20"/>
  <c r="AB72" i="20"/>
  <c r="AC71" i="20"/>
  <c r="AL33" i="20"/>
  <c r="AD63" i="20"/>
  <c r="AC75" i="20"/>
  <c r="AB64" i="20"/>
  <c r="AL8" i="20"/>
  <c r="AP32" i="20"/>
  <c r="AC79" i="20"/>
  <c r="AE82" i="20"/>
  <c r="AB48" i="20"/>
  <c r="AP12" i="20"/>
  <c r="AL28" i="20"/>
  <c r="AB53" i="20"/>
  <c r="AD62" i="20"/>
  <c r="AB13" i="20"/>
  <c r="AC82" i="20"/>
  <c r="AL30" i="20"/>
  <c r="AD83" i="20"/>
  <c r="AL11" i="20"/>
  <c r="AN5" i="20"/>
  <c r="AM22" i="20"/>
  <c r="AD79" i="20"/>
  <c r="AE78" i="20"/>
  <c r="AD81" i="20"/>
  <c r="AD37" i="20"/>
  <c r="AB59" i="20"/>
  <c r="AD8" i="20"/>
  <c r="AE5" i="20"/>
  <c r="AP14" i="20"/>
  <c r="AO19" i="20"/>
  <c r="AD95" i="20"/>
  <c r="AD5" i="20"/>
  <c r="AB67" i="20"/>
  <c r="AB27" i="20"/>
  <c r="AD64" i="20"/>
  <c r="AC66" i="20"/>
  <c r="AD10" i="20"/>
  <c r="AO33" i="20"/>
  <c r="AN15" i="20"/>
  <c r="AP22" i="20"/>
  <c r="AL6" i="20"/>
  <c r="AP17" i="20"/>
  <c r="AC5" i="20"/>
  <c r="AE11" i="20"/>
  <c r="AE93" i="20"/>
  <c r="AP18" i="20"/>
  <c r="AP8" i="20"/>
  <c r="AM6" i="20"/>
  <c r="AM23" i="20"/>
  <c r="AP10" i="20"/>
  <c r="AC60" i="20"/>
  <c r="AC83" i="20"/>
  <c r="AD49" i="20"/>
  <c r="AE86" i="20"/>
  <c r="AB11" i="20"/>
  <c r="AD14" i="20"/>
  <c r="AC10" i="20"/>
  <c r="AO27" i="20"/>
  <c r="AD13" i="20"/>
  <c r="AP20" i="20"/>
  <c r="AP5" i="20"/>
  <c r="AE43" i="20"/>
  <c r="AL12" i="20"/>
  <c r="AP23" i="20"/>
  <c r="AC30" i="20"/>
  <c r="AE40" i="20"/>
  <c r="AE60" i="20"/>
  <c r="AP34" i="20"/>
  <c r="AC22" i="20"/>
  <c r="AM34" i="20"/>
  <c r="AC90" i="20"/>
  <c r="AM27" i="20"/>
  <c r="AN8" i="20"/>
  <c r="AP7" i="20"/>
  <c r="AP15" i="20"/>
  <c r="AE17" i="20"/>
  <c r="AP24" i="20"/>
  <c r="AP6" i="20"/>
  <c r="AP30" i="20"/>
  <c r="AN18" i="20"/>
  <c r="AC33" i="20"/>
  <c r="AN23" i="20"/>
  <c r="AL10" i="20"/>
  <c r="AE12" i="20"/>
  <c r="AC9" i="20"/>
  <c r="AE69" i="20"/>
  <c r="AC74" i="20"/>
  <c r="AL25" i="20"/>
  <c r="AE85" i="20"/>
  <c r="AD30" i="20"/>
  <c r="AE37" i="20"/>
  <c r="AO15" i="20"/>
  <c r="AC8" i="20"/>
  <c r="AM10" i="20"/>
  <c r="AN13" i="20"/>
  <c r="AE72" i="20"/>
  <c r="AE6" i="20"/>
  <c r="AE19" i="20"/>
  <c r="AB25" i="20"/>
  <c r="AB12" i="20"/>
  <c r="AE90" i="20"/>
  <c r="AC19" i="20"/>
  <c r="AB66" i="20"/>
  <c r="AD9" i="20"/>
  <c r="AC25" i="20"/>
  <c r="AC86" i="20"/>
  <c r="AE33" i="20"/>
  <c r="AM33" i="20"/>
  <c r="AO17" i="20"/>
  <c r="AO11" i="20"/>
  <c r="AC16" i="20"/>
  <c r="AE7" i="20"/>
  <c r="AD20" i="20"/>
  <c r="AE16" i="20"/>
  <c r="AM9" i="20"/>
  <c r="AB58" i="20"/>
  <c r="AO6" i="20"/>
  <c r="AN19" i="20"/>
  <c r="AD24" i="20"/>
  <c r="AB42" i="20"/>
  <c r="AE66" i="20"/>
  <c r="AB30" i="20"/>
  <c r="AE59" i="20"/>
  <c r="AE18" i="20"/>
  <c r="AN24" i="20"/>
  <c r="AC40" i="20"/>
  <c r="AL9" i="20"/>
  <c r="AP16" i="20"/>
  <c r="AM16" i="20"/>
  <c r="AL5" i="20"/>
  <c r="AN9" i="20"/>
  <c r="AM35" i="20"/>
  <c r="AE30" i="20"/>
  <c r="AM15" i="20"/>
  <c r="AE62" i="20"/>
  <c r="AB15" i="20"/>
  <c r="AE28" i="20"/>
  <c r="AP11" i="20"/>
  <c r="AC87" i="20"/>
  <c r="AP33" i="20"/>
  <c r="AE81" i="20"/>
  <c r="AC7" i="20"/>
  <c r="AN11" i="20"/>
  <c r="AL35" i="20"/>
  <c r="AB10" i="20"/>
  <c r="AP13" i="20"/>
  <c r="AN20" i="20"/>
  <c r="AC6" i="20"/>
  <c r="AE9" i="20"/>
  <c r="AD7" i="20"/>
  <c r="AM5" i="20"/>
  <c r="AO7" i="20"/>
  <c r="AB9" i="20"/>
  <c r="AC15" i="20"/>
  <c r="AB7" i="20"/>
  <c r="AD19" i="20"/>
  <c r="AM8" i="20"/>
  <c r="AD22" i="20"/>
  <c r="AN7" i="20"/>
  <c r="AD27" i="20"/>
  <c r="AE8" i="20"/>
  <c r="AN22" i="20"/>
  <c r="AD23" i="20"/>
  <c r="AO12" i="20"/>
  <c r="AL7" i="20"/>
  <c r="AO18" i="20"/>
  <c r="B91" i="18"/>
  <c r="B93" i="13"/>
  <c r="G41" i="26"/>
  <c r="G40" i="26"/>
  <c r="B91" i="19"/>
  <c r="G33" i="21"/>
  <c r="G32" i="21"/>
  <c r="K9" i="21"/>
  <c r="O9" i="21" s="1"/>
  <c r="J10" i="21"/>
  <c r="AM35" i="21"/>
  <c r="AC35" i="21"/>
  <c r="AB35" i="21"/>
  <c r="AL35" i="21"/>
  <c r="AO35" i="21"/>
  <c r="B69" i="21" l="1"/>
  <c r="C70" i="21"/>
  <c r="B68" i="21"/>
  <c r="G68" i="21" s="1"/>
  <c r="C69" i="21"/>
  <c r="G69" i="21" s="1"/>
  <c r="G67" i="21"/>
  <c r="G66" i="21"/>
  <c r="K20" i="20"/>
  <c r="O20" i="20" s="1"/>
  <c r="J21" i="20"/>
  <c r="AT15" i="20"/>
  <c r="AS15" i="20"/>
  <c r="AR15" i="20"/>
  <c r="AQ15" i="20"/>
  <c r="AQ35" i="20"/>
  <c r="AT35" i="20"/>
  <c r="AS35" i="20"/>
  <c r="AR35" i="20"/>
  <c r="AT17" i="20"/>
  <c r="AS17" i="20"/>
  <c r="AQ17" i="20"/>
  <c r="AR17" i="20"/>
  <c r="AT12" i="20"/>
  <c r="AS12" i="20"/>
  <c r="AR12" i="20"/>
  <c r="AQ12" i="20"/>
  <c r="AS25" i="20"/>
  <c r="AQ25" i="20"/>
  <c r="AT25" i="20"/>
  <c r="AR25" i="20"/>
  <c r="AT8" i="20"/>
  <c r="AR8" i="20"/>
  <c r="AQ8" i="20"/>
  <c r="AS8" i="20"/>
  <c r="AT14" i="20"/>
  <c r="AR14" i="20"/>
  <c r="AQ14" i="20"/>
  <c r="AS14" i="20"/>
  <c r="AT22" i="20"/>
  <c r="AS22" i="20"/>
  <c r="AR22" i="20"/>
  <c r="AQ22" i="20"/>
  <c r="AT24" i="20"/>
  <c r="AS24" i="20"/>
  <c r="AR24" i="20"/>
  <c r="AQ24" i="20"/>
  <c r="AT20" i="20"/>
  <c r="AS20" i="20"/>
  <c r="AR20" i="20"/>
  <c r="AQ20" i="20"/>
  <c r="AR9" i="20"/>
  <c r="AS9" i="20"/>
  <c r="AQ9" i="20"/>
  <c r="AT9" i="20"/>
  <c r="AS7" i="20"/>
  <c r="AR7" i="20"/>
  <c r="AT7" i="20"/>
  <c r="AQ7" i="20"/>
  <c r="AT19" i="20"/>
  <c r="AS19" i="20"/>
  <c r="AR19" i="20"/>
  <c r="AQ19" i="20"/>
  <c r="AT27" i="20"/>
  <c r="AR27" i="20"/>
  <c r="AQ27" i="20"/>
  <c r="AS27" i="20"/>
  <c r="AT13" i="20"/>
  <c r="AS13" i="20"/>
  <c r="AR13" i="20"/>
  <c r="AQ13" i="20"/>
  <c r="T6" i="20"/>
  <c r="X6" i="20" s="1"/>
  <c r="AS6" i="20"/>
  <c r="AR6" i="20"/>
  <c r="AY6" i="20"/>
  <c r="AY7" i="20" s="1"/>
  <c r="AY8" i="20" s="1"/>
  <c r="AY9" i="20" s="1"/>
  <c r="AY10" i="20" s="1"/>
  <c r="AY11" i="20" s="1"/>
  <c r="AY12" i="20" s="1"/>
  <c r="AY13" i="20" s="1"/>
  <c r="AY14" i="20" s="1"/>
  <c r="AY15" i="20" s="1"/>
  <c r="AY16" i="20" s="1"/>
  <c r="AY17" i="20" s="1"/>
  <c r="AY18" i="20" s="1"/>
  <c r="AY19" i="20" s="1"/>
  <c r="AY20" i="20" s="1"/>
  <c r="AY21" i="20" s="1"/>
  <c r="AY22" i="20" s="1"/>
  <c r="AY23" i="20" s="1"/>
  <c r="AY24" i="20" s="1"/>
  <c r="AY25" i="20" s="1"/>
  <c r="AY26" i="20" s="1"/>
  <c r="AY27" i="20" s="1"/>
  <c r="AY28" i="20" s="1"/>
  <c r="AY29" i="20" s="1"/>
  <c r="AY30" i="20" s="1"/>
  <c r="AY31" i="20" s="1"/>
  <c r="AY32" i="20" s="1"/>
  <c r="AY33" i="20" s="1"/>
  <c r="AY34" i="20" s="1"/>
  <c r="AY35" i="20" s="1"/>
  <c r="C123" i="20" s="1"/>
  <c r="AT6" i="20"/>
  <c r="AQ6" i="20"/>
  <c r="AT28" i="20"/>
  <c r="AR28" i="20"/>
  <c r="AQ28" i="20"/>
  <c r="AS28" i="20"/>
  <c r="AT23" i="20"/>
  <c r="AS23" i="20"/>
  <c r="AR23" i="20"/>
  <c r="AQ23" i="20"/>
  <c r="AQ29" i="20"/>
  <c r="AS29" i="20"/>
  <c r="AR29" i="20"/>
  <c r="AT29" i="20"/>
  <c r="AQ10" i="20"/>
  <c r="AT10" i="20"/>
  <c r="AS10" i="20"/>
  <c r="AR10" i="20"/>
  <c r="AT11" i="20"/>
  <c r="AS11" i="20"/>
  <c r="AR11" i="20"/>
  <c r="AQ11" i="20"/>
  <c r="AH6" i="20"/>
  <c r="AH7" i="20" s="1"/>
  <c r="AH8" i="20" s="1"/>
  <c r="AH9" i="20" s="1"/>
  <c r="AH10" i="20" s="1"/>
  <c r="AH11" i="20" s="1"/>
  <c r="AH12" i="20" s="1"/>
  <c r="AH13" i="20" s="1"/>
  <c r="AH14" i="20" s="1"/>
  <c r="AH15" i="20" s="1"/>
  <c r="AH16" i="20" s="1"/>
  <c r="AH17" i="20" s="1"/>
  <c r="AH18" i="20" s="1"/>
  <c r="AH19" i="20" s="1"/>
  <c r="AH20" i="20" s="1"/>
  <c r="AH21" i="20" s="1"/>
  <c r="AH22" i="20" s="1"/>
  <c r="AH23" i="20" s="1"/>
  <c r="AH24" i="20" s="1"/>
  <c r="AH25" i="20" s="1"/>
  <c r="AH26" i="20" s="1"/>
  <c r="AH27" i="20" s="1"/>
  <c r="AH28" i="20" s="1"/>
  <c r="AH29" i="20" s="1"/>
  <c r="AH30" i="20" s="1"/>
  <c r="AH31" i="20" s="1"/>
  <c r="AH32" i="20" s="1"/>
  <c r="AH33" i="20" s="1"/>
  <c r="AH34" i="20" s="1"/>
  <c r="AH35" i="20" s="1"/>
  <c r="AH36" i="20" s="1"/>
  <c r="AH37" i="20" s="1"/>
  <c r="AH38" i="20" s="1"/>
  <c r="AH39" i="20" s="1"/>
  <c r="AH40" i="20" s="1"/>
  <c r="AH41" i="20" s="1"/>
  <c r="AH42" i="20" s="1"/>
  <c r="AH43" i="20" s="1"/>
  <c r="AH44" i="20" s="1"/>
  <c r="AH45" i="20" s="1"/>
  <c r="AH46" i="20" s="1"/>
  <c r="AH47" i="20" s="1"/>
  <c r="AH48" i="20" s="1"/>
  <c r="AH49" i="20" s="1"/>
  <c r="AH50" i="20" s="1"/>
  <c r="AH51" i="20" s="1"/>
  <c r="AH52" i="20" s="1"/>
  <c r="AH53" i="20" s="1"/>
  <c r="AH54" i="20" s="1"/>
  <c r="AH55" i="20" s="1"/>
  <c r="AH56" i="20" s="1"/>
  <c r="AH57" i="20" s="1"/>
  <c r="AH58" i="20" s="1"/>
  <c r="AH59" i="20" s="1"/>
  <c r="AH60" i="20" s="1"/>
  <c r="AH61" i="20" s="1"/>
  <c r="AH62" i="20" s="1"/>
  <c r="AH63" i="20" s="1"/>
  <c r="AH64" i="20" s="1"/>
  <c r="AH65" i="20" s="1"/>
  <c r="AH66" i="20" s="1"/>
  <c r="AH67" i="20" s="1"/>
  <c r="AH68" i="20" s="1"/>
  <c r="AH69" i="20" s="1"/>
  <c r="AH70" i="20" s="1"/>
  <c r="AH71" i="20" s="1"/>
  <c r="AH72" i="20" s="1"/>
  <c r="AH73" i="20" s="1"/>
  <c r="AH74" i="20" s="1"/>
  <c r="AH75" i="20" s="1"/>
  <c r="AH76" i="20" s="1"/>
  <c r="AH77" i="20" s="1"/>
  <c r="AH78" i="20" s="1"/>
  <c r="AH79" i="20" s="1"/>
  <c r="AH80" i="20" s="1"/>
  <c r="AH81" i="20" s="1"/>
  <c r="AH82" i="20" s="1"/>
  <c r="AH83" i="20" s="1"/>
  <c r="AH84" i="20" s="1"/>
  <c r="AH85" i="20" s="1"/>
  <c r="AH86" i="20" s="1"/>
  <c r="AH87" i="20" s="1"/>
  <c r="AH88" i="20" s="1"/>
  <c r="AH89" i="20" s="1"/>
  <c r="AH90" i="20" s="1"/>
  <c r="AH91" i="20" s="1"/>
  <c r="AH92" i="20" s="1"/>
  <c r="AH93" i="20" s="1"/>
  <c r="AH94" i="20" s="1"/>
  <c r="AH95" i="20" s="1"/>
  <c r="AG6" i="20"/>
  <c r="AG7" i="20" s="1"/>
  <c r="AG8" i="20" s="1"/>
  <c r="AG9" i="20" s="1"/>
  <c r="AG10" i="20" s="1"/>
  <c r="AG11" i="20" s="1"/>
  <c r="AG12" i="20" s="1"/>
  <c r="AG13" i="20" s="1"/>
  <c r="AG14" i="20" s="1"/>
  <c r="AG15" i="20" s="1"/>
  <c r="AG16" i="20" s="1"/>
  <c r="AG17" i="20" s="1"/>
  <c r="AG18" i="20" s="1"/>
  <c r="AG19" i="20" s="1"/>
  <c r="AG20" i="20" s="1"/>
  <c r="AG21" i="20" s="1"/>
  <c r="AG22" i="20" s="1"/>
  <c r="AG23" i="20" s="1"/>
  <c r="AG24" i="20" s="1"/>
  <c r="AG25" i="20" s="1"/>
  <c r="AG26" i="20" s="1"/>
  <c r="AG27" i="20" s="1"/>
  <c r="AG28" i="20" s="1"/>
  <c r="AG29" i="20" s="1"/>
  <c r="AG30" i="20" s="1"/>
  <c r="AG31" i="20" s="1"/>
  <c r="AG32" i="20" s="1"/>
  <c r="AG33" i="20" s="1"/>
  <c r="AG34" i="20" s="1"/>
  <c r="AG35" i="20" s="1"/>
  <c r="AG36" i="20" s="1"/>
  <c r="AG37" i="20" s="1"/>
  <c r="AG38" i="20" s="1"/>
  <c r="AG39" i="20" s="1"/>
  <c r="AG40" i="20" s="1"/>
  <c r="AG41" i="20" s="1"/>
  <c r="AG42" i="20" s="1"/>
  <c r="AG43" i="20" s="1"/>
  <c r="AG44" i="20" s="1"/>
  <c r="AG45" i="20" s="1"/>
  <c r="AG46" i="20" s="1"/>
  <c r="AG47" i="20" s="1"/>
  <c r="AG48" i="20" s="1"/>
  <c r="AG49" i="20" s="1"/>
  <c r="AG50" i="20" s="1"/>
  <c r="AG51" i="20" s="1"/>
  <c r="AG52" i="20" s="1"/>
  <c r="AG53" i="20" s="1"/>
  <c r="AG54" i="20" s="1"/>
  <c r="AG55" i="20" s="1"/>
  <c r="AG56" i="20" s="1"/>
  <c r="AG57" i="20" s="1"/>
  <c r="AG58" i="20" s="1"/>
  <c r="AG59" i="20" s="1"/>
  <c r="AG60" i="20" s="1"/>
  <c r="AG61" i="20" s="1"/>
  <c r="AG62" i="20" s="1"/>
  <c r="AG63" i="20" s="1"/>
  <c r="AG64" i="20" s="1"/>
  <c r="AG65" i="20" s="1"/>
  <c r="AG66" i="20" s="1"/>
  <c r="AG67" i="20" s="1"/>
  <c r="AG68" i="20" s="1"/>
  <c r="AG69" i="20" s="1"/>
  <c r="AG70" i="20" s="1"/>
  <c r="AG71" i="20" s="1"/>
  <c r="AG72" i="20" s="1"/>
  <c r="AG73" i="20" s="1"/>
  <c r="AG74" i="20" s="1"/>
  <c r="AG75" i="20" s="1"/>
  <c r="AG76" i="20" s="1"/>
  <c r="AG77" i="20" s="1"/>
  <c r="AG78" i="20" s="1"/>
  <c r="AG79" i="20" s="1"/>
  <c r="AG80" i="20" s="1"/>
  <c r="AG81" i="20" s="1"/>
  <c r="AG82" i="20" s="1"/>
  <c r="AG83" i="20" s="1"/>
  <c r="AG84" i="20" s="1"/>
  <c r="AG85" i="20" s="1"/>
  <c r="AG86" i="20" s="1"/>
  <c r="AG87" i="20" s="1"/>
  <c r="AG88" i="20" s="1"/>
  <c r="AG89" i="20" s="1"/>
  <c r="AG90" i="20" s="1"/>
  <c r="AG91" i="20" s="1"/>
  <c r="AG92" i="20" s="1"/>
  <c r="AG93" i="20" s="1"/>
  <c r="AG94" i="20" s="1"/>
  <c r="AG95" i="20" s="1"/>
  <c r="AF6" i="20"/>
  <c r="R7" i="20"/>
  <c r="S7" i="20" s="1"/>
  <c r="AT30" i="20"/>
  <c r="AR30" i="20"/>
  <c r="AQ30" i="20"/>
  <c r="AS30" i="20"/>
  <c r="AT33" i="20"/>
  <c r="AS33" i="20"/>
  <c r="AQ33" i="20"/>
  <c r="AR33" i="20"/>
  <c r="AT34" i="20"/>
  <c r="AS34" i="20"/>
  <c r="AQ34" i="20"/>
  <c r="AR34" i="20"/>
  <c r="AQ18" i="20"/>
  <c r="AT18" i="20"/>
  <c r="AS18" i="20"/>
  <c r="AR18" i="20"/>
  <c r="AQ32" i="20"/>
  <c r="AT32" i="20"/>
  <c r="AR32" i="20"/>
  <c r="AS32" i="20"/>
  <c r="AT16" i="20"/>
  <c r="AS16" i="20"/>
  <c r="AQ16" i="20"/>
  <c r="AR16" i="20"/>
  <c r="AN35" i="21"/>
  <c r="AR35" i="21" s="1"/>
  <c r="AP35" i="21"/>
  <c r="AT35" i="21" s="1"/>
  <c r="AD35" i="21"/>
  <c r="AE35" i="21"/>
  <c r="B92" i="18"/>
  <c r="G43" i="26"/>
  <c r="G42" i="26"/>
  <c r="G42" i="21"/>
  <c r="G41" i="21"/>
  <c r="B92" i="19"/>
  <c r="G34" i="21"/>
  <c r="AQ35" i="21"/>
  <c r="AS35" i="21"/>
  <c r="G35" i="21"/>
  <c r="K10" i="21"/>
  <c r="O10" i="21" s="1"/>
  <c r="J11" i="21"/>
  <c r="C71" i="21" l="1"/>
  <c r="B70" i="21"/>
  <c r="G70" i="21" s="1"/>
  <c r="B71" i="21"/>
  <c r="C72" i="21"/>
  <c r="J22" i="20"/>
  <c r="K21" i="20"/>
  <c r="O21" i="20" s="1"/>
  <c r="T7" i="20"/>
  <c r="X7" i="20" s="1"/>
  <c r="AI6" i="20"/>
  <c r="AF7" i="20"/>
  <c r="Y6" i="20"/>
  <c r="R8" i="20"/>
  <c r="B93" i="18"/>
  <c r="G45" i="26"/>
  <c r="G44" i="26"/>
  <c r="G43" i="21"/>
  <c r="G44" i="21"/>
  <c r="B93" i="19"/>
  <c r="G36" i="21"/>
  <c r="K11" i="21"/>
  <c r="O11" i="21" s="1"/>
  <c r="J12" i="21"/>
  <c r="G37" i="21"/>
  <c r="G71" i="21" l="1"/>
  <c r="C74" i="21"/>
  <c r="B73" i="21"/>
  <c r="B72" i="21"/>
  <c r="G72" i="21" s="1"/>
  <c r="C73" i="21"/>
  <c r="G73" i="21" s="1"/>
  <c r="K22" i="20"/>
  <c r="O22" i="20" s="1"/>
  <c r="J23" i="20"/>
  <c r="Y7" i="20"/>
  <c r="S8" i="20"/>
  <c r="R9" i="20"/>
  <c r="AI7" i="20"/>
  <c r="AF8" i="20"/>
  <c r="G47" i="26"/>
  <c r="G46" i="26"/>
  <c r="G45" i="21"/>
  <c r="G46" i="21"/>
  <c r="AD47" i="21"/>
  <c r="G39" i="21"/>
  <c r="G40" i="21"/>
  <c r="G38" i="21"/>
  <c r="K12" i="21"/>
  <c r="O12" i="21" s="1"/>
  <c r="J13" i="21"/>
  <c r="C75" i="21" l="1"/>
  <c r="B74" i="21"/>
  <c r="G74" i="21" s="1"/>
  <c r="Q138" i="21"/>
  <c r="Q130" i="21"/>
  <c r="Q127" i="21"/>
  <c r="Q126" i="21"/>
  <c r="Q137" i="21"/>
  <c r="Q129" i="21"/>
  <c r="Q135" i="21"/>
  <c r="Q136" i="21"/>
  <c r="Q128" i="21"/>
  <c r="Q134" i="21"/>
  <c r="Q141" i="21"/>
  <c r="Q133" i="21"/>
  <c r="Q125" i="21"/>
  <c r="Q131" i="21"/>
  <c r="Q140" i="21"/>
  <c r="Q132" i="21"/>
  <c r="Q124" i="21"/>
  <c r="Q139" i="21"/>
  <c r="Q123" i="21"/>
  <c r="B75" i="21"/>
  <c r="Q144" i="21" s="1"/>
  <c r="C76" i="21"/>
  <c r="J24" i="20"/>
  <c r="K23" i="20"/>
  <c r="O23" i="20" s="1"/>
  <c r="T8" i="20"/>
  <c r="X8" i="20" s="1"/>
  <c r="S9" i="20"/>
  <c r="R10" i="20"/>
  <c r="AF9" i="20"/>
  <c r="AI8" i="20"/>
  <c r="AB47" i="21"/>
  <c r="AE41" i="21"/>
  <c r="AM23" i="21"/>
  <c r="AB41" i="21"/>
  <c r="G49" i="26"/>
  <c r="G48" i="26"/>
  <c r="AD53" i="21"/>
  <c r="AN26" i="21"/>
  <c r="AM29" i="21"/>
  <c r="AC29" i="21"/>
  <c r="G48" i="21"/>
  <c r="G47" i="21"/>
  <c r="AP26" i="21"/>
  <c r="AC41" i="21"/>
  <c r="AC53" i="21"/>
  <c r="AD78" i="21"/>
  <c r="AE47" i="21"/>
  <c r="AN29" i="21"/>
  <c r="AL29" i="21"/>
  <c r="AD29" i="21"/>
  <c r="AE26" i="21"/>
  <c r="AE53" i="21"/>
  <c r="AD41" i="21"/>
  <c r="AP29" i="21"/>
  <c r="AC26" i="21"/>
  <c r="AO29" i="21"/>
  <c r="AE29" i="21"/>
  <c r="AB53" i="21"/>
  <c r="AB26" i="21"/>
  <c r="AB29" i="21"/>
  <c r="AC47" i="21"/>
  <c r="AE31" i="21"/>
  <c r="AC58" i="21"/>
  <c r="AC57" i="21"/>
  <c r="AE74" i="21"/>
  <c r="AO13" i="21"/>
  <c r="AE76" i="21"/>
  <c r="AC83" i="21"/>
  <c r="AB78" i="21"/>
  <c r="AE88" i="21"/>
  <c r="AC60" i="21"/>
  <c r="AB90" i="21"/>
  <c r="AD80" i="21"/>
  <c r="AC74" i="21"/>
  <c r="AC75" i="21"/>
  <c r="AD34" i="21"/>
  <c r="AP31" i="21"/>
  <c r="AP19" i="21"/>
  <c r="AE28" i="21"/>
  <c r="AO31" i="21"/>
  <c r="AE5" i="21"/>
  <c r="AB65" i="21"/>
  <c r="AB66" i="21"/>
  <c r="AE90" i="21"/>
  <c r="AC93" i="21"/>
  <c r="AB91" i="21"/>
  <c r="AE71" i="21"/>
  <c r="AD69" i="21"/>
  <c r="AE87" i="21"/>
  <c r="AB77" i="21"/>
  <c r="AC86" i="21"/>
  <c r="AD95" i="21"/>
  <c r="AB59" i="21"/>
  <c r="AC87" i="21"/>
  <c r="AC94" i="21"/>
  <c r="AB57" i="21"/>
  <c r="AB74" i="21"/>
  <c r="AC95" i="21"/>
  <c r="AC40" i="21"/>
  <c r="AC27" i="21"/>
  <c r="AD92" i="21"/>
  <c r="AC62" i="21"/>
  <c r="AD94" i="21"/>
  <c r="AE95" i="21"/>
  <c r="AD83" i="21"/>
  <c r="AC71" i="21"/>
  <c r="AP8" i="21"/>
  <c r="AC67" i="21"/>
  <c r="AC63" i="21"/>
  <c r="AB86" i="21"/>
  <c r="AE92" i="21"/>
  <c r="AE58" i="21"/>
  <c r="AB88" i="21"/>
  <c r="AB62" i="21"/>
  <c r="AN15" i="21"/>
  <c r="AE45" i="21"/>
  <c r="AM12" i="21"/>
  <c r="AB36" i="21"/>
  <c r="AB17" i="21"/>
  <c r="AP25" i="21"/>
  <c r="AM8" i="21"/>
  <c r="AB9" i="21"/>
  <c r="AP17" i="21"/>
  <c r="AE64" i="21"/>
  <c r="AB83" i="21"/>
  <c r="AD86" i="21"/>
  <c r="AB85" i="21"/>
  <c r="AE89" i="21"/>
  <c r="AC78" i="21"/>
  <c r="AC79" i="21"/>
  <c r="AD67" i="21"/>
  <c r="AD60" i="21"/>
  <c r="AE84" i="21"/>
  <c r="AC61" i="21"/>
  <c r="AB67" i="21"/>
  <c r="AD72" i="21"/>
  <c r="AB69" i="21"/>
  <c r="AB60" i="21"/>
  <c r="AC77" i="21"/>
  <c r="AD84" i="21"/>
  <c r="AN9" i="21"/>
  <c r="AL33" i="21"/>
  <c r="AC76" i="21"/>
  <c r="AM6" i="21"/>
  <c r="AE33" i="21"/>
  <c r="AD22" i="21"/>
  <c r="AE15" i="21"/>
  <c r="AE65" i="21"/>
  <c r="AE75" i="21"/>
  <c r="AE73" i="21"/>
  <c r="AD81" i="21"/>
  <c r="AC66" i="21"/>
  <c r="AE30" i="21"/>
  <c r="AE8" i="21"/>
  <c r="AN21" i="21"/>
  <c r="AN27" i="21"/>
  <c r="AP6" i="21"/>
  <c r="AE52" i="21"/>
  <c r="AE69" i="21"/>
  <c r="AE61" i="21"/>
  <c r="AB58" i="21"/>
  <c r="AE72" i="21"/>
  <c r="AC68" i="21"/>
  <c r="AD68" i="21"/>
  <c r="AE94" i="21"/>
  <c r="AB68" i="21"/>
  <c r="AC65" i="21"/>
  <c r="AB81" i="21"/>
  <c r="AD63" i="21"/>
  <c r="AE68" i="21"/>
  <c r="AD87" i="21"/>
  <c r="AD82" i="21"/>
  <c r="AB70" i="21"/>
  <c r="AE83" i="21"/>
  <c r="AC90" i="21"/>
  <c r="AD50" i="21"/>
  <c r="AE91" i="21"/>
  <c r="AB63" i="21"/>
  <c r="AC85" i="21"/>
  <c r="AC89" i="21"/>
  <c r="AD62" i="21"/>
  <c r="AC69" i="21"/>
  <c r="AB56" i="21"/>
  <c r="AB72" i="21"/>
  <c r="AD58" i="21"/>
  <c r="AE70" i="21"/>
  <c r="AB82" i="21"/>
  <c r="AE59" i="21"/>
  <c r="AC56" i="21"/>
  <c r="AB93" i="21"/>
  <c r="AB64" i="21"/>
  <c r="AE56" i="21"/>
  <c r="AC82" i="21"/>
  <c r="AB94" i="21"/>
  <c r="AB79" i="21"/>
  <c r="AE93" i="21"/>
  <c r="AD71" i="21"/>
  <c r="AD59" i="21"/>
  <c r="AE66" i="21"/>
  <c r="AE80" i="21"/>
  <c r="AC24" i="21"/>
  <c r="AO22" i="21"/>
  <c r="AB20" i="21"/>
  <c r="AD44" i="21"/>
  <c r="AD73" i="21"/>
  <c r="AD76" i="21"/>
  <c r="AE81" i="21"/>
  <c r="AC91" i="21"/>
  <c r="AC73" i="21"/>
  <c r="AC88" i="21"/>
  <c r="AP15" i="21"/>
  <c r="AO28" i="21"/>
  <c r="AC44" i="21"/>
  <c r="AO17" i="21"/>
  <c r="AB31" i="21"/>
  <c r="AB52" i="21"/>
  <c r="AD70" i="21"/>
  <c r="AC80" i="21"/>
  <c r="AE77" i="21"/>
  <c r="AE63" i="21"/>
  <c r="AC81" i="21"/>
  <c r="AD65" i="21"/>
  <c r="AB89" i="21"/>
  <c r="AB71" i="21"/>
  <c r="AC84" i="21"/>
  <c r="AB92" i="21"/>
  <c r="AE82" i="21"/>
  <c r="AE86" i="21"/>
  <c r="AE62" i="21"/>
  <c r="AD77" i="21"/>
  <c r="AD74" i="21"/>
  <c r="AB73" i="21"/>
  <c r="AB61" i="21"/>
  <c r="AE79" i="21"/>
  <c r="AN11" i="21"/>
  <c r="AB87" i="21"/>
  <c r="AD91" i="21"/>
  <c r="AC92" i="21"/>
  <c r="AC6" i="21"/>
  <c r="AD24" i="21"/>
  <c r="AP5" i="21"/>
  <c r="AC46" i="21"/>
  <c r="AB76" i="21"/>
  <c r="AD88" i="21"/>
  <c r="AB80" i="21"/>
  <c r="AD61" i="21"/>
  <c r="AE57" i="21"/>
  <c r="AD56" i="21"/>
  <c r="AD64" i="21"/>
  <c r="AE12" i="21"/>
  <c r="AC38" i="21"/>
  <c r="AB40" i="21"/>
  <c r="AP20" i="21"/>
  <c r="AB8" i="21"/>
  <c r="AO24" i="21"/>
  <c r="AE48" i="21"/>
  <c r="AE67" i="21"/>
  <c r="AD57" i="21"/>
  <c r="AC72" i="21"/>
  <c r="AE60" i="21"/>
  <c r="AD93" i="21"/>
  <c r="AE85" i="21"/>
  <c r="AC70" i="21"/>
  <c r="AD79" i="21"/>
  <c r="AB84" i="21"/>
  <c r="AC59" i="21"/>
  <c r="AD89" i="21"/>
  <c r="AD90" i="21"/>
  <c r="AD66" i="21"/>
  <c r="AC64" i="21"/>
  <c r="AD85" i="21"/>
  <c r="AD75" i="21"/>
  <c r="AE78" i="21"/>
  <c r="AE18" i="21"/>
  <c r="AL13" i="21"/>
  <c r="AM19" i="21"/>
  <c r="AM13" i="21"/>
  <c r="AP9" i="21"/>
  <c r="AN30" i="21"/>
  <c r="AD51" i="21"/>
  <c r="AB43" i="21"/>
  <c r="AB37" i="21"/>
  <c r="AN6" i="21"/>
  <c r="AM17" i="21"/>
  <c r="AE13" i="21"/>
  <c r="AL27" i="21"/>
  <c r="AB22" i="21"/>
  <c r="AM20" i="21"/>
  <c r="AO8" i="21"/>
  <c r="AD10" i="21"/>
  <c r="AO15" i="21"/>
  <c r="AM31" i="21"/>
  <c r="AC21" i="21"/>
  <c r="AE7" i="21"/>
  <c r="AM25" i="21"/>
  <c r="AB32" i="21"/>
  <c r="AC39" i="21"/>
  <c r="AL9" i="21"/>
  <c r="AB11" i="21"/>
  <c r="AC8" i="21"/>
  <c r="AE25" i="21"/>
  <c r="AB13" i="21"/>
  <c r="AC10" i="21"/>
  <c r="AE50" i="21"/>
  <c r="AC49" i="21"/>
  <c r="AB46" i="21"/>
  <c r="AC25" i="21"/>
  <c r="AN34" i="21"/>
  <c r="AM18" i="21"/>
  <c r="AL28" i="21"/>
  <c r="AD27" i="21"/>
  <c r="AC50" i="21"/>
  <c r="AD25" i="21"/>
  <c r="AP10" i="21"/>
  <c r="AN18" i="21"/>
  <c r="AL15" i="21"/>
  <c r="AD40" i="21"/>
  <c r="AB45" i="21"/>
  <c r="AE20" i="21"/>
  <c r="AE34" i="21"/>
  <c r="AL8" i="21"/>
  <c r="AD19" i="21"/>
  <c r="AE21" i="21"/>
  <c r="AP32" i="21"/>
  <c r="AO14" i="21"/>
  <c r="AE37" i="21"/>
  <c r="AP24" i="21"/>
  <c r="AM15" i="21"/>
  <c r="AM24" i="21"/>
  <c r="AD45" i="21"/>
  <c r="AE14" i="21"/>
  <c r="AO25" i="21"/>
  <c r="AN25" i="21"/>
  <c r="AM30" i="21"/>
  <c r="AN28" i="21"/>
  <c r="AO6" i="21"/>
  <c r="AC48" i="21"/>
  <c r="AC55" i="21"/>
  <c r="AD6" i="21"/>
  <c r="AC16" i="21"/>
  <c r="AD31" i="21"/>
  <c r="AL18" i="21"/>
  <c r="AE11" i="21"/>
  <c r="AP27" i="21"/>
  <c r="AM32" i="21"/>
  <c r="AM34" i="21"/>
  <c r="AP13" i="21"/>
  <c r="AN31" i="21"/>
  <c r="AO33" i="21"/>
  <c r="AE9" i="21"/>
  <c r="AC13" i="21"/>
  <c r="AB12" i="21"/>
  <c r="AP34" i="21"/>
  <c r="AN19" i="21"/>
  <c r="AP12" i="21"/>
  <c r="AL12" i="21"/>
  <c r="AQ12" i="21" s="1"/>
  <c r="AN24" i="21"/>
  <c r="AO27" i="21"/>
  <c r="AC11" i="21"/>
  <c r="AM7" i="21"/>
  <c r="AN32" i="21"/>
  <c r="AE6" i="21"/>
  <c r="AB42" i="21"/>
  <c r="AM28" i="21"/>
  <c r="AP18" i="21"/>
  <c r="AP14" i="21"/>
  <c r="AD46" i="21"/>
  <c r="AB55" i="21"/>
  <c r="AM27" i="21"/>
  <c r="AC5" i="21"/>
  <c r="AL25" i="21"/>
  <c r="AC51" i="21"/>
  <c r="AL19" i="21"/>
  <c r="AE17" i="21"/>
  <c r="AD18" i="21"/>
  <c r="AE27" i="21"/>
  <c r="AC15" i="21"/>
  <c r="AL6" i="21"/>
  <c r="AE42" i="21"/>
  <c r="AC18" i="21"/>
  <c r="AC33" i="21"/>
  <c r="AB6" i="21"/>
  <c r="AC20" i="21"/>
  <c r="AD37" i="21"/>
  <c r="AC9" i="21"/>
  <c r="AO12" i="21"/>
  <c r="AC12" i="21"/>
  <c r="AC30" i="21"/>
  <c r="AE16" i="21"/>
  <c r="AP22" i="21"/>
  <c r="AE39" i="21"/>
  <c r="AE10" i="21"/>
  <c r="AL24" i="21"/>
  <c r="AN16" i="21"/>
  <c r="AE46" i="21"/>
  <c r="AB49" i="21"/>
  <c r="AC34" i="21"/>
  <c r="AD54" i="21"/>
  <c r="AD52" i="21"/>
  <c r="AB50" i="21"/>
  <c r="AC54" i="21"/>
  <c r="AB48" i="21"/>
  <c r="AD49" i="21"/>
  <c r="AE54" i="21"/>
  <c r="AB54" i="21"/>
  <c r="AO9" i="21"/>
  <c r="AO21" i="21"/>
  <c r="AC36" i="21"/>
  <c r="AB24" i="21"/>
  <c r="AL31" i="21"/>
  <c r="AC17" i="21"/>
  <c r="AD36" i="21"/>
  <c r="AD5" i="21"/>
  <c r="AB21" i="21"/>
  <c r="AN10" i="21"/>
  <c r="AO19" i="21"/>
  <c r="AD8" i="21"/>
  <c r="AD13" i="21"/>
  <c r="AD38" i="21"/>
  <c r="AE44" i="21"/>
  <c r="AL34" i="21"/>
  <c r="AP21" i="21"/>
  <c r="AO7" i="21"/>
  <c r="AE19" i="21"/>
  <c r="AN22" i="21"/>
  <c r="AD32" i="21"/>
  <c r="AB14" i="21"/>
  <c r="AD48" i="21"/>
  <c r="AB51" i="21"/>
  <c r="AC52" i="21"/>
  <c r="AD55" i="21"/>
  <c r="AE55" i="21"/>
  <c r="AE51" i="21"/>
  <c r="AE49" i="21"/>
  <c r="AB28" i="21"/>
  <c r="AM21" i="21"/>
  <c r="AM22" i="21"/>
  <c r="AL21" i="21"/>
  <c r="AB15" i="21"/>
  <c r="AM5" i="21"/>
  <c r="AE36" i="21"/>
  <c r="AM10" i="21"/>
  <c r="AN13" i="21"/>
  <c r="AM9" i="21"/>
  <c r="AE24" i="21"/>
  <c r="AP7" i="21"/>
  <c r="AL16" i="21"/>
  <c r="AL10" i="21"/>
  <c r="AN20" i="21"/>
  <c r="AD14" i="21"/>
  <c r="AB30" i="21"/>
  <c r="AN12" i="21"/>
  <c r="AO32" i="21"/>
  <c r="AE32" i="21"/>
  <c r="AE43" i="21"/>
  <c r="AB34" i="21"/>
  <c r="AC37" i="21"/>
  <c r="AM14" i="21"/>
  <c r="AD16" i="21"/>
  <c r="AO18" i="21"/>
  <c r="AP11" i="21"/>
  <c r="AL14" i="21"/>
  <c r="AP16" i="21"/>
  <c r="AC22" i="21"/>
  <c r="AB18" i="21"/>
  <c r="AL32" i="21"/>
  <c r="AM11" i="21"/>
  <c r="AD12" i="21"/>
  <c r="AN7" i="21"/>
  <c r="AB10" i="21"/>
  <c r="AM16" i="21"/>
  <c r="AN33" i="21"/>
  <c r="AB44" i="21"/>
  <c r="K13" i="21"/>
  <c r="O13" i="21" s="1"/>
  <c r="J14" i="21"/>
  <c r="AN5" i="21"/>
  <c r="AO16" i="21"/>
  <c r="AL22" i="21"/>
  <c r="AE40" i="21"/>
  <c r="AC7" i="21"/>
  <c r="AL17" i="21"/>
  <c r="AO5" i="21"/>
  <c r="AB16" i="21"/>
  <c r="AD7" i="21"/>
  <c r="AC42" i="21"/>
  <c r="AP33" i="21"/>
  <c r="AL11" i="21"/>
  <c r="AO20" i="21"/>
  <c r="AB39" i="21"/>
  <c r="AL30" i="21"/>
  <c r="AB19" i="21"/>
  <c r="AD28" i="21"/>
  <c r="AM33" i="21"/>
  <c r="AE22" i="21"/>
  <c r="AB33" i="21"/>
  <c r="AL20" i="21"/>
  <c r="AO11" i="21"/>
  <c r="AD11" i="21"/>
  <c r="AB25" i="21"/>
  <c r="AC43" i="21"/>
  <c r="AD43" i="21"/>
  <c r="AC19" i="21"/>
  <c r="AO34" i="21"/>
  <c r="AD33" i="21"/>
  <c r="AD15" i="21"/>
  <c r="AP30" i="21"/>
  <c r="AC14" i="21"/>
  <c r="AB7" i="21"/>
  <c r="AB38" i="21"/>
  <c r="AD9" i="21"/>
  <c r="AE38" i="21"/>
  <c r="AP28" i="21"/>
  <c r="AC31" i="21"/>
  <c r="AN8" i="21"/>
  <c r="AD30" i="21"/>
  <c r="AD17" i="21"/>
  <c r="AO10" i="21"/>
  <c r="AD20" i="21"/>
  <c r="AD21" i="21"/>
  <c r="AL7" i="21"/>
  <c r="AN14" i="21"/>
  <c r="AC32" i="21"/>
  <c r="AO30" i="21"/>
  <c r="AC45" i="21"/>
  <c r="AD39" i="21"/>
  <c r="AB27" i="21"/>
  <c r="AN17" i="21"/>
  <c r="AC28" i="21"/>
  <c r="AD42" i="21"/>
  <c r="G75" i="21" l="1"/>
  <c r="Q143" i="21"/>
  <c r="C78" i="21"/>
  <c r="B77" i="21"/>
  <c r="Q150" i="21" s="1"/>
  <c r="Q148" i="21"/>
  <c r="Q146" i="21"/>
  <c r="Q142" i="21"/>
  <c r="Q145" i="21"/>
  <c r="C77" i="21"/>
  <c r="B76" i="21"/>
  <c r="G76" i="21" s="1"/>
  <c r="AQ33" i="21"/>
  <c r="AS33" i="21"/>
  <c r="J25" i="20"/>
  <c r="K24" i="20"/>
  <c r="O24" i="20" s="1"/>
  <c r="Y8" i="20"/>
  <c r="T9" i="20"/>
  <c r="X9" i="20" s="1"/>
  <c r="S10" i="20"/>
  <c r="R11" i="20"/>
  <c r="AF10" i="20"/>
  <c r="AI9" i="20"/>
  <c r="AR33" i="21"/>
  <c r="AT19" i="21"/>
  <c r="AS25" i="21"/>
  <c r="AQ8" i="21"/>
  <c r="AQ15" i="21"/>
  <c r="AR34" i="21"/>
  <c r="AR31" i="21"/>
  <c r="AT6" i="21"/>
  <c r="G51" i="26"/>
  <c r="G50" i="26"/>
  <c r="AS28" i="21"/>
  <c r="AT27" i="21"/>
  <c r="AT18" i="21"/>
  <c r="AS24" i="21"/>
  <c r="AF6" i="21"/>
  <c r="AF7" i="21" s="1"/>
  <c r="AR25" i="21"/>
  <c r="AQ18" i="21"/>
  <c r="AQ25" i="21"/>
  <c r="AS13" i="21"/>
  <c r="AQ31" i="21"/>
  <c r="AQ19" i="21"/>
  <c r="AQ27" i="21"/>
  <c r="AT29" i="21"/>
  <c r="AR29" i="21"/>
  <c r="AQ29" i="21"/>
  <c r="AS29" i="21"/>
  <c r="G49" i="21"/>
  <c r="G50" i="21"/>
  <c r="AS12" i="21"/>
  <c r="AT12" i="21"/>
  <c r="AS34" i="21"/>
  <c r="AT25" i="21"/>
  <c r="AR19" i="21"/>
  <c r="AQ34" i="21"/>
  <c r="AS9" i="21"/>
  <c r="AT33" i="21"/>
  <c r="AT34" i="21"/>
  <c r="AT15" i="21"/>
  <c r="AR15" i="21"/>
  <c r="AT28" i="21"/>
  <c r="AR28" i="21"/>
  <c r="AR24" i="21"/>
  <c r="AR27" i="21"/>
  <c r="AT31" i="21"/>
  <c r="AQ28" i="21"/>
  <c r="AS27" i="21"/>
  <c r="AR12" i="21"/>
  <c r="AS18" i="21"/>
  <c r="AS19" i="21"/>
  <c r="AH6" i="21"/>
  <c r="AH7" i="21" s="1"/>
  <c r="AH8" i="21" s="1"/>
  <c r="AH9" i="21" s="1"/>
  <c r="AH10" i="21" s="1"/>
  <c r="AH11" i="21" s="1"/>
  <c r="AH12" i="21" s="1"/>
  <c r="AH13" i="21" s="1"/>
  <c r="AH14" i="21" s="1"/>
  <c r="AH15" i="21" s="1"/>
  <c r="AH16" i="21" s="1"/>
  <c r="AH17" i="21" s="1"/>
  <c r="AH18" i="21" s="1"/>
  <c r="AH19" i="21" s="1"/>
  <c r="AH20" i="21" s="1"/>
  <c r="AH21" i="21" s="1"/>
  <c r="AH22" i="21" s="1"/>
  <c r="AG6" i="21"/>
  <c r="AG7" i="21" s="1"/>
  <c r="AG8" i="21" s="1"/>
  <c r="AG9" i="21" s="1"/>
  <c r="AG10" i="21" s="1"/>
  <c r="AG11" i="21" s="1"/>
  <c r="AG12" i="21" s="1"/>
  <c r="AG13" i="21" s="1"/>
  <c r="AG14" i="21" s="1"/>
  <c r="AG15" i="21" s="1"/>
  <c r="AG16" i="21" s="1"/>
  <c r="AG17" i="21" s="1"/>
  <c r="AG18" i="21" s="1"/>
  <c r="AG19" i="21" s="1"/>
  <c r="AG20" i="21" s="1"/>
  <c r="AG21" i="21" s="1"/>
  <c r="AG22" i="21" s="1"/>
  <c r="AR18" i="21"/>
  <c r="AS15" i="21"/>
  <c r="AT13" i="21"/>
  <c r="AS8" i="21"/>
  <c r="AQ13" i="21"/>
  <c r="AS6" i="21"/>
  <c r="AT8" i="21"/>
  <c r="AS31" i="21"/>
  <c r="AQ9" i="21"/>
  <c r="AR6" i="21"/>
  <c r="AT9" i="21"/>
  <c r="AY6" i="21"/>
  <c r="AY7" i="21" s="1"/>
  <c r="AY8" i="21" s="1"/>
  <c r="AY9" i="21" s="1"/>
  <c r="AY10" i="21" s="1"/>
  <c r="AY11" i="21" s="1"/>
  <c r="AY12" i="21" s="1"/>
  <c r="AY13" i="21" s="1"/>
  <c r="AY14" i="21" s="1"/>
  <c r="AY15" i="21" s="1"/>
  <c r="AY16" i="21" s="1"/>
  <c r="AY17" i="21" s="1"/>
  <c r="AY18" i="21" s="1"/>
  <c r="AY19" i="21" s="1"/>
  <c r="AY20" i="21" s="1"/>
  <c r="AY21" i="21" s="1"/>
  <c r="AY22" i="21" s="1"/>
  <c r="AR9" i="21"/>
  <c r="AQ6" i="21"/>
  <c r="AT24" i="21"/>
  <c r="AR8" i="21"/>
  <c r="AR13" i="21"/>
  <c r="AQ24" i="21"/>
  <c r="AT22" i="21"/>
  <c r="AS22" i="21"/>
  <c r="AR22" i="21"/>
  <c r="AQ22" i="21"/>
  <c r="K14" i="21"/>
  <c r="O14" i="21" s="1"/>
  <c r="J15" i="21"/>
  <c r="AR32" i="21"/>
  <c r="AQ32" i="21"/>
  <c r="AT32" i="21"/>
  <c r="AS32" i="21"/>
  <c r="AR16" i="21"/>
  <c r="AS16" i="21"/>
  <c r="AQ16" i="21"/>
  <c r="AT16" i="21"/>
  <c r="AQ11" i="21"/>
  <c r="AT11" i="21"/>
  <c r="AR11" i="21"/>
  <c r="AS11" i="21"/>
  <c r="AS21" i="21"/>
  <c r="AQ21" i="21"/>
  <c r="AR21" i="21"/>
  <c r="AT21" i="21"/>
  <c r="AR10" i="21"/>
  <c r="AQ10" i="21"/>
  <c r="AT10" i="21"/>
  <c r="AS10" i="21"/>
  <c r="AT7" i="21"/>
  <c r="AS7" i="21"/>
  <c r="AR7" i="21"/>
  <c r="AQ7" i="21"/>
  <c r="AQ20" i="21"/>
  <c r="AS20" i="21"/>
  <c r="AR20" i="21"/>
  <c r="AT20" i="21"/>
  <c r="AR17" i="21"/>
  <c r="AQ17" i="21"/>
  <c r="AS17" i="21"/>
  <c r="AT17" i="21"/>
  <c r="AT30" i="21"/>
  <c r="AR30" i="21"/>
  <c r="AQ30" i="21"/>
  <c r="AS30" i="21"/>
  <c r="AS14" i="21"/>
  <c r="AR14" i="21"/>
  <c r="AQ14" i="21"/>
  <c r="AT14" i="21"/>
  <c r="Q149" i="21" l="1"/>
  <c r="B78" i="21"/>
  <c r="G77" i="21"/>
  <c r="Q147" i="21"/>
  <c r="G78" i="21"/>
  <c r="Q153" i="21"/>
  <c r="Q152" i="21"/>
  <c r="Q155" i="21"/>
  <c r="Q151" i="21"/>
  <c r="K25" i="20"/>
  <c r="O25" i="20" s="1"/>
  <c r="J26" i="20"/>
  <c r="Y9" i="20"/>
  <c r="AF11" i="20"/>
  <c r="AI10" i="20"/>
  <c r="S11" i="20"/>
  <c r="R12" i="20"/>
  <c r="T10" i="20"/>
  <c r="X10" i="20" s="1"/>
  <c r="G52" i="26"/>
  <c r="G51" i="21"/>
  <c r="AI6" i="21"/>
  <c r="AI7" i="21"/>
  <c r="AF8" i="21"/>
  <c r="K15" i="21"/>
  <c r="O15" i="21" s="1"/>
  <c r="J16" i="21"/>
  <c r="Q154" i="21" l="1"/>
  <c r="K26" i="20"/>
  <c r="O26" i="20" s="1"/>
  <c r="J27" i="20"/>
  <c r="Y10" i="20"/>
  <c r="T11" i="20"/>
  <c r="X11" i="20" s="1"/>
  <c r="Y11" i="20" s="1"/>
  <c r="S12" i="20"/>
  <c r="R13" i="20"/>
  <c r="AF12" i="20"/>
  <c r="AI11" i="20"/>
  <c r="G53" i="21"/>
  <c r="Q82" i="21" s="1"/>
  <c r="G52" i="21"/>
  <c r="C94" i="26"/>
  <c r="Q81" i="21"/>
  <c r="Q79" i="21"/>
  <c r="Q77" i="21"/>
  <c r="Q75" i="21"/>
  <c r="Q73" i="21"/>
  <c r="Q71" i="21"/>
  <c r="Q69" i="21"/>
  <c r="Q67" i="21"/>
  <c r="Q65" i="21"/>
  <c r="Q63" i="21"/>
  <c r="Q61" i="21"/>
  <c r="Q59" i="21"/>
  <c r="Q57" i="21"/>
  <c r="Q55" i="21"/>
  <c r="Q53" i="21"/>
  <c r="Q51" i="21"/>
  <c r="Q49" i="21"/>
  <c r="Q47" i="21"/>
  <c r="Q83" i="21"/>
  <c r="Q85" i="21"/>
  <c r="Q84" i="21"/>
  <c r="Q80" i="21"/>
  <c r="Q78" i="21"/>
  <c r="Q76" i="21"/>
  <c r="Q74" i="21"/>
  <c r="Q72" i="21"/>
  <c r="Q70" i="21"/>
  <c r="Q68" i="21"/>
  <c r="Q66" i="21"/>
  <c r="Q64" i="21"/>
  <c r="Q62" i="21"/>
  <c r="Q60" i="21"/>
  <c r="Q58" i="21"/>
  <c r="Q56" i="21"/>
  <c r="Q54" i="21"/>
  <c r="Q52" i="21"/>
  <c r="Q50" i="21"/>
  <c r="Q48" i="21"/>
  <c r="Q46" i="21"/>
  <c r="Q30" i="21"/>
  <c r="Q34" i="21"/>
  <c r="Q6" i="21"/>
  <c r="R6" i="21" s="1"/>
  <c r="S6" i="21" s="1"/>
  <c r="T6" i="21" s="1"/>
  <c r="X6" i="21" s="1"/>
  <c r="Y6" i="21" s="1"/>
  <c r="Q13" i="21"/>
  <c r="Q29" i="21"/>
  <c r="Q18" i="21"/>
  <c r="Q44" i="21"/>
  <c r="Q11" i="21"/>
  <c r="Q16" i="21"/>
  <c r="Q45" i="21"/>
  <c r="Q32" i="21"/>
  <c r="Q20" i="21"/>
  <c r="Q19" i="21"/>
  <c r="Q12" i="21"/>
  <c r="Q21" i="21"/>
  <c r="Q35" i="21"/>
  <c r="Q28" i="21"/>
  <c r="Q27" i="21"/>
  <c r="Q39" i="21"/>
  <c r="Q33" i="21"/>
  <c r="Q17" i="21"/>
  <c r="Q42" i="21"/>
  <c r="Q15" i="21"/>
  <c r="Q36" i="21"/>
  <c r="Q43" i="21"/>
  <c r="Q31" i="21"/>
  <c r="Q8" i="21"/>
  <c r="Q23" i="21"/>
  <c r="Q14" i="21"/>
  <c r="Q26" i="21"/>
  <c r="Q40" i="21"/>
  <c r="Q9" i="21"/>
  <c r="Q10" i="21"/>
  <c r="Q38" i="21"/>
  <c r="Q37" i="21"/>
  <c r="Q24" i="21"/>
  <c r="Q25" i="21"/>
  <c r="Q22" i="21"/>
  <c r="Q7" i="21"/>
  <c r="Q41" i="21"/>
  <c r="AE23" i="21"/>
  <c r="AP23" i="21"/>
  <c r="AD26" i="21"/>
  <c r="AN23" i="21"/>
  <c r="AO23" i="21"/>
  <c r="AB23" i="21"/>
  <c r="AL26" i="21"/>
  <c r="AD23" i="21"/>
  <c r="AL23" i="21"/>
  <c r="AM26" i="21"/>
  <c r="AC23" i="21"/>
  <c r="AO26" i="21"/>
  <c r="AI8" i="21"/>
  <c r="AF9" i="21"/>
  <c r="K16" i="21"/>
  <c r="O16" i="21" s="1"/>
  <c r="J17" i="21"/>
  <c r="K27" i="20" l="1"/>
  <c r="O27" i="20" s="1"/>
  <c r="J28" i="20"/>
  <c r="AF13" i="20"/>
  <c r="AI12" i="20"/>
  <c r="T12" i="20"/>
  <c r="X12" i="20" s="1"/>
  <c r="Y12" i="20" s="1"/>
  <c r="S13" i="20"/>
  <c r="R14" i="20"/>
  <c r="R7" i="21"/>
  <c r="S7" i="21" s="1"/>
  <c r="T7" i="21" s="1"/>
  <c r="X7" i="21" s="1"/>
  <c r="Y7" i="21" s="1"/>
  <c r="G54" i="21"/>
  <c r="Q96" i="21" s="1"/>
  <c r="AS26" i="21"/>
  <c r="AT26" i="21"/>
  <c r="AQ26" i="21"/>
  <c r="AR26" i="21"/>
  <c r="AG23" i="21"/>
  <c r="AG24" i="21" s="1"/>
  <c r="AG25" i="21" s="1"/>
  <c r="AG26" i="21" s="1"/>
  <c r="AG27" i="21" s="1"/>
  <c r="AG28" i="21" s="1"/>
  <c r="AG29" i="21" s="1"/>
  <c r="AG30" i="21" s="1"/>
  <c r="AG31" i="21" s="1"/>
  <c r="AG32" i="21" s="1"/>
  <c r="AG33" i="21" s="1"/>
  <c r="AG34" i="21" s="1"/>
  <c r="AG35" i="21" s="1"/>
  <c r="AG36" i="21" s="1"/>
  <c r="AG37" i="21" s="1"/>
  <c r="AG38" i="21" s="1"/>
  <c r="AG39" i="21" s="1"/>
  <c r="AG40" i="21" s="1"/>
  <c r="AG41" i="21" s="1"/>
  <c r="AG42" i="21" s="1"/>
  <c r="AG43" i="21" s="1"/>
  <c r="AG44" i="21" s="1"/>
  <c r="AG45" i="21" s="1"/>
  <c r="AG46" i="21" s="1"/>
  <c r="AG47" i="21" s="1"/>
  <c r="AG48" i="21" s="1"/>
  <c r="AG49" i="21" s="1"/>
  <c r="AG50" i="21" s="1"/>
  <c r="AG51" i="21" s="1"/>
  <c r="AG52" i="21" s="1"/>
  <c r="AG53" i="21" s="1"/>
  <c r="AG54" i="21" s="1"/>
  <c r="AG55" i="21" s="1"/>
  <c r="AG56" i="21" s="1"/>
  <c r="AG57" i="21" s="1"/>
  <c r="AG58" i="21" s="1"/>
  <c r="AG59" i="21" s="1"/>
  <c r="AG60" i="21" s="1"/>
  <c r="AG61" i="21" s="1"/>
  <c r="AG62" i="21" s="1"/>
  <c r="AG63" i="21" s="1"/>
  <c r="AG64" i="21" s="1"/>
  <c r="AG65" i="21" s="1"/>
  <c r="AG66" i="21" s="1"/>
  <c r="AG67" i="21" s="1"/>
  <c r="AG68" i="21" s="1"/>
  <c r="AG69" i="21" s="1"/>
  <c r="AG70" i="21" s="1"/>
  <c r="AG71" i="21" s="1"/>
  <c r="AG72" i="21" s="1"/>
  <c r="AG73" i="21" s="1"/>
  <c r="AG74" i="21" s="1"/>
  <c r="AH23" i="21"/>
  <c r="AH24" i="21" s="1"/>
  <c r="AH25" i="21" s="1"/>
  <c r="AH26" i="21" s="1"/>
  <c r="AH27" i="21" s="1"/>
  <c r="AH28" i="21" s="1"/>
  <c r="AH29" i="21" s="1"/>
  <c r="AH30" i="21" s="1"/>
  <c r="AH31" i="21" s="1"/>
  <c r="AH32" i="21" s="1"/>
  <c r="AH33" i="21" s="1"/>
  <c r="AH34" i="21" s="1"/>
  <c r="AH35" i="21" s="1"/>
  <c r="AH36" i="21" s="1"/>
  <c r="AH37" i="21" s="1"/>
  <c r="AH38" i="21" s="1"/>
  <c r="AH39" i="21" s="1"/>
  <c r="AH40" i="21" s="1"/>
  <c r="AH41" i="21" s="1"/>
  <c r="AH42" i="21" s="1"/>
  <c r="AH43" i="21" s="1"/>
  <c r="AH44" i="21" s="1"/>
  <c r="AH45" i="21" s="1"/>
  <c r="AH46" i="21" s="1"/>
  <c r="AH47" i="21" s="1"/>
  <c r="AH48" i="21" s="1"/>
  <c r="AH49" i="21" s="1"/>
  <c r="AH50" i="21" s="1"/>
  <c r="AH51" i="21" s="1"/>
  <c r="AH52" i="21" s="1"/>
  <c r="AH53" i="21" s="1"/>
  <c r="AH54" i="21" s="1"/>
  <c r="AH55" i="21" s="1"/>
  <c r="AH56" i="21" s="1"/>
  <c r="AH57" i="21" s="1"/>
  <c r="AH58" i="21" s="1"/>
  <c r="AH59" i="21" s="1"/>
  <c r="AH60" i="21" s="1"/>
  <c r="AH61" i="21" s="1"/>
  <c r="AH62" i="21" s="1"/>
  <c r="AH63" i="21" s="1"/>
  <c r="AH64" i="21" s="1"/>
  <c r="AH65" i="21" s="1"/>
  <c r="AH66" i="21" s="1"/>
  <c r="AH67" i="21" s="1"/>
  <c r="AH68" i="21" s="1"/>
  <c r="AH69" i="21" s="1"/>
  <c r="AH70" i="21" s="1"/>
  <c r="AH71" i="21" s="1"/>
  <c r="AH72" i="21" s="1"/>
  <c r="AH73" i="21" s="1"/>
  <c r="AH74" i="21" s="1"/>
  <c r="AT23" i="21"/>
  <c r="AR23" i="21"/>
  <c r="AQ23" i="21"/>
  <c r="AS23" i="21"/>
  <c r="AY23" i="21"/>
  <c r="AY24" i="21" s="1"/>
  <c r="AY25" i="21" s="1"/>
  <c r="AY26" i="21" s="1"/>
  <c r="AY27" i="21" s="1"/>
  <c r="AY28" i="21" s="1"/>
  <c r="AY29" i="21" s="1"/>
  <c r="AY30" i="21" s="1"/>
  <c r="AY31" i="21" s="1"/>
  <c r="AY32" i="21" s="1"/>
  <c r="AY33" i="21" s="1"/>
  <c r="AY34" i="21" s="1"/>
  <c r="AY35" i="21" s="1"/>
  <c r="C123" i="21" s="1"/>
  <c r="AI9" i="21"/>
  <c r="AF10" i="21"/>
  <c r="K17" i="21"/>
  <c r="O17" i="21" s="1"/>
  <c r="J18" i="21"/>
  <c r="K28" i="20" l="1"/>
  <c r="J29" i="20"/>
  <c r="O28" i="20"/>
  <c r="T13" i="20"/>
  <c r="X13" i="20" s="1"/>
  <c r="Y13" i="20" s="1"/>
  <c r="S14" i="20"/>
  <c r="R15" i="20"/>
  <c r="AI13" i="20"/>
  <c r="AF14" i="20"/>
  <c r="R8" i="21"/>
  <c r="S8" i="21" s="1"/>
  <c r="T8" i="21" s="1"/>
  <c r="X8" i="21" s="1"/>
  <c r="Y8" i="21" s="1"/>
  <c r="G55" i="21"/>
  <c r="Q86" i="21"/>
  <c r="G56" i="21"/>
  <c r="Q101" i="21" s="1"/>
  <c r="C94" i="21"/>
  <c r="Q89" i="21"/>
  <c r="AF11" i="21"/>
  <c r="AI10" i="21"/>
  <c r="K18" i="21"/>
  <c r="O18" i="21" s="1"/>
  <c r="J19" i="21"/>
  <c r="Q88" i="21" l="1"/>
  <c r="Q99" i="21"/>
  <c r="Q97" i="21"/>
  <c r="Q98" i="21"/>
  <c r="Q100" i="21"/>
  <c r="AB75" i="21"/>
  <c r="AG75" i="21" s="1"/>
  <c r="AG76" i="21" s="1"/>
  <c r="AG77" i="21" s="1"/>
  <c r="AG78" i="21" s="1"/>
  <c r="AG79" i="21" s="1"/>
  <c r="AG80" i="21" s="1"/>
  <c r="AG81" i="21" s="1"/>
  <c r="AG82" i="21" s="1"/>
  <c r="AG83" i="21" s="1"/>
  <c r="AG84" i="21" s="1"/>
  <c r="AG85" i="21" s="1"/>
  <c r="AG86" i="21" s="1"/>
  <c r="AG87" i="21" s="1"/>
  <c r="AG88" i="21" s="1"/>
  <c r="AG89" i="21" s="1"/>
  <c r="AG90" i="21" s="1"/>
  <c r="AG91" i="21" s="1"/>
  <c r="AG92" i="21" s="1"/>
  <c r="AG93" i="21" s="1"/>
  <c r="AG94" i="21" s="1"/>
  <c r="AB155" i="21"/>
  <c r="AL5" i="21"/>
  <c r="AB5" i="21"/>
  <c r="J30" i="20"/>
  <c r="K29" i="20"/>
  <c r="O29" i="20" s="1"/>
  <c r="S15" i="20"/>
  <c r="R16" i="20"/>
  <c r="T14" i="20"/>
  <c r="X14" i="20" s="1"/>
  <c r="Y14" i="20" s="1"/>
  <c r="AF15" i="20"/>
  <c r="AI14" i="20"/>
  <c r="Q87" i="21"/>
  <c r="Q90" i="21"/>
  <c r="R9" i="21"/>
  <c r="S9" i="21" s="1"/>
  <c r="T9" i="21" s="1"/>
  <c r="X9" i="21" s="1"/>
  <c r="Y9" i="21" s="1"/>
  <c r="AB95" i="21"/>
  <c r="H94" i="21"/>
  <c r="Q91" i="21"/>
  <c r="Q92" i="21"/>
  <c r="Q95" i="21"/>
  <c r="Q93" i="21"/>
  <c r="Q94" i="21"/>
  <c r="K19" i="21"/>
  <c r="O19" i="21" s="1"/>
  <c r="J20" i="21"/>
  <c r="AF12" i="21"/>
  <c r="AI11" i="21"/>
  <c r="AH75" i="21" l="1"/>
  <c r="AH76" i="21" s="1"/>
  <c r="AH77" i="21" s="1"/>
  <c r="AH78" i="21" s="1"/>
  <c r="AH79" i="21" s="1"/>
  <c r="AH80" i="21" s="1"/>
  <c r="AH81" i="21" s="1"/>
  <c r="AH82" i="21" s="1"/>
  <c r="AH83" i="21" s="1"/>
  <c r="AH84" i="21" s="1"/>
  <c r="AH85" i="21" s="1"/>
  <c r="AH86" i="21" s="1"/>
  <c r="AH87" i="21" s="1"/>
  <c r="AH88" i="21" s="1"/>
  <c r="AH89" i="21" s="1"/>
  <c r="AH90" i="21" s="1"/>
  <c r="AH91" i="21" s="1"/>
  <c r="AH92" i="21" s="1"/>
  <c r="AH93" i="21" s="1"/>
  <c r="AH94" i="21" s="1"/>
  <c r="AH95" i="21" s="1"/>
  <c r="AH96" i="21" s="1"/>
  <c r="AH97" i="21" s="1"/>
  <c r="AH98" i="21" s="1"/>
  <c r="AH99" i="21" s="1"/>
  <c r="AH100" i="21" s="1"/>
  <c r="AH101" i="21" s="1"/>
  <c r="AH102" i="21" s="1"/>
  <c r="AH103" i="21" s="1"/>
  <c r="AH104" i="21" s="1"/>
  <c r="AH105" i="21" s="1"/>
  <c r="AH106" i="21" s="1"/>
  <c r="AH107" i="21" s="1"/>
  <c r="AH108" i="21" s="1"/>
  <c r="AH109" i="21" s="1"/>
  <c r="AH110" i="21" s="1"/>
  <c r="AH111" i="21" s="1"/>
  <c r="AH112" i="21" s="1"/>
  <c r="AH113" i="21" s="1"/>
  <c r="AH114" i="21" s="1"/>
  <c r="AH115" i="21" s="1"/>
  <c r="AH116" i="21" s="1"/>
  <c r="AH117" i="21" s="1"/>
  <c r="AH118" i="21" s="1"/>
  <c r="AH119" i="21" s="1"/>
  <c r="AH120" i="21" s="1"/>
  <c r="AH121" i="21" s="1"/>
  <c r="AH122" i="21" s="1"/>
  <c r="AH123" i="21" s="1"/>
  <c r="AH124" i="21" s="1"/>
  <c r="AH125" i="21" s="1"/>
  <c r="AH126" i="21" s="1"/>
  <c r="AH127" i="21" s="1"/>
  <c r="AH128" i="21" s="1"/>
  <c r="AH129" i="21" s="1"/>
  <c r="AH130" i="21" s="1"/>
  <c r="AH131" i="21" s="1"/>
  <c r="AH132" i="21" s="1"/>
  <c r="AH133" i="21" s="1"/>
  <c r="AH134" i="21" s="1"/>
  <c r="AH135" i="21" s="1"/>
  <c r="AH136" i="21" s="1"/>
  <c r="AH137" i="21" s="1"/>
  <c r="AH138" i="21" s="1"/>
  <c r="AH139" i="21" s="1"/>
  <c r="AH140" i="21" s="1"/>
  <c r="AH141" i="21" s="1"/>
  <c r="AH142" i="21" s="1"/>
  <c r="AH143" i="21" s="1"/>
  <c r="AH144" i="21" s="1"/>
  <c r="AH145" i="21" s="1"/>
  <c r="AH146" i="21" s="1"/>
  <c r="AH147" i="21" s="1"/>
  <c r="AH148" i="21" s="1"/>
  <c r="AH149" i="21" s="1"/>
  <c r="AH150" i="21" s="1"/>
  <c r="AH151" i="21" s="1"/>
  <c r="AH152" i="21" s="1"/>
  <c r="AH153" i="21" s="1"/>
  <c r="AH154" i="21" s="1"/>
  <c r="AH155" i="21" s="1"/>
  <c r="J31" i="20"/>
  <c r="K30" i="20"/>
  <c r="O30" i="20" s="1"/>
  <c r="AI15" i="20"/>
  <c r="AF16" i="20"/>
  <c r="S16" i="20"/>
  <c r="R17" i="20"/>
  <c r="T15" i="20"/>
  <c r="X15" i="20" s="1"/>
  <c r="Y15" i="20" s="1"/>
  <c r="R10" i="21"/>
  <c r="R11" i="21" s="1"/>
  <c r="AG95" i="21"/>
  <c r="AG96" i="21" s="1"/>
  <c r="AG97" i="21" s="1"/>
  <c r="AG98" i="21" s="1"/>
  <c r="AG99" i="21" s="1"/>
  <c r="AG100" i="21" s="1"/>
  <c r="AG101" i="21" s="1"/>
  <c r="AG102" i="21" s="1"/>
  <c r="AG103" i="21" s="1"/>
  <c r="AG104" i="21" s="1"/>
  <c r="AG105" i="21" s="1"/>
  <c r="AG106" i="21" s="1"/>
  <c r="AG107" i="21" s="1"/>
  <c r="AG108" i="21" s="1"/>
  <c r="AG109" i="21" s="1"/>
  <c r="AG110" i="21" s="1"/>
  <c r="AG111" i="21" s="1"/>
  <c r="AG112" i="21" s="1"/>
  <c r="AG113" i="21" s="1"/>
  <c r="AG114" i="21" s="1"/>
  <c r="AG115" i="21" s="1"/>
  <c r="AG116" i="21" s="1"/>
  <c r="AG117" i="21" s="1"/>
  <c r="AG118" i="21" s="1"/>
  <c r="AG119" i="21" s="1"/>
  <c r="AG120" i="21" s="1"/>
  <c r="AG121" i="21" s="1"/>
  <c r="AG122" i="21" s="1"/>
  <c r="AG123" i="21" s="1"/>
  <c r="AG124" i="21" s="1"/>
  <c r="AG125" i="21" s="1"/>
  <c r="AG126" i="21" s="1"/>
  <c r="AG127" i="21" s="1"/>
  <c r="AG128" i="21" s="1"/>
  <c r="AG129" i="21" s="1"/>
  <c r="AG130" i="21" s="1"/>
  <c r="AG131" i="21" s="1"/>
  <c r="AG132" i="21" s="1"/>
  <c r="AG133" i="21" s="1"/>
  <c r="AG134" i="21" s="1"/>
  <c r="AG135" i="21" s="1"/>
  <c r="AG136" i="21" s="1"/>
  <c r="AG137" i="21" s="1"/>
  <c r="AG138" i="21" s="1"/>
  <c r="AG139" i="21" s="1"/>
  <c r="AG140" i="21" s="1"/>
  <c r="AG141" i="21" s="1"/>
  <c r="AG142" i="21" s="1"/>
  <c r="AG143" i="21" s="1"/>
  <c r="AG144" i="21" s="1"/>
  <c r="AG145" i="21" s="1"/>
  <c r="AG146" i="21" s="1"/>
  <c r="AG147" i="21" s="1"/>
  <c r="AG148" i="21" s="1"/>
  <c r="AG149" i="21" s="1"/>
  <c r="AG150" i="21" s="1"/>
  <c r="AG151" i="21" s="1"/>
  <c r="AG152" i="21" s="1"/>
  <c r="AG153" i="21" s="1"/>
  <c r="AG154" i="21" s="1"/>
  <c r="AG155" i="21" s="1"/>
  <c r="K20" i="21"/>
  <c r="O20" i="21" s="1"/>
  <c r="J21" i="21"/>
  <c r="AF13" i="21"/>
  <c r="AI12" i="21"/>
  <c r="K31" i="20" l="1"/>
  <c r="O31" i="20" s="1"/>
  <c r="J32" i="20"/>
  <c r="S17" i="20"/>
  <c r="R18" i="20"/>
  <c r="T16" i="20"/>
  <c r="X16" i="20" s="1"/>
  <c r="Y16" i="20" s="1"/>
  <c r="AI16" i="20"/>
  <c r="AF17" i="20"/>
  <c r="S10" i="21"/>
  <c r="T10" i="21" s="1"/>
  <c r="X10" i="21" s="1"/>
  <c r="Y10" i="21" s="1"/>
  <c r="S11" i="21"/>
  <c r="T11" i="21" s="1"/>
  <c r="X11" i="21" s="1"/>
  <c r="Y11" i="21" s="1"/>
  <c r="R12" i="21"/>
  <c r="AF14" i="21"/>
  <c r="AI13" i="21"/>
  <c r="K21" i="21"/>
  <c r="O21" i="21" s="1"/>
  <c r="J22" i="21"/>
  <c r="J33" i="20" l="1"/>
  <c r="K32" i="20"/>
  <c r="O32" i="20" s="1"/>
  <c r="S18" i="20"/>
  <c r="R19" i="20"/>
  <c r="AI17" i="20"/>
  <c r="AF18" i="20"/>
  <c r="T17" i="20"/>
  <c r="X17" i="20" s="1"/>
  <c r="Y17" i="20" s="1"/>
  <c r="S12" i="21"/>
  <c r="T12" i="21" s="1"/>
  <c r="X12" i="21" s="1"/>
  <c r="Y12" i="21" s="1"/>
  <c r="R13" i="21"/>
  <c r="K22" i="21"/>
  <c r="O22" i="21" s="1"/>
  <c r="J23" i="21"/>
  <c r="AF15" i="21"/>
  <c r="AI14" i="21"/>
  <c r="K33" i="20" l="1"/>
  <c r="O33" i="20" s="1"/>
  <c r="J34" i="20"/>
  <c r="D123" i="20" s="1"/>
  <c r="E123" i="20" s="1"/>
  <c r="E127" i="20" s="1"/>
  <c r="AF19" i="20"/>
  <c r="AI18" i="20"/>
  <c r="T18" i="20"/>
  <c r="X18" i="20" s="1"/>
  <c r="Y18" i="20" s="1"/>
  <c r="S19" i="20"/>
  <c r="R20" i="20"/>
  <c r="S13" i="21"/>
  <c r="T13" i="21" s="1"/>
  <c r="X13" i="21" s="1"/>
  <c r="Y13" i="21" s="1"/>
  <c r="R14" i="21"/>
  <c r="AF16" i="21"/>
  <c r="AI15" i="21"/>
  <c r="K23" i="21"/>
  <c r="O23" i="21" s="1"/>
  <c r="J24" i="21"/>
  <c r="J35" i="20" l="1"/>
  <c r="K34" i="20"/>
  <c r="O34" i="20" s="1"/>
  <c r="T19" i="20"/>
  <c r="X19" i="20" s="1"/>
  <c r="Y19" i="20" s="1"/>
  <c r="S20" i="20"/>
  <c r="R21" i="20"/>
  <c r="AI19" i="20"/>
  <c r="AF20" i="20"/>
  <c r="S14" i="21"/>
  <c r="T14" i="21" s="1"/>
  <c r="X14" i="21" s="1"/>
  <c r="Y14" i="21" s="1"/>
  <c r="R15" i="21"/>
  <c r="AI16" i="21"/>
  <c r="AF17" i="21"/>
  <c r="K24" i="21"/>
  <c r="O24" i="21" s="1"/>
  <c r="J25" i="21"/>
  <c r="K35" i="20" l="1"/>
  <c r="O35" i="20" s="1"/>
  <c r="D114" i="20" s="1"/>
  <c r="J36" i="20"/>
  <c r="S21" i="20"/>
  <c r="R22" i="20"/>
  <c r="T20" i="20"/>
  <c r="X20" i="20" s="1"/>
  <c r="Y20" i="20" s="1"/>
  <c r="AI20" i="20"/>
  <c r="AF21" i="20"/>
  <c r="R16" i="21"/>
  <c r="S15" i="21"/>
  <c r="T15" i="21" s="1"/>
  <c r="X15" i="21" s="1"/>
  <c r="Y15" i="21" s="1"/>
  <c r="AI17" i="21"/>
  <c r="AF18" i="21"/>
  <c r="K25" i="21"/>
  <c r="O25" i="21" s="1"/>
  <c r="J26" i="21"/>
  <c r="K36" i="20" l="1"/>
  <c r="O36" i="20" s="1"/>
  <c r="J37" i="20"/>
  <c r="S22" i="20"/>
  <c r="R23" i="20"/>
  <c r="AI21" i="20"/>
  <c r="AF22" i="20"/>
  <c r="T21" i="20"/>
  <c r="X21" i="20" s="1"/>
  <c r="Y21" i="20" s="1"/>
  <c r="R17" i="21"/>
  <c r="S16" i="21"/>
  <c r="T16" i="21" s="1"/>
  <c r="X16" i="21" s="1"/>
  <c r="Y16" i="21" s="1"/>
  <c r="K26" i="21"/>
  <c r="O26" i="21" s="1"/>
  <c r="J27" i="21"/>
  <c r="AI18" i="21"/>
  <c r="AF19" i="21"/>
  <c r="K37" i="20" l="1"/>
  <c r="O37" i="20" s="1"/>
  <c r="J38" i="20"/>
  <c r="S23" i="20"/>
  <c r="R24" i="20"/>
  <c r="AI22" i="20"/>
  <c r="AF23" i="20"/>
  <c r="T22" i="20"/>
  <c r="X22" i="20" s="1"/>
  <c r="Y22" i="20" s="1"/>
  <c r="S17" i="21"/>
  <c r="T17" i="21" s="1"/>
  <c r="X17" i="21" s="1"/>
  <c r="Y17" i="21" s="1"/>
  <c r="R18" i="21"/>
  <c r="AF20" i="21"/>
  <c r="AI19" i="21"/>
  <c r="K27" i="21"/>
  <c r="O27" i="21" s="1"/>
  <c r="J28" i="21"/>
  <c r="J39" i="20" l="1"/>
  <c r="K38" i="20"/>
  <c r="O38" i="20" s="1"/>
  <c r="AI23" i="20"/>
  <c r="AF24" i="20"/>
  <c r="S24" i="20"/>
  <c r="R25" i="20"/>
  <c r="T23" i="20"/>
  <c r="X23" i="20" s="1"/>
  <c r="Y23" i="20" s="1"/>
  <c r="S18" i="21"/>
  <c r="T18" i="21" s="1"/>
  <c r="X18" i="21" s="1"/>
  <c r="Y18" i="21" s="1"/>
  <c r="R19" i="21"/>
  <c r="AF21" i="21"/>
  <c r="AI20" i="21"/>
  <c r="K28" i="21"/>
  <c r="O28" i="21" s="1"/>
  <c r="J29" i="21"/>
  <c r="J40" i="20" l="1"/>
  <c r="K39" i="20"/>
  <c r="O39" i="20" s="1"/>
  <c r="S25" i="20"/>
  <c r="R26" i="20"/>
  <c r="T24" i="20"/>
  <c r="X24" i="20" s="1"/>
  <c r="Y24" i="20" s="1"/>
  <c r="AF25" i="20"/>
  <c r="AI24" i="20"/>
  <c r="S19" i="21"/>
  <c r="T19" i="21" s="1"/>
  <c r="X19" i="21" s="1"/>
  <c r="Y19" i="21" s="1"/>
  <c r="R20" i="21"/>
  <c r="K29" i="21"/>
  <c r="O29" i="21" s="1"/>
  <c r="J30" i="21"/>
  <c r="AF22" i="21"/>
  <c r="AI21" i="21"/>
  <c r="K40" i="20" l="1"/>
  <c r="O40" i="20" s="1"/>
  <c r="J41" i="20"/>
  <c r="T25" i="20"/>
  <c r="X25" i="20" s="1"/>
  <c r="Y25" i="20" s="1"/>
  <c r="S26" i="20"/>
  <c r="R27" i="20"/>
  <c r="AI25" i="20"/>
  <c r="AF26" i="20"/>
  <c r="S20" i="21"/>
  <c r="T20" i="21" s="1"/>
  <c r="X20" i="21" s="1"/>
  <c r="Y20" i="21" s="1"/>
  <c r="R21" i="21"/>
  <c r="AF23" i="21"/>
  <c r="AI22" i="21"/>
  <c r="K30" i="21"/>
  <c r="O30" i="21" s="1"/>
  <c r="J31" i="21"/>
  <c r="K41" i="20" l="1"/>
  <c r="O41" i="20" s="1"/>
  <c r="J42" i="20"/>
  <c r="S27" i="20"/>
  <c r="R28" i="20"/>
  <c r="T26" i="20"/>
  <c r="X26" i="20" s="1"/>
  <c r="Y26" i="20" s="1"/>
  <c r="AI26" i="20"/>
  <c r="AF27" i="20"/>
  <c r="S21" i="21"/>
  <c r="T21" i="21" s="1"/>
  <c r="X21" i="21" s="1"/>
  <c r="Y21" i="21" s="1"/>
  <c r="R22" i="21"/>
  <c r="K31" i="21"/>
  <c r="O31" i="21" s="1"/>
  <c r="J32" i="21"/>
  <c r="AF24" i="21"/>
  <c r="AI23" i="21"/>
  <c r="J43" i="20" l="1"/>
  <c r="K42" i="20"/>
  <c r="O42" i="20" s="1"/>
  <c r="S28" i="20"/>
  <c r="R29" i="20"/>
  <c r="T27" i="20"/>
  <c r="X27" i="20" s="1"/>
  <c r="Y27" i="20" s="1"/>
  <c r="AI27" i="20"/>
  <c r="AF28" i="20"/>
  <c r="S22" i="21"/>
  <c r="T22" i="21" s="1"/>
  <c r="X22" i="21" s="1"/>
  <c r="Y22" i="21" s="1"/>
  <c r="R23" i="21"/>
  <c r="AI24" i="21"/>
  <c r="AF25" i="21"/>
  <c r="K32" i="21"/>
  <c r="O32" i="21" s="1"/>
  <c r="J33" i="21"/>
  <c r="K43" i="20" l="1"/>
  <c r="O43" i="20" s="1"/>
  <c r="J44" i="20"/>
  <c r="S29" i="20"/>
  <c r="R30" i="20"/>
  <c r="AI28" i="20"/>
  <c r="AF29" i="20"/>
  <c r="T28" i="20"/>
  <c r="X28" i="20" s="1"/>
  <c r="Y28" i="20" s="1"/>
  <c r="R24" i="21"/>
  <c r="S23" i="21"/>
  <c r="T23" i="21" s="1"/>
  <c r="X23" i="21" s="1"/>
  <c r="Y23" i="21" s="1"/>
  <c r="K33" i="21"/>
  <c r="O33" i="21" s="1"/>
  <c r="J34" i="21"/>
  <c r="D123" i="21" s="1"/>
  <c r="E123" i="21" s="1"/>
  <c r="E127" i="21" s="1"/>
  <c r="J23" i="24" s="1"/>
  <c r="AF26" i="21"/>
  <c r="AI25" i="21"/>
  <c r="J45" i="20" l="1"/>
  <c r="K44" i="20"/>
  <c r="O44" i="20" s="1"/>
  <c r="S30" i="20"/>
  <c r="R31" i="20"/>
  <c r="AI29" i="20"/>
  <c r="AF30" i="20"/>
  <c r="T29" i="20"/>
  <c r="X29" i="20" s="1"/>
  <c r="Y29" i="20" s="1"/>
  <c r="R25" i="21"/>
  <c r="S24" i="21"/>
  <c r="T24" i="21" s="1"/>
  <c r="X24" i="21" s="1"/>
  <c r="Y24" i="21" s="1"/>
  <c r="AF27" i="21"/>
  <c r="AI26" i="21"/>
  <c r="K34" i="21"/>
  <c r="O34" i="21" s="1"/>
  <c r="J35" i="21"/>
  <c r="J46" i="20" l="1"/>
  <c r="K45" i="20"/>
  <c r="O45" i="20" s="1"/>
  <c r="AI30" i="20"/>
  <c r="AF31" i="20"/>
  <c r="S31" i="20"/>
  <c r="R32" i="20"/>
  <c r="T30" i="20"/>
  <c r="X30" i="20" s="1"/>
  <c r="Y30" i="20" s="1"/>
  <c r="R26" i="21"/>
  <c r="S25" i="21"/>
  <c r="T25" i="21" s="1"/>
  <c r="X25" i="21" s="1"/>
  <c r="Y25" i="21" s="1"/>
  <c r="K35" i="21"/>
  <c r="O35" i="21" s="1"/>
  <c r="D114" i="21" s="1"/>
  <c r="J36" i="21"/>
  <c r="AI27" i="21"/>
  <c r="AF28" i="21"/>
  <c r="K46" i="20" l="1"/>
  <c r="O46" i="20" s="1"/>
  <c r="J47" i="20"/>
  <c r="AI31" i="20"/>
  <c r="AF32" i="20"/>
  <c r="S32" i="20"/>
  <c r="R33" i="20"/>
  <c r="T31" i="20"/>
  <c r="X31" i="20" s="1"/>
  <c r="Y31" i="20" s="1"/>
  <c r="R27" i="21"/>
  <c r="S26" i="21"/>
  <c r="T26" i="21" s="1"/>
  <c r="X26" i="21" s="1"/>
  <c r="Y26" i="21" s="1"/>
  <c r="K36" i="21"/>
  <c r="O36" i="21" s="1"/>
  <c r="J37" i="21"/>
  <c r="AI28" i="21"/>
  <c r="AF29" i="21"/>
  <c r="K47" i="20" l="1"/>
  <c r="O47" i="20" s="1"/>
  <c r="J48" i="20"/>
  <c r="T32" i="20"/>
  <c r="X32" i="20" s="1"/>
  <c r="Y32" i="20" s="1"/>
  <c r="AF33" i="20"/>
  <c r="AI32" i="20"/>
  <c r="S33" i="20"/>
  <c r="R34" i="20"/>
  <c r="R28" i="21"/>
  <c r="S27" i="21"/>
  <c r="T27" i="21" s="1"/>
  <c r="X27" i="21" s="1"/>
  <c r="Y27" i="21" s="1"/>
  <c r="K37" i="21"/>
  <c r="O37" i="21" s="1"/>
  <c r="J38" i="21"/>
  <c r="AI29" i="21"/>
  <c r="AF30" i="21"/>
  <c r="K48" i="20" l="1"/>
  <c r="O48" i="20" s="1"/>
  <c r="J49" i="20"/>
  <c r="T33" i="20"/>
  <c r="X33" i="20" s="1"/>
  <c r="Y33" i="20" s="1"/>
  <c r="AI33" i="20"/>
  <c r="AF34" i="20"/>
  <c r="S34" i="20"/>
  <c r="R35" i="20"/>
  <c r="R29" i="21"/>
  <c r="S28" i="21"/>
  <c r="T28" i="21" s="1"/>
  <c r="X28" i="21" s="1"/>
  <c r="Y28" i="21" s="1"/>
  <c r="K38" i="21"/>
  <c r="O38" i="21" s="1"/>
  <c r="J39" i="21"/>
  <c r="AI30" i="21"/>
  <c r="AF31" i="21"/>
  <c r="K49" i="20" l="1"/>
  <c r="O49" i="20" s="1"/>
  <c r="J50" i="20"/>
  <c r="AF35" i="20"/>
  <c r="AI34" i="20"/>
  <c r="T34" i="20"/>
  <c r="X34" i="20" s="1"/>
  <c r="Y34" i="20" s="1"/>
  <c r="S35" i="20"/>
  <c r="R36" i="20"/>
  <c r="R30" i="21"/>
  <c r="S29" i="21"/>
  <c r="T29" i="21" s="1"/>
  <c r="X29" i="21" s="1"/>
  <c r="Y29" i="21" s="1"/>
  <c r="K39" i="21"/>
  <c r="O39" i="21" s="1"/>
  <c r="J40" i="21"/>
  <c r="AF32" i="21"/>
  <c r="AI31" i="21"/>
  <c r="K50" i="20" l="1"/>
  <c r="O50" i="20" s="1"/>
  <c r="J51" i="20"/>
  <c r="T35" i="20"/>
  <c r="X35" i="20" s="1"/>
  <c r="S36" i="20"/>
  <c r="R37" i="20"/>
  <c r="AF36" i="20"/>
  <c r="AI35" i="20"/>
  <c r="C118" i="20" s="1"/>
  <c r="E118" i="20" s="1"/>
  <c r="D127" i="20" s="1"/>
  <c r="S30" i="21"/>
  <c r="T30" i="21" s="1"/>
  <c r="X30" i="21" s="1"/>
  <c r="Y30" i="21" s="1"/>
  <c r="R31" i="21"/>
  <c r="AF33" i="21"/>
  <c r="AI32" i="21"/>
  <c r="K40" i="21"/>
  <c r="O40" i="21" s="1"/>
  <c r="J41" i="21"/>
  <c r="K51" i="20" l="1"/>
  <c r="O51" i="20" s="1"/>
  <c r="J52" i="20"/>
  <c r="C114" i="20"/>
  <c r="Y35" i="20"/>
  <c r="E114" i="20" s="1"/>
  <c r="AF37" i="20"/>
  <c r="AI36" i="20"/>
  <c r="S37" i="20"/>
  <c r="R38" i="20"/>
  <c r="T36" i="20"/>
  <c r="X36" i="20" s="1"/>
  <c r="Y36" i="20" s="1"/>
  <c r="S31" i="21"/>
  <c r="T31" i="21" s="1"/>
  <c r="X31" i="21" s="1"/>
  <c r="Y31" i="21" s="1"/>
  <c r="R32" i="21"/>
  <c r="K41" i="21"/>
  <c r="O41" i="21" s="1"/>
  <c r="J42" i="21"/>
  <c r="AF34" i="21"/>
  <c r="AI33" i="21"/>
  <c r="J53" i="20" l="1"/>
  <c r="K52" i="20"/>
  <c r="O52" i="20" s="1"/>
  <c r="S38" i="20"/>
  <c r="R39" i="20"/>
  <c r="T37" i="20"/>
  <c r="X37" i="20" s="1"/>
  <c r="Y37" i="20" s="1"/>
  <c r="AF38" i="20"/>
  <c r="AI37" i="20"/>
  <c r="R33" i="21"/>
  <c r="S32" i="21"/>
  <c r="T32" i="21" s="1"/>
  <c r="X32" i="21" s="1"/>
  <c r="Y32" i="21" s="1"/>
  <c r="AF35" i="21"/>
  <c r="AI34" i="21"/>
  <c r="K42" i="21"/>
  <c r="O42" i="21" s="1"/>
  <c r="J43" i="21"/>
  <c r="K53" i="20" l="1"/>
  <c r="O53" i="20" s="1"/>
  <c r="J54" i="20"/>
  <c r="AF39" i="20"/>
  <c r="AI38" i="20"/>
  <c r="S39" i="20"/>
  <c r="R40" i="20"/>
  <c r="T38" i="20"/>
  <c r="X38" i="20" s="1"/>
  <c r="Y38" i="20" s="1"/>
  <c r="S33" i="21"/>
  <c r="T33" i="21" s="1"/>
  <c r="X33" i="21" s="1"/>
  <c r="Y33" i="21" s="1"/>
  <c r="R34" i="21"/>
  <c r="K43" i="21"/>
  <c r="O43" i="21" s="1"/>
  <c r="J44" i="21"/>
  <c r="AI35" i="21"/>
  <c r="C118" i="21" s="1"/>
  <c r="E118" i="21" s="1"/>
  <c r="D127" i="21" s="1"/>
  <c r="J22" i="24" s="1"/>
  <c r="AF36" i="21"/>
  <c r="K54" i="20" l="1"/>
  <c r="O54" i="20" s="1"/>
  <c r="J55" i="20"/>
  <c r="T39" i="20"/>
  <c r="X39" i="20" s="1"/>
  <c r="Y39" i="20" s="1"/>
  <c r="S40" i="20"/>
  <c r="R41" i="20"/>
  <c r="AI39" i="20"/>
  <c r="AF40" i="20"/>
  <c r="S34" i="21"/>
  <c r="T34" i="21" s="1"/>
  <c r="X34" i="21" s="1"/>
  <c r="Y34" i="21" s="1"/>
  <c r="R35" i="21"/>
  <c r="AF37" i="21"/>
  <c r="AI36" i="21"/>
  <c r="K44" i="21"/>
  <c r="O44" i="21" s="1"/>
  <c r="J45" i="21"/>
  <c r="J46" i="21" s="1"/>
  <c r="K55" i="20" l="1"/>
  <c r="O55" i="20" s="1"/>
  <c r="J56" i="20"/>
  <c r="T40" i="20"/>
  <c r="X40" i="20" s="1"/>
  <c r="Y40" i="20" s="1"/>
  <c r="S41" i="20"/>
  <c r="R42" i="20"/>
  <c r="AI40" i="20"/>
  <c r="AF41" i="20"/>
  <c r="S35" i="21"/>
  <c r="T35" i="21" s="1"/>
  <c r="X35" i="21" s="1"/>
  <c r="R36" i="21"/>
  <c r="J47" i="21"/>
  <c r="K46" i="21"/>
  <c r="O46" i="21" s="1"/>
  <c r="K45" i="21"/>
  <c r="O45" i="21" s="1"/>
  <c r="AI37" i="21"/>
  <c r="AF38" i="21"/>
  <c r="J57" i="20" l="1"/>
  <c r="K56" i="20"/>
  <c r="O56" i="20" s="1"/>
  <c r="S42" i="20"/>
  <c r="R43" i="20"/>
  <c r="T41" i="20"/>
  <c r="X41" i="20" s="1"/>
  <c r="Y41" i="20" s="1"/>
  <c r="AI41" i="20"/>
  <c r="AF42" i="20"/>
  <c r="S36" i="21"/>
  <c r="T36" i="21" s="1"/>
  <c r="X36" i="21" s="1"/>
  <c r="Y36" i="21" s="1"/>
  <c r="R37" i="21"/>
  <c r="Y35" i="21"/>
  <c r="E114" i="21" s="1"/>
  <c r="C114" i="21"/>
  <c r="J48" i="21"/>
  <c r="K47" i="21"/>
  <c r="O47" i="21" s="1"/>
  <c r="AI38" i="21"/>
  <c r="AF39" i="21"/>
  <c r="J58" i="20" l="1"/>
  <c r="K57" i="20"/>
  <c r="O57" i="20" s="1"/>
  <c r="S43" i="20"/>
  <c r="R44" i="20"/>
  <c r="AF43" i="20"/>
  <c r="AI42" i="20"/>
  <c r="T42" i="20"/>
  <c r="X42" i="20" s="1"/>
  <c r="Y42" i="20" s="1"/>
  <c r="S37" i="21"/>
  <c r="T37" i="21" s="1"/>
  <c r="X37" i="21" s="1"/>
  <c r="Y37" i="21" s="1"/>
  <c r="R38" i="21"/>
  <c r="J49" i="21"/>
  <c r="K48" i="21"/>
  <c r="O48" i="21" s="1"/>
  <c r="AF40" i="21"/>
  <c r="AI39" i="21"/>
  <c r="K58" i="20" l="1"/>
  <c r="O58" i="20" s="1"/>
  <c r="J59" i="20"/>
  <c r="AF44" i="20"/>
  <c r="AI43" i="20"/>
  <c r="S44" i="20"/>
  <c r="R45" i="20"/>
  <c r="T43" i="20"/>
  <c r="X43" i="20" s="1"/>
  <c r="Y43" i="20" s="1"/>
  <c r="R39" i="21"/>
  <c r="S38" i="21"/>
  <c r="T38" i="21" s="1"/>
  <c r="X38" i="21" s="1"/>
  <c r="Y38" i="21" s="1"/>
  <c r="J50" i="21"/>
  <c r="K49" i="21"/>
  <c r="O49" i="21" s="1"/>
  <c r="AI40" i="21"/>
  <c r="AF41" i="21"/>
  <c r="J60" i="20" l="1"/>
  <c r="K59" i="20"/>
  <c r="O59" i="20" s="1"/>
  <c r="S45" i="20"/>
  <c r="R46" i="20"/>
  <c r="T44" i="20"/>
  <c r="X44" i="20" s="1"/>
  <c r="Y44" i="20" s="1"/>
  <c r="AF45" i="20"/>
  <c r="AI44" i="20"/>
  <c r="R40" i="21"/>
  <c r="S39" i="21"/>
  <c r="T39" i="21" s="1"/>
  <c r="X39" i="21" s="1"/>
  <c r="Y39" i="21" s="1"/>
  <c r="J51" i="21"/>
  <c r="K50" i="21"/>
  <c r="O50" i="21" s="1"/>
  <c r="AI41" i="21"/>
  <c r="AF42" i="21"/>
  <c r="J61" i="20" l="1"/>
  <c r="K60" i="20"/>
  <c r="O60" i="20" s="1"/>
  <c r="S46" i="20"/>
  <c r="R47" i="20"/>
  <c r="AF46" i="20"/>
  <c r="AI45" i="20"/>
  <c r="T45" i="20"/>
  <c r="X45" i="20" s="1"/>
  <c r="Y45" i="20" s="1"/>
  <c r="S40" i="21"/>
  <c r="T40" i="21" s="1"/>
  <c r="X40" i="21" s="1"/>
  <c r="Y40" i="21" s="1"/>
  <c r="R41" i="21"/>
  <c r="J52" i="21"/>
  <c r="K51" i="21"/>
  <c r="O51" i="21" s="1"/>
  <c r="AI42" i="21"/>
  <c r="AF43" i="21"/>
  <c r="K61" i="20" l="1"/>
  <c r="O61" i="20" s="1"/>
  <c r="J62" i="20"/>
  <c r="AI46" i="20"/>
  <c r="AF47" i="20"/>
  <c r="S47" i="20"/>
  <c r="R48" i="20"/>
  <c r="T46" i="20"/>
  <c r="X46" i="20" s="1"/>
  <c r="Y46" i="20" s="1"/>
  <c r="R42" i="21"/>
  <c r="S41" i="21"/>
  <c r="T41" i="21" s="1"/>
  <c r="X41" i="21" s="1"/>
  <c r="Y41" i="21" s="1"/>
  <c r="J53" i="21"/>
  <c r="K52" i="21"/>
  <c r="O52" i="21" s="1"/>
  <c r="AF44" i="21"/>
  <c r="AI43" i="21"/>
  <c r="J63" i="20" l="1"/>
  <c r="K62" i="20"/>
  <c r="O62" i="20" s="1"/>
  <c r="S48" i="20"/>
  <c r="R49" i="20"/>
  <c r="T47" i="20"/>
  <c r="X47" i="20" s="1"/>
  <c r="Y47" i="20" s="1"/>
  <c r="AI47" i="20"/>
  <c r="AF48" i="20"/>
  <c r="S42" i="21"/>
  <c r="T42" i="21" s="1"/>
  <c r="X42" i="21" s="1"/>
  <c r="Y42" i="21" s="1"/>
  <c r="R43" i="21"/>
  <c r="J54" i="21"/>
  <c r="K53" i="21"/>
  <c r="O53" i="21" s="1"/>
  <c r="AI44" i="21"/>
  <c r="AF45" i="21"/>
  <c r="J64" i="20" l="1"/>
  <c r="K63" i="20"/>
  <c r="O63" i="20" s="1"/>
  <c r="S49" i="20"/>
  <c r="R50" i="20"/>
  <c r="T48" i="20"/>
  <c r="X48" i="20" s="1"/>
  <c r="Y48" i="20" s="1"/>
  <c r="AF49" i="20"/>
  <c r="AI48" i="20"/>
  <c r="S43" i="21"/>
  <c r="T43" i="21" s="1"/>
  <c r="X43" i="21" s="1"/>
  <c r="Y43" i="21" s="1"/>
  <c r="R44" i="21"/>
  <c r="J55" i="21"/>
  <c r="K54" i="21"/>
  <c r="O54" i="21" s="1"/>
  <c r="AI45" i="21"/>
  <c r="AF46" i="21"/>
  <c r="J65" i="20" l="1"/>
  <c r="K64" i="20"/>
  <c r="O64" i="20" s="1"/>
  <c r="AF50" i="20"/>
  <c r="AI49" i="20"/>
  <c r="S50" i="20"/>
  <c r="R51" i="20"/>
  <c r="T49" i="20"/>
  <c r="X49" i="20" s="1"/>
  <c r="Y49" i="20" s="1"/>
  <c r="S44" i="21"/>
  <c r="T44" i="21" s="1"/>
  <c r="X44" i="21" s="1"/>
  <c r="Y44" i="21" s="1"/>
  <c r="R45" i="21"/>
  <c r="K55" i="21"/>
  <c r="O55" i="21" s="1"/>
  <c r="J56" i="21"/>
  <c r="AF47" i="21"/>
  <c r="AI46" i="21"/>
  <c r="K65" i="20" l="1"/>
  <c r="O65" i="20" s="1"/>
  <c r="J66" i="20"/>
  <c r="S51" i="20"/>
  <c r="R52" i="20"/>
  <c r="T50" i="20"/>
  <c r="X50" i="20" s="1"/>
  <c r="Y50" i="20" s="1"/>
  <c r="AF51" i="20"/>
  <c r="AI50" i="20"/>
  <c r="S45" i="21"/>
  <c r="T45" i="21" s="1"/>
  <c r="X45" i="21" s="1"/>
  <c r="Y45" i="21" s="1"/>
  <c r="R46" i="21"/>
  <c r="J57" i="21"/>
  <c r="K56" i="21"/>
  <c r="O56" i="21" s="1"/>
  <c r="AI47" i="21"/>
  <c r="AF48" i="21"/>
  <c r="J67" i="20" l="1"/>
  <c r="K66" i="20"/>
  <c r="O66" i="20" s="1"/>
  <c r="S52" i="20"/>
  <c r="R53" i="20"/>
  <c r="AF52" i="20"/>
  <c r="AI51" i="20"/>
  <c r="T51" i="20"/>
  <c r="X51" i="20" s="1"/>
  <c r="Y51" i="20" s="1"/>
  <c r="S46" i="21"/>
  <c r="T46" i="21" s="1"/>
  <c r="X46" i="21" s="1"/>
  <c r="Y46" i="21" s="1"/>
  <c r="R47" i="21"/>
  <c r="J58" i="21"/>
  <c r="K57" i="21"/>
  <c r="O57" i="21" s="1"/>
  <c r="AF49" i="21"/>
  <c r="AI48" i="21"/>
  <c r="J68" i="20" l="1"/>
  <c r="K67" i="20"/>
  <c r="O67" i="20" s="1"/>
  <c r="AF53" i="20"/>
  <c r="AI52" i="20"/>
  <c r="T52" i="20"/>
  <c r="X52" i="20" s="1"/>
  <c r="Y52" i="20" s="1"/>
  <c r="S53" i="20"/>
  <c r="R54" i="20"/>
  <c r="R48" i="21"/>
  <c r="S47" i="21"/>
  <c r="T47" i="21" s="1"/>
  <c r="X47" i="21" s="1"/>
  <c r="Y47" i="21" s="1"/>
  <c r="J59" i="21"/>
  <c r="K58" i="21"/>
  <c r="O58" i="21" s="1"/>
  <c r="AF50" i="21"/>
  <c r="AI49" i="21"/>
  <c r="J69" i="20" l="1"/>
  <c r="K68" i="20"/>
  <c r="O68" i="20" s="1"/>
  <c r="T53" i="20"/>
  <c r="X53" i="20" s="1"/>
  <c r="Y53" i="20" s="1"/>
  <c r="S54" i="20"/>
  <c r="R55" i="20"/>
  <c r="AI53" i="20"/>
  <c r="AF54" i="20"/>
  <c r="R49" i="21"/>
  <c r="S48" i="21"/>
  <c r="T48" i="21" s="1"/>
  <c r="X48" i="21" s="1"/>
  <c r="Y48" i="21" s="1"/>
  <c r="J60" i="21"/>
  <c r="K59" i="21"/>
  <c r="O59" i="21" s="1"/>
  <c r="AI50" i="21"/>
  <c r="AF51" i="21"/>
  <c r="J70" i="20" l="1"/>
  <c r="K69" i="20"/>
  <c r="O69" i="20" s="1"/>
  <c r="S55" i="20"/>
  <c r="R56" i="20"/>
  <c r="T54" i="20"/>
  <c r="X54" i="20" s="1"/>
  <c r="Y54" i="20" s="1"/>
  <c r="AI54" i="20"/>
  <c r="AF55" i="20"/>
  <c r="S49" i="21"/>
  <c r="T49" i="21" s="1"/>
  <c r="X49" i="21" s="1"/>
  <c r="Y49" i="21" s="1"/>
  <c r="R50" i="21"/>
  <c r="J61" i="21"/>
  <c r="K60" i="21"/>
  <c r="O60" i="21" s="1"/>
  <c r="AI51" i="21"/>
  <c r="AF52" i="21"/>
  <c r="J71" i="20" l="1"/>
  <c r="K70" i="20"/>
  <c r="O70" i="20" s="1"/>
  <c r="S56" i="20"/>
  <c r="R57" i="20"/>
  <c r="AI55" i="20"/>
  <c r="AF56" i="20"/>
  <c r="T55" i="20"/>
  <c r="X55" i="20" s="1"/>
  <c r="Y55" i="20" s="1"/>
  <c r="R51" i="21"/>
  <c r="S50" i="21"/>
  <c r="T50" i="21" s="1"/>
  <c r="X50" i="21" s="1"/>
  <c r="Y50" i="21" s="1"/>
  <c r="J62" i="21"/>
  <c r="K61" i="21"/>
  <c r="O61" i="21" s="1"/>
  <c r="AF53" i="21"/>
  <c r="AI52" i="21"/>
  <c r="J72" i="20" l="1"/>
  <c r="K71" i="20"/>
  <c r="O71" i="20" s="1"/>
  <c r="S57" i="20"/>
  <c r="R58" i="20"/>
  <c r="AF57" i="20"/>
  <c r="AI56" i="20"/>
  <c r="T56" i="20"/>
  <c r="X56" i="20" s="1"/>
  <c r="Y56" i="20" s="1"/>
  <c r="S51" i="21"/>
  <c r="T51" i="21" s="1"/>
  <c r="X51" i="21" s="1"/>
  <c r="Y51" i="21" s="1"/>
  <c r="R52" i="21"/>
  <c r="J63" i="21"/>
  <c r="K62" i="21"/>
  <c r="O62" i="21" s="1"/>
  <c r="AF54" i="21"/>
  <c r="AI53" i="21"/>
  <c r="J73" i="20" l="1"/>
  <c r="K72" i="20"/>
  <c r="O72" i="20" s="1"/>
  <c r="S58" i="20"/>
  <c r="R59" i="20"/>
  <c r="AI57" i="20"/>
  <c r="AF58" i="20"/>
  <c r="T57" i="20"/>
  <c r="X57" i="20" s="1"/>
  <c r="Y57" i="20" s="1"/>
  <c r="R53" i="21"/>
  <c r="S52" i="21"/>
  <c r="T52" i="21" s="1"/>
  <c r="X52" i="21" s="1"/>
  <c r="Y52" i="21" s="1"/>
  <c r="J64" i="21"/>
  <c r="K63" i="21"/>
  <c r="O63" i="21" s="1"/>
  <c r="AF55" i="21"/>
  <c r="AI54" i="21"/>
  <c r="J74" i="20" l="1"/>
  <c r="K73" i="20"/>
  <c r="O73" i="20" s="1"/>
  <c r="AI58" i="20"/>
  <c r="AF59" i="20"/>
  <c r="S59" i="20"/>
  <c r="R60" i="20"/>
  <c r="T58" i="20"/>
  <c r="X58" i="20" s="1"/>
  <c r="Y58" i="20" s="1"/>
  <c r="R54" i="21"/>
  <c r="S53" i="21"/>
  <c r="T53" i="21" s="1"/>
  <c r="X53" i="21" s="1"/>
  <c r="Y53" i="21" s="1"/>
  <c r="AI55" i="21"/>
  <c r="AF56" i="21"/>
  <c r="J65" i="21"/>
  <c r="K64" i="21"/>
  <c r="O64" i="21" s="1"/>
  <c r="K74" i="20" l="1"/>
  <c r="O74" i="20" s="1"/>
  <c r="J75" i="20"/>
  <c r="J76" i="20" s="1"/>
  <c r="S60" i="20"/>
  <c r="R61" i="20"/>
  <c r="T59" i="20"/>
  <c r="X59" i="20" s="1"/>
  <c r="Y59" i="20" s="1"/>
  <c r="AI59" i="20"/>
  <c r="AF60" i="20"/>
  <c r="S54" i="21"/>
  <c r="T54" i="21" s="1"/>
  <c r="X54" i="21" s="1"/>
  <c r="Y54" i="21" s="1"/>
  <c r="R55" i="21"/>
  <c r="J66" i="21"/>
  <c r="K65" i="21"/>
  <c r="O65" i="21" s="1"/>
  <c r="AF57" i="21"/>
  <c r="AI56" i="21"/>
  <c r="K76" i="20" l="1"/>
  <c r="O76" i="20" s="1"/>
  <c r="J77" i="20"/>
  <c r="K75" i="20"/>
  <c r="O75" i="20" s="1"/>
  <c r="S61" i="20"/>
  <c r="R62" i="20"/>
  <c r="AF61" i="20"/>
  <c r="AI60" i="20"/>
  <c r="T60" i="20"/>
  <c r="X60" i="20" s="1"/>
  <c r="Y60" i="20" s="1"/>
  <c r="S55" i="21"/>
  <c r="T55" i="21" s="1"/>
  <c r="X55" i="21" s="1"/>
  <c r="Y55" i="21" s="1"/>
  <c r="R56" i="21"/>
  <c r="AI57" i="21"/>
  <c r="AF58" i="21"/>
  <c r="J67" i="21"/>
  <c r="K66" i="21"/>
  <c r="O66" i="21" s="1"/>
  <c r="J78" i="20" l="1"/>
  <c r="K77" i="20"/>
  <c r="O77" i="20" s="1"/>
  <c r="AI61" i="20"/>
  <c r="AF62" i="20"/>
  <c r="S62" i="20"/>
  <c r="R63" i="20"/>
  <c r="T61" i="20"/>
  <c r="X61" i="20" s="1"/>
  <c r="Y61" i="20" s="1"/>
  <c r="R57" i="21"/>
  <c r="S56" i="21"/>
  <c r="T56" i="21" s="1"/>
  <c r="X56" i="21" s="1"/>
  <c r="Y56" i="21" s="1"/>
  <c r="J68" i="21"/>
  <c r="K67" i="21"/>
  <c r="O67" i="21" s="1"/>
  <c r="AI58" i="21"/>
  <c r="AF59" i="21"/>
  <c r="J79" i="20" l="1"/>
  <c r="K78" i="20"/>
  <c r="O78" i="20" s="1"/>
  <c r="S63" i="20"/>
  <c r="R64" i="20"/>
  <c r="AF63" i="20"/>
  <c r="AI62" i="20"/>
  <c r="T62" i="20"/>
  <c r="X62" i="20" s="1"/>
  <c r="Y62" i="20" s="1"/>
  <c r="R58" i="21"/>
  <c r="S57" i="21"/>
  <c r="T57" i="21" s="1"/>
  <c r="X57" i="21" s="1"/>
  <c r="Y57" i="21" s="1"/>
  <c r="AF60" i="21"/>
  <c r="AI59" i="21"/>
  <c r="J69" i="21"/>
  <c r="K68" i="21"/>
  <c r="O68" i="21" s="1"/>
  <c r="K79" i="20" l="1"/>
  <c r="O79" i="20" s="1"/>
  <c r="J80" i="20"/>
  <c r="AI63" i="20"/>
  <c r="AF64" i="20"/>
  <c r="S64" i="20"/>
  <c r="R65" i="20"/>
  <c r="T63" i="20"/>
  <c r="X63" i="20" s="1"/>
  <c r="Y63" i="20" s="1"/>
  <c r="R59" i="21"/>
  <c r="S58" i="21"/>
  <c r="T58" i="21" s="1"/>
  <c r="X58" i="21" s="1"/>
  <c r="Y58" i="21" s="1"/>
  <c r="J70" i="21"/>
  <c r="K69" i="21"/>
  <c r="O69" i="21" s="1"/>
  <c r="AF61" i="21"/>
  <c r="AI60" i="21"/>
  <c r="K80" i="20" l="1"/>
  <c r="O80" i="20" s="1"/>
  <c r="J81" i="20"/>
  <c r="S65" i="20"/>
  <c r="R66" i="20"/>
  <c r="T64" i="20"/>
  <c r="X64" i="20" s="1"/>
  <c r="Y64" i="20" s="1"/>
  <c r="AF65" i="20"/>
  <c r="AI64" i="20"/>
  <c r="S59" i="21"/>
  <c r="T59" i="21" s="1"/>
  <c r="X59" i="21" s="1"/>
  <c r="Y59" i="21" s="1"/>
  <c r="R60" i="21"/>
  <c r="AI61" i="21"/>
  <c r="AF62" i="21"/>
  <c r="J71" i="21"/>
  <c r="K70" i="21"/>
  <c r="O70" i="21" s="1"/>
  <c r="K81" i="20" l="1"/>
  <c r="O81" i="20" s="1"/>
  <c r="J82" i="20"/>
  <c r="S66" i="20"/>
  <c r="R67" i="20"/>
  <c r="AF66" i="20"/>
  <c r="AI65" i="20"/>
  <c r="T65" i="20"/>
  <c r="X65" i="20" s="1"/>
  <c r="Y65" i="20" s="1"/>
  <c r="R61" i="21"/>
  <c r="S60" i="21"/>
  <c r="T60" i="21" s="1"/>
  <c r="X60" i="21" s="1"/>
  <c r="Y60" i="21" s="1"/>
  <c r="J72" i="21"/>
  <c r="K71" i="21"/>
  <c r="O71" i="21" s="1"/>
  <c r="AF63" i="21"/>
  <c r="AI62" i="21"/>
  <c r="K82" i="20" l="1"/>
  <c r="O82" i="20" s="1"/>
  <c r="J83" i="20"/>
  <c r="T66" i="20"/>
  <c r="X66" i="20" s="1"/>
  <c r="Y66" i="20" s="1"/>
  <c r="AI66" i="20"/>
  <c r="AF67" i="20"/>
  <c r="S67" i="20"/>
  <c r="R68" i="20"/>
  <c r="R62" i="21"/>
  <c r="S61" i="21"/>
  <c r="T61" i="21" s="1"/>
  <c r="X61" i="21" s="1"/>
  <c r="Y61" i="21" s="1"/>
  <c r="AF64" i="21"/>
  <c r="AI63" i="21"/>
  <c r="J73" i="21"/>
  <c r="K72" i="21"/>
  <c r="O72" i="21" s="1"/>
  <c r="K83" i="20" l="1"/>
  <c r="O83" i="20" s="1"/>
  <c r="J84" i="20"/>
  <c r="J86" i="20"/>
  <c r="AI67" i="20"/>
  <c r="AF68" i="20"/>
  <c r="T67" i="20"/>
  <c r="X67" i="20" s="1"/>
  <c r="Y67" i="20" s="1"/>
  <c r="S68" i="20"/>
  <c r="R69" i="20"/>
  <c r="S62" i="21"/>
  <c r="T62" i="21" s="1"/>
  <c r="X62" i="21" s="1"/>
  <c r="Y62" i="21" s="1"/>
  <c r="R63" i="21"/>
  <c r="J74" i="21"/>
  <c r="K73" i="21"/>
  <c r="O73" i="21" s="1"/>
  <c r="AI64" i="21"/>
  <c r="AF65" i="21"/>
  <c r="K84" i="20" l="1"/>
  <c r="O84" i="20" s="1"/>
  <c r="J85" i="20"/>
  <c r="K85" i="20" s="1"/>
  <c r="O85" i="20" s="1"/>
  <c r="AF69" i="20"/>
  <c r="AI68" i="20"/>
  <c r="T68" i="20"/>
  <c r="X68" i="20" s="1"/>
  <c r="Y68" i="20" s="1"/>
  <c r="K86" i="20"/>
  <c r="O86" i="20" s="1"/>
  <c r="J87" i="20"/>
  <c r="S69" i="20"/>
  <c r="R70" i="20"/>
  <c r="S63" i="21"/>
  <c r="T63" i="21" s="1"/>
  <c r="X63" i="21" s="1"/>
  <c r="Y63" i="21" s="1"/>
  <c r="R64" i="21"/>
  <c r="AI65" i="21"/>
  <c r="AF66" i="21"/>
  <c r="J75" i="21"/>
  <c r="K74" i="21"/>
  <c r="O74" i="21" s="1"/>
  <c r="K87" i="20" l="1"/>
  <c r="O87" i="20" s="1"/>
  <c r="J88" i="20"/>
  <c r="T69" i="20"/>
  <c r="X69" i="20" s="1"/>
  <c r="Y69" i="20" s="1"/>
  <c r="S70" i="20"/>
  <c r="R71" i="20"/>
  <c r="AF70" i="20"/>
  <c r="AI69" i="20"/>
  <c r="S64" i="21"/>
  <c r="T64" i="21" s="1"/>
  <c r="X64" i="21" s="1"/>
  <c r="Y64" i="21" s="1"/>
  <c r="R65" i="21"/>
  <c r="J76" i="21"/>
  <c r="K75" i="21"/>
  <c r="O75" i="21" s="1"/>
  <c r="AI66" i="21"/>
  <c r="AF67" i="21"/>
  <c r="T70" i="20" l="1"/>
  <c r="X70" i="20" s="1"/>
  <c r="Y70" i="20" s="1"/>
  <c r="S71" i="20"/>
  <c r="R72" i="20"/>
  <c r="K88" i="20"/>
  <c r="O88" i="20" s="1"/>
  <c r="J89" i="20"/>
  <c r="AI70" i="20"/>
  <c r="AF71" i="20"/>
  <c r="R66" i="21"/>
  <c r="S65" i="21"/>
  <c r="T65" i="21" s="1"/>
  <c r="X65" i="21" s="1"/>
  <c r="Y65" i="21" s="1"/>
  <c r="AF68" i="21"/>
  <c r="AI67" i="21"/>
  <c r="J77" i="21"/>
  <c r="K76" i="21"/>
  <c r="O76" i="21" s="1"/>
  <c r="K89" i="20" l="1"/>
  <c r="O89" i="20" s="1"/>
  <c r="J90" i="20"/>
  <c r="S72" i="20"/>
  <c r="R73" i="20"/>
  <c r="T71" i="20"/>
  <c r="X71" i="20" s="1"/>
  <c r="Y71" i="20" s="1"/>
  <c r="AI71" i="20"/>
  <c r="AF72" i="20"/>
  <c r="S66" i="21"/>
  <c r="T66" i="21" s="1"/>
  <c r="X66" i="21" s="1"/>
  <c r="Y66" i="21" s="1"/>
  <c r="R67" i="21"/>
  <c r="J78" i="21"/>
  <c r="K77" i="21"/>
  <c r="O77" i="21" s="1"/>
  <c r="AI68" i="21"/>
  <c r="AF69" i="21"/>
  <c r="S73" i="20" l="1"/>
  <c r="R74" i="20"/>
  <c r="T72" i="20"/>
  <c r="X72" i="20" s="1"/>
  <c r="Y72" i="20" s="1"/>
  <c r="K90" i="20"/>
  <c r="O90" i="20" s="1"/>
  <c r="J91" i="20"/>
  <c r="AF73" i="20"/>
  <c r="AI72" i="20"/>
  <c r="R68" i="21"/>
  <c r="S67" i="21"/>
  <c r="T67" i="21" s="1"/>
  <c r="X67" i="21" s="1"/>
  <c r="Y67" i="21" s="1"/>
  <c r="AI69" i="21"/>
  <c r="AF70" i="21"/>
  <c r="J79" i="21"/>
  <c r="K78" i="21"/>
  <c r="O78" i="21" s="1"/>
  <c r="J24" i="24"/>
  <c r="I24" i="24"/>
  <c r="I20" i="24"/>
  <c r="H24" i="24"/>
  <c r="H20" i="24"/>
  <c r="H19" i="24"/>
  <c r="AI73" i="20" l="1"/>
  <c r="AF74" i="20"/>
  <c r="K91" i="20"/>
  <c r="O91" i="20" s="1"/>
  <c r="J92" i="20"/>
  <c r="S74" i="20"/>
  <c r="R75" i="20"/>
  <c r="T73" i="20"/>
  <c r="X73" i="20" s="1"/>
  <c r="Y73" i="20" s="1"/>
  <c r="S68" i="21"/>
  <c r="T68" i="21" s="1"/>
  <c r="X68" i="21" s="1"/>
  <c r="Y68" i="21" s="1"/>
  <c r="R69" i="21"/>
  <c r="J80" i="21"/>
  <c r="K79" i="21"/>
  <c r="O79" i="21" s="1"/>
  <c r="AI70" i="21"/>
  <c r="AF71" i="21"/>
  <c r="T74" i="20" l="1"/>
  <c r="X74" i="20" s="1"/>
  <c r="Y74" i="20" s="1"/>
  <c r="K92" i="20"/>
  <c r="O92" i="20" s="1"/>
  <c r="J93" i="20"/>
  <c r="AF75" i="20"/>
  <c r="AI74" i="20"/>
  <c r="S75" i="20"/>
  <c r="R76" i="20"/>
  <c r="S69" i="21"/>
  <c r="T69" i="21" s="1"/>
  <c r="X69" i="21" s="1"/>
  <c r="Y69" i="21" s="1"/>
  <c r="R70" i="21"/>
  <c r="AF72" i="21"/>
  <c r="AI71" i="21"/>
  <c r="J81" i="21"/>
  <c r="K80" i="21"/>
  <c r="O80" i="21" s="1"/>
  <c r="F94" i="13"/>
  <c r="E94" i="13"/>
  <c r="C94" i="13"/>
  <c r="AI75" i="20" l="1"/>
  <c r="AF76" i="20"/>
  <c r="T75" i="20"/>
  <c r="X75" i="20" s="1"/>
  <c r="Y75" i="20" s="1"/>
  <c r="K93" i="20"/>
  <c r="O93" i="20" s="1"/>
  <c r="J94" i="20"/>
  <c r="S76" i="20"/>
  <c r="R77" i="20"/>
  <c r="H94" i="13"/>
  <c r="S70" i="21"/>
  <c r="T70" i="21" s="1"/>
  <c r="X70" i="21" s="1"/>
  <c r="Y70" i="21" s="1"/>
  <c r="R71" i="21"/>
  <c r="J82" i="21"/>
  <c r="K81" i="21"/>
  <c r="O81" i="21" s="1"/>
  <c r="AF73" i="21"/>
  <c r="AI72" i="21"/>
  <c r="R9" i="27"/>
  <c r="U9" i="27" s="1"/>
  <c r="X9" i="27" s="1"/>
  <c r="AA9" i="27" s="1"/>
  <c r="AT205" i="19"/>
  <c r="AS205" i="19"/>
  <c r="AR205" i="19"/>
  <c r="AQ205" i="19"/>
  <c r="AP205" i="19"/>
  <c r="AO205" i="19"/>
  <c r="AN205" i="19"/>
  <c r="AM205" i="19"/>
  <c r="AL205" i="19"/>
  <c r="AT204" i="19"/>
  <c r="AS204" i="19"/>
  <c r="AR204" i="19"/>
  <c r="AQ204" i="19"/>
  <c r="AP204" i="19"/>
  <c r="AO204" i="19"/>
  <c r="AN204" i="19"/>
  <c r="AM204" i="19"/>
  <c r="AL204" i="19"/>
  <c r="AT203" i="19"/>
  <c r="AS203" i="19"/>
  <c r="AR203" i="19"/>
  <c r="AQ203" i="19"/>
  <c r="AP203" i="19"/>
  <c r="AO203" i="19"/>
  <c r="AN203" i="19"/>
  <c r="AM203" i="19"/>
  <c r="AL203" i="19"/>
  <c r="AT202" i="19"/>
  <c r="AS202" i="19"/>
  <c r="AR202" i="19"/>
  <c r="AQ202" i="19"/>
  <c r="AP202" i="19"/>
  <c r="AO202" i="19"/>
  <c r="AN202" i="19"/>
  <c r="AM202" i="19"/>
  <c r="AL202" i="19"/>
  <c r="AT201" i="19"/>
  <c r="AS201" i="19"/>
  <c r="AR201" i="19"/>
  <c r="AQ201" i="19"/>
  <c r="AP201" i="19"/>
  <c r="AO201" i="19"/>
  <c r="AN201" i="19"/>
  <c r="AM201" i="19"/>
  <c r="AL201" i="19"/>
  <c r="AT200" i="19"/>
  <c r="AS200" i="19"/>
  <c r="AR200" i="19"/>
  <c r="AQ200" i="19"/>
  <c r="AP200" i="19"/>
  <c r="AO200" i="19"/>
  <c r="AN200" i="19"/>
  <c r="AM200" i="19"/>
  <c r="AL200" i="19"/>
  <c r="AT199" i="19"/>
  <c r="AS199" i="19"/>
  <c r="AR199" i="19"/>
  <c r="AQ199" i="19"/>
  <c r="AP199" i="19"/>
  <c r="AO199" i="19"/>
  <c r="AN199" i="19"/>
  <c r="AM199" i="19"/>
  <c r="AL199" i="19"/>
  <c r="AT198" i="19"/>
  <c r="AS198" i="19"/>
  <c r="AR198" i="19"/>
  <c r="AQ198" i="19"/>
  <c r="AP198" i="19"/>
  <c r="AO198" i="19"/>
  <c r="AN198" i="19"/>
  <c r="AM198" i="19"/>
  <c r="AL198" i="19"/>
  <c r="AT197" i="19"/>
  <c r="AS197" i="19"/>
  <c r="AR197" i="19"/>
  <c r="AQ197" i="19"/>
  <c r="AP197" i="19"/>
  <c r="AO197" i="19"/>
  <c r="AN197" i="19"/>
  <c r="AM197" i="19"/>
  <c r="AL197" i="19"/>
  <c r="AT196" i="19"/>
  <c r="AS196" i="19"/>
  <c r="AR196" i="19"/>
  <c r="AQ196" i="19"/>
  <c r="AP196" i="19"/>
  <c r="AO196" i="19"/>
  <c r="AN196" i="19"/>
  <c r="AM196" i="19"/>
  <c r="AL196" i="19"/>
  <c r="AT195" i="19"/>
  <c r="AS195" i="19"/>
  <c r="AR195" i="19"/>
  <c r="AQ195" i="19"/>
  <c r="AP195" i="19"/>
  <c r="AO195" i="19"/>
  <c r="AN195" i="19"/>
  <c r="AM195" i="19"/>
  <c r="AL195" i="19"/>
  <c r="AT194" i="19"/>
  <c r="AS194" i="19"/>
  <c r="AR194" i="19"/>
  <c r="AQ194" i="19"/>
  <c r="AP194" i="19"/>
  <c r="AO194" i="19"/>
  <c r="AN194" i="19"/>
  <c r="AM194" i="19"/>
  <c r="AL194" i="19"/>
  <c r="AT193" i="19"/>
  <c r="AS193" i="19"/>
  <c r="AR193" i="19"/>
  <c r="AQ193" i="19"/>
  <c r="AP193" i="19"/>
  <c r="AO193" i="19"/>
  <c r="AN193" i="19"/>
  <c r="AM193" i="19"/>
  <c r="AL193" i="19"/>
  <c r="AT192" i="19"/>
  <c r="AS192" i="19"/>
  <c r="AR192" i="19"/>
  <c r="AQ192" i="19"/>
  <c r="AP192" i="19"/>
  <c r="AO192" i="19"/>
  <c r="AN192" i="19"/>
  <c r="AM192" i="19"/>
  <c r="AL192" i="19"/>
  <c r="AT191" i="19"/>
  <c r="AS191" i="19"/>
  <c r="AR191" i="19"/>
  <c r="AQ191" i="19"/>
  <c r="AP191" i="19"/>
  <c r="AO191" i="19"/>
  <c r="AN191" i="19"/>
  <c r="AM191" i="19"/>
  <c r="AL191" i="19"/>
  <c r="AT190" i="19"/>
  <c r="AS190" i="19"/>
  <c r="AR190" i="19"/>
  <c r="AQ190" i="19"/>
  <c r="AP190" i="19"/>
  <c r="AO190" i="19"/>
  <c r="AN190" i="19"/>
  <c r="AM190" i="19"/>
  <c r="AL190" i="19"/>
  <c r="AT189" i="19"/>
  <c r="AS189" i="19"/>
  <c r="AR189" i="19"/>
  <c r="AQ189" i="19"/>
  <c r="AP189" i="19"/>
  <c r="AO189" i="19"/>
  <c r="AN189" i="19"/>
  <c r="AM189" i="19"/>
  <c r="AL189" i="19"/>
  <c r="AT188" i="19"/>
  <c r="AS188" i="19"/>
  <c r="AR188" i="19"/>
  <c r="AQ188" i="19"/>
  <c r="AP188" i="19"/>
  <c r="AO188" i="19"/>
  <c r="AN188" i="19"/>
  <c r="AM188" i="19"/>
  <c r="AL188" i="19"/>
  <c r="AT187" i="19"/>
  <c r="AS187" i="19"/>
  <c r="AR187" i="19"/>
  <c r="AQ187" i="19"/>
  <c r="AP187" i="19"/>
  <c r="AO187" i="19"/>
  <c r="AN187" i="19"/>
  <c r="AM187" i="19"/>
  <c r="AL187" i="19"/>
  <c r="AT186" i="19"/>
  <c r="AS186" i="19"/>
  <c r="AR186" i="19"/>
  <c r="AQ186" i="19"/>
  <c r="AP186" i="19"/>
  <c r="AO186" i="19"/>
  <c r="AN186" i="19"/>
  <c r="AM186" i="19"/>
  <c r="AL186" i="19"/>
  <c r="AT185" i="19"/>
  <c r="AS185" i="19"/>
  <c r="AR185" i="19"/>
  <c r="AQ185" i="19"/>
  <c r="AP185" i="19"/>
  <c r="AO185" i="19"/>
  <c r="AN185" i="19"/>
  <c r="AM185" i="19"/>
  <c r="AL185" i="19"/>
  <c r="AT184" i="19"/>
  <c r="AS184" i="19"/>
  <c r="AR184" i="19"/>
  <c r="AQ184" i="19"/>
  <c r="AP184" i="19"/>
  <c r="AO184" i="19"/>
  <c r="AN184" i="19"/>
  <c r="AM184" i="19"/>
  <c r="AL184" i="19"/>
  <c r="AT183" i="19"/>
  <c r="AS183" i="19"/>
  <c r="AR183" i="19"/>
  <c r="AQ183" i="19"/>
  <c r="AP183" i="19"/>
  <c r="AO183" i="19"/>
  <c r="AN183" i="19"/>
  <c r="AM183" i="19"/>
  <c r="AL183" i="19"/>
  <c r="AT182" i="19"/>
  <c r="AS182" i="19"/>
  <c r="AR182" i="19"/>
  <c r="AQ182" i="19"/>
  <c r="AP182" i="19"/>
  <c r="AO182" i="19"/>
  <c r="AN182" i="19"/>
  <c r="AM182" i="19"/>
  <c r="AL182" i="19"/>
  <c r="AT181" i="19"/>
  <c r="AS181" i="19"/>
  <c r="AR181" i="19"/>
  <c r="AQ181" i="19"/>
  <c r="AP181" i="19"/>
  <c r="AO181" i="19"/>
  <c r="AN181" i="19"/>
  <c r="AM181" i="19"/>
  <c r="AL181" i="19"/>
  <c r="AT180" i="19"/>
  <c r="AS180" i="19"/>
  <c r="AR180" i="19"/>
  <c r="AQ180" i="19"/>
  <c r="AP180" i="19"/>
  <c r="AO180" i="19"/>
  <c r="AN180" i="19"/>
  <c r="AM180" i="19"/>
  <c r="AL180" i="19"/>
  <c r="AT179" i="19"/>
  <c r="AS179" i="19"/>
  <c r="AR179" i="19"/>
  <c r="AQ179" i="19"/>
  <c r="AP179" i="19"/>
  <c r="AO179" i="19"/>
  <c r="AN179" i="19"/>
  <c r="AM179" i="19"/>
  <c r="AL179" i="19"/>
  <c r="AT178" i="19"/>
  <c r="AS178" i="19"/>
  <c r="AR178" i="19"/>
  <c r="AQ178" i="19"/>
  <c r="AP178" i="19"/>
  <c r="AO178" i="19"/>
  <c r="AN178" i="19"/>
  <c r="AM178" i="19"/>
  <c r="AL178" i="19"/>
  <c r="AT177" i="19"/>
  <c r="AS177" i="19"/>
  <c r="AR177" i="19"/>
  <c r="AQ177" i="19"/>
  <c r="AP177" i="19"/>
  <c r="AO177" i="19"/>
  <c r="AN177" i="19"/>
  <c r="AM177" i="19"/>
  <c r="AL177" i="19"/>
  <c r="AT176" i="19"/>
  <c r="AS176" i="19"/>
  <c r="AR176" i="19"/>
  <c r="AQ176" i="19"/>
  <c r="AP176" i="19"/>
  <c r="AO176" i="19"/>
  <c r="AN176" i="19"/>
  <c r="AM176" i="19"/>
  <c r="AL176" i="19"/>
  <c r="AT175" i="19"/>
  <c r="AS175" i="19"/>
  <c r="AR175" i="19"/>
  <c r="AQ175" i="19"/>
  <c r="AP175" i="19"/>
  <c r="AO175" i="19"/>
  <c r="AN175" i="19"/>
  <c r="AM175" i="19"/>
  <c r="AL175" i="19"/>
  <c r="AT174" i="19"/>
  <c r="AS174" i="19"/>
  <c r="AR174" i="19"/>
  <c r="AQ174" i="19"/>
  <c r="AP174" i="19"/>
  <c r="AO174" i="19"/>
  <c r="AN174" i="19"/>
  <c r="AM174" i="19"/>
  <c r="AL174" i="19"/>
  <c r="AT173" i="19"/>
  <c r="AS173" i="19"/>
  <c r="AR173" i="19"/>
  <c r="AQ173" i="19"/>
  <c r="AP173" i="19"/>
  <c r="AO173" i="19"/>
  <c r="AN173" i="19"/>
  <c r="AM173" i="19"/>
  <c r="AL173" i="19"/>
  <c r="AT172" i="19"/>
  <c r="AS172" i="19"/>
  <c r="AR172" i="19"/>
  <c r="AQ172" i="19"/>
  <c r="AP172" i="19"/>
  <c r="AO172" i="19"/>
  <c r="AN172" i="19"/>
  <c r="AM172" i="19"/>
  <c r="AL172" i="19"/>
  <c r="AT171" i="19"/>
  <c r="AS171" i="19"/>
  <c r="AR171" i="19"/>
  <c r="AQ171" i="19"/>
  <c r="AP171" i="19"/>
  <c r="AO171" i="19"/>
  <c r="AN171" i="19"/>
  <c r="AM171" i="19"/>
  <c r="AL171" i="19"/>
  <c r="AT170" i="19"/>
  <c r="AS170" i="19"/>
  <c r="AR170" i="19"/>
  <c r="AQ170" i="19"/>
  <c r="AP170" i="19"/>
  <c r="AO170" i="19"/>
  <c r="AN170" i="19"/>
  <c r="AM170" i="19"/>
  <c r="AL170" i="19"/>
  <c r="AT169" i="19"/>
  <c r="AS169" i="19"/>
  <c r="AR169" i="19"/>
  <c r="AQ169" i="19"/>
  <c r="AP169" i="19"/>
  <c r="AO169" i="19"/>
  <c r="AN169" i="19"/>
  <c r="AM169" i="19"/>
  <c r="AL169" i="19"/>
  <c r="AT168" i="19"/>
  <c r="AS168" i="19"/>
  <c r="AR168" i="19"/>
  <c r="AQ168" i="19"/>
  <c r="AP168" i="19"/>
  <c r="AO168" i="19"/>
  <c r="AN168" i="19"/>
  <c r="AM168" i="19"/>
  <c r="AL168" i="19"/>
  <c r="AT167" i="19"/>
  <c r="AS167" i="19"/>
  <c r="AR167" i="19"/>
  <c r="AQ167" i="19"/>
  <c r="AP167" i="19"/>
  <c r="AO167" i="19"/>
  <c r="AN167" i="19"/>
  <c r="AM167" i="19"/>
  <c r="AL167" i="19"/>
  <c r="AT166" i="19"/>
  <c r="AS166" i="19"/>
  <c r="AR166" i="19"/>
  <c r="AQ166" i="19"/>
  <c r="AP166" i="19"/>
  <c r="AO166" i="19"/>
  <c r="AN166" i="19"/>
  <c r="AM166" i="19"/>
  <c r="AL166" i="19"/>
  <c r="AT165" i="19"/>
  <c r="AS165" i="19"/>
  <c r="AR165" i="19"/>
  <c r="AQ165" i="19"/>
  <c r="AP165" i="19"/>
  <c r="AO165" i="19"/>
  <c r="AN165" i="19"/>
  <c r="AM165" i="19"/>
  <c r="AL165" i="19"/>
  <c r="AT164" i="19"/>
  <c r="AS164" i="19"/>
  <c r="AR164" i="19"/>
  <c r="AQ164" i="19"/>
  <c r="AP164" i="19"/>
  <c r="AO164" i="19"/>
  <c r="AN164" i="19"/>
  <c r="AM164" i="19"/>
  <c r="AL164" i="19"/>
  <c r="AT163" i="19"/>
  <c r="AS163" i="19"/>
  <c r="AR163" i="19"/>
  <c r="AQ163" i="19"/>
  <c r="AP163" i="19"/>
  <c r="AO163" i="19"/>
  <c r="AN163" i="19"/>
  <c r="AM163" i="19"/>
  <c r="AL163" i="19"/>
  <c r="AT162" i="19"/>
  <c r="AS162" i="19"/>
  <c r="AR162" i="19"/>
  <c r="AQ162" i="19"/>
  <c r="AP162" i="19"/>
  <c r="AO162" i="19"/>
  <c r="AN162" i="19"/>
  <c r="AM162" i="19"/>
  <c r="AL162" i="19"/>
  <c r="AT161" i="19"/>
  <c r="AS161" i="19"/>
  <c r="AR161" i="19"/>
  <c r="AQ161" i="19"/>
  <c r="AP161" i="19"/>
  <c r="AO161" i="19"/>
  <c r="AN161" i="19"/>
  <c r="AM161" i="19"/>
  <c r="AL161" i="19"/>
  <c r="AT160" i="19"/>
  <c r="AS160" i="19"/>
  <c r="AR160" i="19"/>
  <c r="AQ160" i="19"/>
  <c r="AP160" i="19"/>
  <c r="AO160" i="19"/>
  <c r="AN160" i="19"/>
  <c r="AM160" i="19"/>
  <c r="AL160" i="19"/>
  <c r="AT159" i="19"/>
  <c r="AS159" i="19"/>
  <c r="AR159" i="19"/>
  <c r="AQ159" i="19"/>
  <c r="AP159" i="19"/>
  <c r="AO159" i="19"/>
  <c r="AN159" i="19"/>
  <c r="AM159" i="19"/>
  <c r="AL159" i="19"/>
  <c r="AT158" i="19"/>
  <c r="AS158" i="19"/>
  <c r="AR158" i="19"/>
  <c r="AQ158" i="19"/>
  <c r="AP158" i="19"/>
  <c r="AO158" i="19"/>
  <c r="AN158" i="19"/>
  <c r="AM158" i="19"/>
  <c r="AL158" i="19"/>
  <c r="AT157" i="19"/>
  <c r="AS157" i="19"/>
  <c r="AR157" i="19"/>
  <c r="AQ157" i="19"/>
  <c r="AP157" i="19"/>
  <c r="AO157" i="19"/>
  <c r="AN157" i="19"/>
  <c r="AM157" i="19"/>
  <c r="AL157" i="19"/>
  <c r="AT156" i="19"/>
  <c r="AS156" i="19"/>
  <c r="AR156" i="19"/>
  <c r="AQ156" i="19"/>
  <c r="AP156" i="19"/>
  <c r="AO156" i="19"/>
  <c r="AN156" i="19"/>
  <c r="AM156" i="19"/>
  <c r="AL156" i="19"/>
  <c r="AT155" i="19"/>
  <c r="AS155" i="19"/>
  <c r="AR155" i="19"/>
  <c r="AQ155" i="19"/>
  <c r="AP155" i="19"/>
  <c r="AO155" i="19"/>
  <c r="AN155" i="19"/>
  <c r="AM155" i="19"/>
  <c r="AL155" i="19"/>
  <c r="AT154" i="19"/>
  <c r="AS154" i="19"/>
  <c r="AR154" i="19"/>
  <c r="AQ154" i="19"/>
  <c r="AP154" i="19"/>
  <c r="AO154" i="19"/>
  <c r="AN154" i="19"/>
  <c r="AM154" i="19"/>
  <c r="AL154" i="19"/>
  <c r="AT153" i="19"/>
  <c r="AS153" i="19"/>
  <c r="AR153" i="19"/>
  <c r="AQ153" i="19"/>
  <c r="AP153" i="19"/>
  <c r="AO153" i="19"/>
  <c r="AN153" i="19"/>
  <c r="AM153" i="19"/>
  <c r="AL153" i="19"/>
  <c r="AT152" i="19"/>
  <c r="AS152" i="19"/>
  <c r="AR152" i="19"/>
  <c r="AQ152" i="19"/>
  <c r="AP152" i="19"/>
  <c r="AO152" i="19"/>
  <c r="AN152" i="19"/>
  <c r="AM152" i="19"/>
  <c r="AL152" i="19"/>
  <c r="AT151" i="19"/>
  <c r="AS151" i="19"/>
  <c r="AR151" i="19"/>
  <c r="AQ151" i="19"/>
  <c r="AP151" i="19"/>
  <c r="AO151" i="19"/>
  <c r="AN151" i="19"/>
  <c r="AM151" i="19"/>
  <c r="AL151" i="19"/>
  <c r="AT150" i="19"/>
  <c r="AS150" i="19"/>
  <c r="AR150" i="19"/>
  <c r="AQ150" i="19"/>
  <c r="AP150" i="19"/>
  <c r="AO150" i="19"/>
  <c r="AN150" i="19"/>
  <c r="AM150" i="19"/>
  <c r="AL150" i="19"/>
  <c r="AT149" i="19"/>
  <c r="AS149" i="19"/>
  <c r="AR149" i="19"/>
  <c r="AQ149" i="19"/>
  <c r="AP149" i="19"/>
  <c r="AO149" i="19"/>
  <c r="AN149" i="19"/>
  <c r="AM149" i="19"/>
  <c r="AL149" i="19"/>
  <c r="AT148" i="19"/>
  <c r="AS148" i="19"/>
  <c r="AR148" i="19"/>
  <c r="AQ148" i="19"/>
  <c r="AP148" i="19"/>
  <c r="AO148" i="19"/>
  <c r="AN148" i="19"/>
  <c r="AM148" i="19"/>
  <c r="AL148" i="19"/>
  <c r="AT147" i="19"/>
  <c r="AS147" i="19"/>
  <c r="AR147" i="19"/>
  <c r="AQ147" i="19"/>
  <c r="AP147" i="19"/>
  <c r="AO147" i="19"/>
  <c r="AN147" i="19"/>
  <c r="AM147" i="19"/>
  <c r="AL147" i="19"/>
  <c r="AT146" i="19"/>
  <c r="AS146" i="19"/>
  <c r="AR146" i="19"/>
  <c r="AQ146" i="19"/>
  <c r="AP146" i="19"/>
  <c r="AO146" i="19"/>
  <c r="AN146" i="19"/>
  <c r="AM146" i="19"/>
  <c r="AL146" i="19"/>
  <c r="AT145" i="19"/>
  <c r="AS145" i="19"/>
  <c r="AR145" i="19"/>
  <c r="AQ145" i="19"/>
  <c r="AP145" i="19"/>
  <c r="AO145" i="19"/>
  <c r="AN145" i="19"/>
  <c r="AM145" i="19"/>
  <c r="AL145" i="19"/>
  <c r="AT144" i="19"/>
  <c r="AS144" i="19"/>
  <c r="AR144" i="19"/>
  <c r="AQ144" i="19"/>
  <c r="AP144" i="19"/>
  <c r="AO144" i="19"/>
  <c r="AN144" i="19"/>
  <c r="AM144" i="19"/>
  <c r="AL144" i="19"/>
  <c r="AT143" i="19"/>
  <c r="AS143" i="19"/>
  <c r="AR143" i="19"/>
  <c r="AQ143" i="19"/>
  <c r="AP143" i="19"/>
  <c r="AO143" i="19"/>
  <c r="AN143" i="19"/>
  <c r="AM143" i="19"/>
  <c r="AL143" i="19"/>
  <c r="AT142" i="19"/>
  <c r="AS142" i="19"/>
  <c r="AR142" i="19"/>
  <c r="AQ142" i="19"/>
  <c r="AP142" i="19"/>
  <c r="AO142" i="19"/>
  <c r="AN142" i="19"/>
  <c r="AM142" i="19"/>
  <c r="AL142" i="19"/>
  <c r="AT141" i="19"/>
  <c r="AS141" i="19"/>
  <c r="AR141" i="19"/>
  <c r="AQ141" i="19"/>
  <c r="AP141" i="19"/>
  <c r="AO141" i="19"/>
  <c r="AN141" i="19"/>
  <c r="AM141" i="19"/>
  <c r="AL141" i="19"/>
  <c r="AT140" i="19"/>
  <c r="AS140" i="19"/>
  <c r="AR140" i="19"/>
  <c r="AQ140" i="19"/>
  <c r="AP140" i="19"/>
  <c r="AO140" i="19"/>
  <c r="AN140" i="19"/>
  <c r="AM140" i="19"/>
  <c r="AL140" i="19"/>
  <c r="AT139" i="19"/>
  <c r="AS139" i="19"/>
  <c r="AR139" i="19"/>
  <c r="AQ139" i="19"/>
  <c r="AP139" i="19"/>
  <c r="AO139" i="19"/>
  <c r="AN139" i="19"/>
  <c r="AM139" i="19"/>
  <c r="AL139" i="19"/>
  <c r="AT138" i="19"/>
  <c r="AS138" i="19"/>
  <c r="AR138" i="19"/>
  <c r="AQ138" i="19"/>
  <c r="AP138" i="19"/>
  <c r="AO138" i="19"/>
  <c r="AN138" i="19"/>
  <c r="AM138" i="19"/>
  <c r="AL138" i="19"/>
  <c r="AT137" i="19"/>
  <c r="AS137" i="19"/>
  <c r="AR137" i="19"/>
  <c r="AQ137" i="19"/>
  <c r="AP137" i="19"/>
  <c r="AO137" i="19"/>
  <c r="AN137" i="19"/>
  <c r="AM137" i="19"/>
  <c r="AL137" i="19"/>
  <c r="AT136" i="19"/>
  <c r="AS136" i="19"/>
  <c r="AR136" i="19"/>
  <c r="AQ136" i="19"/>
  <c r="AP136" i="19"/>
  <c r="AO136" i="19"/>
  <c r="AN136" i="19"/>
  <c r="AM136" i="19"/>
  <c r="AL136" i="19"/>
  <c r="AT135" i="19"/>
  <c r="AS135" i="19"/>
  <c r="AR135" i="19"/>
  <c r="AQ135" i="19"/>
  <c r="AP135" i="19"/>
  <c r="AO135" i="19"/>
  <c r="AN135" i="19"/>
  <c r="AM135" i="19"/>
  <c r="AL135" i="19"/>
  <c r="AT134" i="19"/>
  <c r="AS134" i="19"/>
  <c r="AR134" i="19"/>
  <c r="AQ134" i="19"/>
  <c r="AP134" i="19"/>
  <c r="AO134" i="19"/>
  <c r="AN134" i="19"/>
  <c r="AM134" i="19"/>
  <c r="AL134" i="19"/>
  <c r="AT133" i="19"/>
  <c r="AS133" i="19"/>
  <c r="AR133" i="19"/>
  <c r="AQ133" i="19"/>
  <c r="AP133" i="19"/>
  <c r="AO133" i="19"/>
  <c r="AN133" i="19"/>
  <c r="AM133" i="19"/>
  <c r="AL133" i="19"/>
  <c r="AT132" i="19"/>
  <c r="AS132" i="19"/>
  <c r="AR132" i="19"/>
  <c r="AQ132" i="19"/>
  <c r="AP132" i="19"/>
  <c r="AO132" i="19"/>
  <c r="AN132" i="19"/>
  <c r="AM132" i="19"/>
  <c r="AL132" i="19"/>
  <c r="AT131" i="19"/>
  <c r="AS131" i="19"/>
  <c r="AR131" i="19"/>
  <c r="AQ131" i="19"/>
  <c r="AP131" i="19"/>
  <c r="AO131" i="19"/>
  <c r="AN131" i="19"/>
  <c r="AM131" i="19"/>
  <c r="AL131" i="19"/>
  <c r="AT130" i="19"/>
  <c r="AS130" i="19"/>
  <c r="AR130" i="19"/>
  <c r="AQ130" i="19"/>
  <c r="AP130" i="19"/>
  <c r="AO130" i="19"/>
  <c r="AN130" i="19"/>
  <c r="AM130" i="19"/>
  <c r="AL130" i="19"/>
  <c r="AT129" i="19"/>
  <c r="AS129" i="19"/>
  <c r="AR129" i="19"/>
  <c r="AQ129" i="19"/>
  <c r="AP129" i="19"/>
  <c r="AO129" i="19"/>
  <c r="AN129" i="19"/>
  <c r="AM129" i="19"/>
  <c r="AL129" i="19"/>
  <c r="AT128" i="19"/>
  <c r="AS128" i="19"/>
  <c r="AR128" i="19"/>
  <c r="AQ128" i="19"/>
  <c r="AP128" i="19"/>
  <c r="AO128" i="19"/>
  <c r="AN128" i="19"/>
  <c r="AM128" i="19"/>
  <c r="AL128" i="19"/>
  <c r="AT127" i="19"/>
  <c r="AS127" i="19"/>
  <c r="AR127" i="19"/>
  <c r="AQ127" i="19"/>
  <c r="AP127" i="19"/>
  <c r="AO127" i="19"/>
  <c r="AN127" i="19"/>
  <c r="AM127" i="19"/>
  <c r="AL127" i="19"/>
  <c r="AT126" i="19"/>
  <c r="AS126" i="19"/>
  <c r="AR126" i="19"/>
  <c r="AQ126" i="19"/>
  <c r="AP126" i="19"/>
  <c r="AO126" i="19"/>
  <c r="AN126" i="19"/>
  <c r="AM126" i="19"/>
  <c r="AL126" i="19"/>
  <c r="AT125" i="19"/>
  <c r="AS125" i="19"/>
  <c r="AR125" i="19"/>
  <c r="AQ125" i="19"/>
  <c r="AP125" i="19"/>
  <c r="AO125" i="19"/>
  <c r="AN125" i="19"/>
  <c r="AM125" i="19"/>
  <c r="AL125" i="19"/>
  <c r="AT124" i="19"/>
  <c r="AS124" i="19"/>
  <c r="AR124" i="19"/>
  <c r="AQ124" i="19"/>
  <c r="AP124" i="19"/>
  <c r="AO124" i="19"/>
  <c r="AN124" i="19"/>
  <c r="AM124" i="19"/>
  <c r="AL124" i="19"/>
  <c r="AT123" i="19"/>
  <c r="AS123" i="19"/>
  <c r="AR123" i="19"/>
  <c r="AQ123" i="19"/>
  <c r="AP123" i="19"/>
  <c r="AO123" i="19"/>
  <c r="AN123" i="19"/>
  <c r="AM123" i="19"/>
  <c r="AL123" i="19"/>
  <c r="AT122" i="19"/>
  <c r="AS122" i="19"/>
  <c r="AR122" i="19"/>
  <c r="AQ122" i="19"/>
  <c r="AP122" i="19"/>
  <c r="AO122" i="19"/>
  <c r="AN122" i="19"/>
  <c r="AM122" i="19"/>
  <c r="AL122" i="19"/>
  <c r="AT121" i="19"/>
  <c r="AS121" i="19"/>
  <c r="AR121" i="19"/>
  <c r="AQ121" i="19"/>
  <c r="AP121" i="19"/>
  <c r="AO121" i="19"/>
  <c r="AN121" i="19"/>
  <c r="AM121" i="19"/>
  <c r="AL121" i="19"/>
  <c r="AT120" i="19"/>
  <c r="AS120" i="19"/>
  <c r="AR120" i="19"/>
  <c r="AQ120" i="19"/>
  <c r="AP120" i="19"/>
  <c r="AO120" i="19"/>
  <c r="AN120" i="19"/>
  <c r="AM120" i="19"/>
  <c r="AL120" i="19"/>
  <c r="AT119" i="19"/>
  <c r="AS119" i="19"/>
  <c r="AR119" i="19"/>
  <c r="AQ119" i="19"/>
  <c r="AP119" i="19"/>
  <c r="AO119" i="19"/>
  <c r="AN119" i="19"/>
  <c r="AM119" i="19"/>
  <c r="AL119" i="19"/>
  <c r="AT118" i="19"/>
  <c r="AS118" i="19"/>
  <c r="AR118" i="19"/>
  <c r="AQ118" i="19"/>
  <c r="AP118" i="19"/>
  <c r="AO118" i="19"/>
  <c r="AN118" i="19"/>
  <c r="AM118" i="19"/>
  <c r="AL118" i="19"/>
  <c r="AT117" i="19"/>
  <c r="AS117" i="19"/>
  <c r="AR117" i="19"/>
  <c r="AQ117" i="19"/>
  <c r="AP117" i="19"/>
  <c r="AO117" i="19"/>
  <c r="AN117" i="19"/>
  <c r="AM117" i="19"/>
  <c r="AL117" i="19"/>
  <c r="AT116" i="19"/>
  <c r="AS116" i="19"/>
  <c r="AR116" i="19"/>
  <c r="AQ116" i="19"/>
  <c r="AP116" i="19"/>
  <c r="AO116" i="19"/>
  <c r="AN116" i="19"/>
  <c r="AM116" i="19"/>
  <c r="AL116" i="19"/>
  <c r="AT115" i="19"/>
  <c r="AS115" i="19"/>
  <c r="AR115" i="19"/>
  <c r="AQ115" i="19"/>
  <c r="AP115" i="19"/>
  <c r="AO115" i="19"/>
  <c r="AN115" i="19"/>
  <c r="AM115" i="19"/>
  <c r="AL115" i="19"/>
  <c r="AT114" i="19"/>
  <c r="AS114" i="19"/>
  <c r="AR114" i="19"/>
  <c r="AQ114" i="19"/>
  <c r="AP114" i="19"/>
  <c r="AO114" i="19"/>
  <c r="AN114" i="19"/>
  <c r="AM114" i="19"/>
  <c r="AL114" i="19"/>
  <c r="AT113" i="19"/>
  <c r="AS113" i="19"/>
  <c r="AR113" i="19"/>
  <c r="AQ113" i="19"/>
  <c r="AP113" i="19"/>
  <c r="AO113" i="19"/>
  <c r="AN113" i="19"/>
  <c r="AM113" i="19"/>
  <c r="AL113" i="19"/>
  <c r="AT112" i="19"/>
  <c r="AS112" i="19"/>
  <c r="AR112" i="19"/>
  <c r="AQ112" i="19"/>
  <c r="AP112" i="19"/>
  <c r="AO112" i="19"/>
  <c r="AN112" i="19"/>
  <c r="AM112" i="19"/>
  <c r="AL112" i="19"/>
  <c r="AT111" i="19"/>
  <c r="AS111" i="19"/>
  <c r="AR111" i="19"/>
  <c r="AQ111" i="19"/>
  <c r="AP111" i="19"/>
  <c r="AO111" i="19"/>
  <c r="AN111" i="19"/>
  <c r="AM111" i="19"/>
  <c r="AL111" i="19"/>
  <c r="AT110" i="19"/>
  <c r="AS110" i="19"/>
  <c r="AR110" i="19"/>
  <c r="AQ110" i="19"/>
  <c r="AP110" i="19"/>
  <c r="AO110" i="19"/>
  <c r="AN110" i="19"/>
  <c r="AM110" i="19"/>
  <c r="AL110" i="19"/>
  <c r="AT109" i="19"/>
  <c r="AS109" i="19"/>
  <c r="AR109" i="19"/>
  <c r="AQ109" i="19"/>
  <c r="AP109" i="19"/>
  <c r="AO109" i="19"/>
  <c r="AN109" i="19"/>
  <c r="AM109" i="19"/>
  <c r="AL109" i="19"/>
  <c r="AT108" i="19"/>
  <c r="AS108" i="19"/>
  <c r="AR108" i="19"/>
  <c r="AQ108" i="19"/>
  <c r="AP108" i="19"/>
  <c r="AO108" i="19"/>
  <c r="AN108" i="19"/>
  <c r="AM108" i="19"/>
  <c r="AL108" i="19"/>
  <c r="AT107" i="19"/>
  <c r="AS107" i="19"/>
  <c r="AR107" i="19"/>
  <c r="AQ107" i="19"/>
  <c r="AP107" i="19"/>
  <c r="AO107" i="19"/>
  <c r="AN107" i="19"/>
  <c r="AM107" i="19"/>
  <c r="AL107" i="19"/>
  <c r="AT106" i="19"/>
  <c r="AS106" i="19"/>
  <c r="AR106" i="19"/>
  <c r="AQ106" i="19"/>
  <c r="AP106" i="19"/>
  <c r="AO106" i="19"/>
  <c r="AN106" i="19"/>
  <c r="AM106" i="19"/>
  <c r="AL106" i="19"/>
  <c r="AT105" i="19"/>
  <c r="AS105" i="19"/>
  <c r="AR105" i="19"/>
  <c r="AQ105" i="19"/>
  <c r="AP105" i="19"/>
  <c r="AO105" i="19"/>
  <c r="AN105" i="19"/>
  <c r="AM105" i="19"/>
  <c r="AL105" i="19"/>
  <c r="AT104" i="19"/>
  <c r="AS104" i="19"/>
  <c r="AR104" i="19"/>
  <c r="AQ104" i="19"/>
  <c r="AP104" i="19"/>
  <c r="AO104" i="19"/>
  <c r="AN104" i="19"/>
  <c r="AM104" i="19"/>
  <c r="AL104" i="19"/>
  <c r="AT103" i="19"/>
  <c r="AS103" i="19"/>
  <c r="AR103" i="19"/>
  <c r="AQ103" i="19"/>
  <c r="AP103" i="19"/>
  <c r="AO103" i="19"/>
  <c r="AN103" i="19"/>
  <c r="AM103" i="19"/>
  <c r="AL103" i="19"/>
  <c r="AT102" i="19"/>
  <c r="AS102" i="19"/>
  <c r="AR102" i="19"/>
  <c r="AQ102" i="19"/>
  <c r="AP102" i="19"/>
  <c r="AO102" i="19"/>
  <c r="AN102" i="19"/>
  <c r="AM102" i="19"/>
  <c r="AL102" i="19"/>
  <c r="AT101" i="19"/>
  <c r="AS101" i="19"/>
  <c r="AR101" i="19"/>
  <c r="AQ101" i="19"/>
  <c r="AP101" i="19"/>
  <c r="AO101" i="19"/>
  <c r="AN101" i="19"/>
  <c r="AM101" i="19"/>
  <c r="AL101" i="19"/>
  <c r="AT100" i="19"/>
  <c r="AS100" i="19"/>
  <c r="AR100" i="19"/>
  <c r="AQ100" i="19"/>
  <c r="AP100" i="19"/>
  <c r="AO100" i="19"/>
  <c r="AN100" i="19"/>
  <c r="AM100" i="19"/>
  <c r="AL100" i="19"/>
  <c r="AT99" i="19"/>
  <c r="AS99" i="19"/>
  <c r="AR99" i="19"/>
  <c r="AQ99" i="19"/>
  <c r="AP99" i="19"/>
  <c r="AO99" i="19"/>
  <c r="AN99" i="19"/>
  <c r="AM99" i="19"/>
  <c r="AL99" i="19"/>
  <c r="AT98" i="19"/>
  <c r="AS98" i="19"/>
  <c r="AR98" i="19"/>
  <c r="AQ98" i="19"/>
  <c r="AP98" i="19"/>
  <c r="AO98" i="19"/>
  <c r="AN98" i="19"/>
  <c r="AM98" i="19"/>
  <c r="AL98" i="19"/>
  <c r="AT97" i="19"/>
  <c r="AS97" i="19"/>
  <c r="AR97" i="19"/>
  <c r="AQ97" i="19"/>
  <c r="AP97" i="19"/>
  <c r="AO97" i="19"/>
  <c r="AN97" i="19"/>
  <c r="AM97" i="19"/>
  <c r="AL97" i="19"/>
  <c r="AT96" i="19"/>
  <c r="AS96" i="19"/>
  <c r="AR96" i="19"/>
  <c r="AQ96" i="19"/>
  <c r="AP96" i="19"/>
  <c r="AO96" i="19"/>
  <c r="AN96" i="19"/>
  <c r="AM96" i="19"/>
  <c r="AL96" i="19"/>
  <c r="AT205" i="18"/>
  <c r="AS205" i="18"/>
  <c r="AR205" i="18"/>
  <c r="AQ205" i="18"/>
  <c r="AP205" i="18"/>
  <c r="AO205" i="18"/>
  <c r="AN205" i="18"/>
  <c r="AM205" i="18"/>
  <c r="AL205" i="18"/>
  <c r="AT204" i="18"/>
  <c r="AS204" i="18"/>
  <c r="AR204" i="18"/>
  <c r="AQ204" i="18"/>
  <c r="AP204" i="18"/>
  <c r="AO204" i="18"/>
  <c r="AN204" i="18"/>
  <c r="AM204" i="18"/>
  <c r="AL204" i="18"/>
  <c r="AT203" i="18"/>
  <c r="AS203" i="18"/>
  <c r="AR203" i="18"/>
  <c r="AQ203" i="18"/>
  <c r="AP203" i="18"/>
  <c r="AO203" i="18"/>
  <c r="AN203" i="18"/>
  <c r="AM203" i="18"/>
  <c r="AL203" i="18"/>
  <c r="AT202" i="18"/>
  <c r="AS202" i="18"/>
  <c r="AR202" i="18"/>
  <c r="AQ202" i="18"/>
  <c r="AP202" i="18"/>
  <c r="AO202" i="18"/>
  <c r="AN202" i="18"/>
  <c r="AM202" i="18"/>
  <c r="AL202" i="18"/>
  <c r="AT201" i="18"/>
  <c r="AS201" i="18"/>
  <c r="AR201" i="18"/>
  <c r="AQ201" i="18"/>
  <c r="AP201" i="18"/>
  <c r="AO201" i="18"/>
  <c r="AN201" i="18"/>
  <c r="AM201" i="18"/>
  <c r="AL201" i="18"/>
  <c r="AT200" i="18"/>
  <c r="AS200" i="18"/>
  <c r="AR200" i="18"/>
  <c r="AQ200" i="18"/>
  <c r="AP200" i="18"/>
  <c r="AO200" i="18"/>
  <c r="AN200" i="18"/>
  <c r="AM200" i="18"/>
  <c r="AL200" i="18"/>
  <c r="AT199" i="18"/>
  <c r="AS199" i="18"/>
  <c r="AR199" i="18"/>
  <c r="AQ199" i="18"/>
  <c r="AP199" i="18"/>
  <c r="AO199" i="18"/>
  <c r="AN199" i="18"/>
  <c r="AM199" i="18"/>
  <c r="AL199" i="18"/>
  <c r="AT198" i="18"/>
  <c r="AS198" i="18"/>
  <c r="AR198" i="18"/>
  <c r="AQ198" i="18"/>
  <c r="AP198" i="18"/>
  <c r="AO198" i="18"/>
  <c r="AN198" i="18"/>
  <c r="AM198" i="18"/>
  <c r="AL198" i="18"/>
  <c r="AT197" i="18"/>
  <c r="AS197" i="18"/>
  <c r="AR197" i="18"/>
  <c r="AQ197" i="18"/>
  <c r="AP197" i="18"/>
  <c r="AO197" i="18"/>
  <c r="AN197" i="18"/>
  <c r="AM197" i="18"/>
  <c r="AL197" i="18"/>
  <c r="AT196" i="18"/>
  <c r="AS196" i="18"/>
  <c r="AR196" i="18"/>
  <c r="AQ196" i="18"/>
  <c r="AP196" i="18"/>
  <c r="AO196" i="18"/>
  <c r="AN196" i="18"/>
  <c r="AM196" i="18"/>
  <c r="AL196" i="18"/>
  <c r="AT195" i="18"/>
  <c r="AS195" i="18"/>
  <c r="AR195" i="18"/>
  <c r="AQ195" i="18"/>
  <c r="AP195" i="18"/>
  <c r="AO195" i="18"/>
  <c r="AN195" i="18"/>
  <c r="AM195" i="18"/>
  <c r="AL195" i="18"/>
  <c r="AT194" i="18"/>
  <c r="AS194" i="18"/>
  <c r="AR194" i="18"/>
  <c r="AQ194" i="18"/>
  <c r="AP194" i="18"/>
  <c r="AO194" i="18"/>
  <c r="AN194" i="18"/>
  <c r="AM194" i="18"/>
  <c r="AL194" i="18"/>
  <c r="AT193" i="18"/>
  <c r="AS193" i="18"/>
  <c r="AR193" i="18"/>
  <c r="AQ193" i="18"/>
  <c r="AP193" i="18"/>
  <c r="AO193" i="18"/>
  <c r="AN193" i="18"/>
  <c r="AM193" i="18"/>
  <c r="AL193" i="18"/>
  <c r="AT192" i="18"/>
  <c r="AS192" i="18"/>
  <c r="AR192" i="18"/>
  <c r="AQ192" i="18"/>
  <c r="AP192" i="18"/>
  <c r="AO192" i="18"/>
  <c r="AN192" i="18"/>
  <c r="AM192" i="18"/>
  <c r="AL192" i="18"/>
  <c r="AT191" i="18"/>
  <c r="AS191" i="18"/>
  <c r="AR191" i="18"/>
  <c r="AQ191" i="18"/>
  <c r="AP191" i="18"/>
  <c r="AO191" i="18"/>
  <c r="AN191" i="18"/>
  <c r="AM191" i="18"/>
  <c r="AL191" i="18"/>
  <c r="AT190" i="18"/>
  <c r="AS190" i="18"/>
  <c r="AR190" i="18"/>
  <c r="AQ190" i="18"/>
  <c r="AP190" i="18"/>
  <c r="AO190" i="18"/>
  <c r="AN190" i="18"/>
  <c r="AM190" i="18"/>
  <c r="AL190" i="18"/>
  <c r="AT189" i="18"/>
  <c r="AS189" i="18"/>
  <c r="AR189" i="18"/>
  <c r="AQ189" i="18"/>
  <c r="AP189" i="18"/>
  <c r="AO189" i="18"/>
  <c r="AN189" i="18"/>
  <c r="AM189" i="18"/>
  <c r="AL189" i="18"/>
  <c r="AT188" i="18"/>
  <c r="AS188" i="18"/>
  <c r="AR188" i="18"/>
  <c r="AQ188" i="18"/>
  <c r="AP188" i="18"/>
  <c r="AO188" i="18"/>
  <c r="AN188" i="18"/>
  <c r="AM188" i="18"/>
  <c r="AL188" i="18"/>
  <c r="AT187" i="18"/>
  <c r="AS187" i="18"/>
  <c r="AR187" i="18"/>
  <c r="AQ187" i="18"/>
  <c r="AP187" i="18"/>
  <c r="AO187" i="18"/>
  <c r="AN187" i="18"/>
  <c r="AM187" i="18"/>
  <c r="AL187" i="18"/>
  <c r="AT186" i="18"/>
  <c r="AS186" i="18"/>
  <c r="AR186" i="18"/>
  <c r="AQ186" i="18"/>
  <c r="AP186" i="18"/>
  <c r="AO186" i="18"/>
  <c r="AN186" i="18"/>
  <c r="AM186" i="18"/>
  <c r="AL186" i="18"/>
  <c r="AT185" i="18"/>
  <c r="AS185" i="18"/>
  <c r="AR185" i="18"/>
  <c r="AQ185" i="18"/>
  <c r="AP185" i="18"/>
  <c r="AO185" i="18"/>
  <c r="AN185" i="18"/>
  <c r="AM185" i="18"/>
  <c r="AL185" i="18"/>
  <c r="AT184" i="18"/>
  <c r="AS184" i="18"/>
  <c r="AR184" i="18"/>
  <c r="AQ184" i="18"/>
  <c r="AP184" i="18"/>
  <c r="AO184" i="18"/>
  <c r="AN184" i="18"/>
  <c r="AM184" i="18"/>
  <c r="AL184" i="18"/>
  <c r="AT183" i="18"/>
  <c r="AS183" i="18"/>
  <c r="AR183" i="18"/>
  <c r="AQ183" i="18"/>
  <c r="AP183" i="18"/>
  <c r="AO183" i="18"/>
  <c r="AN183" i="18"/>
  <c r="AM183" i="18"/>
  <c r="AL183" i="18"/>
  <c r="AT182" i="18"/>
  <c r="AS182" i="18"/>
  <c r="AR182" i="18"/>
  <c r="AQ182" i="18"/>
  <c r="AP182" i="18"/>
  <c r="AO182" i="18"/>
  <c r="AN182" i="18"/>
  <c r="AM182" i="18"/>
  <c r="AL182" i="18"/>
  <c r="AT181" i="18"/>
  <c r="AS181" i="18"/>
  <c r="AR181" i="18"/>
  <c r="AQ181" i="18"/>
  <c r="AP181" i="18"/>
  <c r="AO181" i="18"/>
  <c r="AN181" i="18"/>
  <c r="AM181" i="18"/>
  <c r="AL181" i="18"/>
  <c r="AT180" i="18"/>
  <c r="AS180" i="18"/>
  <c r="AR180" i="18"/>
  <c r="AQ180" i="18"/>
  <c r="AP180" i="18"/>
  <c r="AO180" i="18"/>
  <c r="AN180" i="18"/>
  <c r="AM180" i="18"/>
  <c r="AL180" i="18"/>
  <c r="AT179" i="18"/>
  <c r="AS179" i="18"/>
  <c r="AR179" i="18"/>
  <c r="AQ179" i="18"/>
  <c r="AP179" i="18"/>
  <c r="AO179" i="18"/>
  <c r="AN179" i="18"/>
  <c r="AM179" i="18"/>
  <c r="AL179" i="18"/>
  <c r="AT178" i="18"/>
  <c r="AS178" i="18"/>
  <c r="AR178" i="18"/>
  <c r="AQ178" i="18"/>
  <c r="AP178" i="18"/>
  <c r="AO178" i="18"/>
  <c r="AN178" i="18"/>
  <c r="AM178" i="18"/>
  <c r="AL178" i="18"/>
  <c r="AT177" i="18"/>
  <c r="AS177" i="18"/>
  <c r="AR177" i="18"/>
  <c r="AQ177" i="18"/>
  <c r="AP177" i="18"/>
  <c r="AO177" i="18"/>
  <c r="AN177" i="18"/>
  <c r="AM177" i="18"/>
  <c r="AL177" i="18"/>
  <c r="AT176" i="18"/>
  <c r="AS176" i="18"/>
  <c r="AR176" i="18"/>
  <c r="AQ176" i="18"/>
  <c r="AP176" i="18"/>
  <c r="AO176" i="18"/>
  <c r="AN176" i="18"/>
  <c r="AM176" i="18"/>
  <c r="AL176" i="18"/>
  <c r="AT175" i="18"/>
  <c r="AS175" i="18"/>
  <c r="AR175" i="18"/>
  <c r="AQ175" i="18"/>
  <c r="AP175" i="18"/>
  <c r="AO175" i="18"/>
  <c r="AN175" i="18"/>
  <c r="AM175" i="18"/>
  <c r="AL175" i="18"/>
  <c r="AT174" i="18"/>
  <c r="AS174" i="18"/>
  <c r="AR174" i="18"/>
  <c r="AQ174" i="18"/>
  <c r="AP174" i="18"/>
  <c r="AO174" i="18"/>
  <c r="AN174" i="18"/>
  <c r="AM174" i="18"/>
  <c r="AL174" i="18"/>
  <c r="AT173" i="18"/>
  <c r="AS173" i="18"/>
  <c r="AR173" i="18"/>
  <c r="AQ173" i="18"/>
  <c r="AP173" i="18"/>
  <c r="AO173" i="18"/>
  <c r="AN173" i="18"/>
  <c r="AM173" i="18"/>
  <c r="AL173" i="18"/>
  <c r="AT172" i="18"/>
  <c r="AS172" i="18"/>
  <c r="AR172" i="18"/>
  <c r="AQ172" i="18"/>
  <c r="AP172" i="18"/>
  <c r="AO172" i="18"/>
  <c r="AN172" i="18"/>
  <c r="AM172" i="18"/>
  <c r="AL172" i="18"/>
  <c r="AT171" i="18"/>
  <c r="AS171" i="18"/>
  <c r="AR171" i="18"/>
  <c r="AQ171" i="18"/>
  <c r="AP171" i="18"/>
  <c r="AO171" i="18"/>
  <c r="AN171" i="18"/>
  <c r="AM171" i="18"/>
  <c r="AL171" i="18"/>
  <c r="AT170" i="18"/>
  <c r="AS170" i="18"/>
  <c r="AR170" i="18"/>
  <c r="AQ170" i="18"/>
  <c r="AP170" i="18"/>
  <c r="AO170" i="18"/>
  <c r="AN170" i="18"/>
  <c r="AM170" i="18"/>
  <c r="AL170" i="18"/>
  <c r="AT169" i="18"/>
  <c r="AS169" i="18"/>
  <c r="AR169" i="18"/>
  <c r="AQ169" i="18"/>
  <c r="AP169" i="18"/>
  <c r="AO169" i="18"/>
  <c r="AN169" i="18"/>
  <c r="AM169" i="18"/>
  <c r="AL169" i="18"/>
  <c r="AT168" i="18"/>
  <c r="AS168" i="18"/>
  <c r="AR168" i="18"/>
  <c r="AQ168" i="18"/>
  <c r="AP168" i="18"/>
  <c r="AO168" i="18"/>
  <c r="AN168" i="18"/>
  <c r="AM168" i="18"/>
  <c r="AL168" i="18"/>
  <c r="AT167" i="18"/>
  <c r="AS167" i="18"/>
  <c r="AR167" i="18"/>
  <c r="AQ167" i="18"/>
  <c r="AP167" i="18"/>
  <c r="AO167" i="18"/>
  <c r="AN167" i="18"/>
  <c r="AM167" i="18"/>
  <c r="AL167" i="18"/>
  <c r="AT166" i="18"/>
  <c r="AS166" i="18"/>
  <c r="AR166" i="18"/>
  <c r="AQ166" i="18"/>
  <c r="AP166" i="18"/>
  <c r="AO166" i="18"/>
  <c r="AN166" i="18"/>
  <c r="AM166" i="18"/>
  <c r="AL166" i="18"/>
  <c r="AT165" i="18"/>
  <c r="AS165" i="18"/>
  <c r="AR165" i="18"/>
  <c r="AQ165" i="18"/>
  <c r="AP165" i="18"/>
  <c r="AO165" i="18"/>
  <c r="AN165" i="18"/>
  <c r="AM165" i="18"/>
  <c r="AL165" i="18"/>
  <c r="AT164" i="18"/>
  <c r="AS164" i="18"/>
  <c r="AR164" i="18"/>
  <c r="AQ164" i="18"/>
  <c r="AP164" i="18"/>
  <c r="AO164" i="18"/>
  <c r="AN164" i="18"/>
  <c r="AM164" i="18"/>
  <c r="AL164" i="18"/>
  <c r="AT163" i="18"/>
  <c r="AS163" i="18"/>
  <c r="AR163" i="18"/>
  <c r="AQ163" i="18"/>
  <c r="AP163" i="18"/>
  <c r="AO163" i="18"/>
  <c r="AN163" i="18"/>
  <c r="AM163" i="18"/>
  <c r="AL163" i="18"/>
  <c r="AT162" i="18"/>
  <c r="AS162" i="18"/>
  <c r="AR162" i="18"/>
  <c r="AQ162" i="18"/>
  <c r="AP162" i="18"/>
  <c r="AO162" i="18"/>
  <c r="AN162" i="18"/>
  <c r="AM162" i="18"/>
  <c r="AL162" i="18"/>
  <c r="AT161" i="18"/>
  <c r="AS161" i="18"/>
  <c r="AR161" i="18"/>
  <c r="AQ161" i="18"/>
  <c r="AP161" i="18"/>
  <c r="AO161" i="18"/>
  <c r="AN161" i="18"/>
  <c r="AM161" i="18"/>
  <c r="AL161" i="18"/>
  <c r="AT160" i="18"/>
  <c r="AS160" i="18"/>
  <c r="AR160" i="18"/>
  <c r="AQ160" i="18"/>
  <c r="AP160" i="18"/>
  <c r="AO160" i="18"/>
  <c r="AN160" i="18"/>
  <c r="AM160" i="18"/>
  <c r="AL160" i="18"/>
  <c r="AT159" i="18"/>
  <c r="AS159" i="18"/>
  <c r="AR159" i="18"/>
  <c r="AQ159" i="18"/>
  <c r="AP159" i="18"/>
  <c r="AO159" i="18"/>
  <c r="AN159" i="18"/>
  <c r="AM159" i="18"/>
  <c r="AL159" i="18"/>
  <c r="AT158" i="18"/>
  <c r="AS158" i="18"/>
  <c r="AR158" i="18"/>
  <c r="AQ158" i="18"/>
  <c r="AP158" i="18"/>
  <c r="AO158" i="18"/>
  <c r="AN158" i="18"/>
  <c r="AM158" i="18"/>
  <c r="AL158" i="18"/>
  <c r="AT157" i="18"/>
  <c r="AS157" i="18"/>
  <c r="AR157" i="18"/>
  <c r="AQ157" i="18"/>
  <c r="AP157" i="18"/>
  <c r="AO157" i="18"/>
  <c r="AN157" i="18"/>
  <c r="AM157" i="18"/>
  <c r="AL157" i="18"/>
  <c r="AT156" i="18"/>
  <c r="AS156" i="18"/>
  <c r="AR156" i="18"/>
  <c r="AQ156" i="18"/>
  <c r="AP156" i="18"/>
  <c r="AO156" i="18"/>
  <c r="AN156" i="18"/>
  <c r="AM156" i="18"/>
  <c r="AL156" i="18"/>
  <c r="AT155" i="18"/>
  <c r="AS155" i="18"/>
  <c r="AR155" i="18"/>
  <c r="AQ155" i="18"/>
  <c r="AP155" i="18"/>
  <c r="AO155" i="18"/>
  <c r="AN155" i="18"/>
  <c r="AM155" i="18"/>
  <c r="AL155" i="18"/>
  <c r="AT154" i="18"/>
  <c r="AS154" i="18"/>
  <c r="AR154" i="18"/>
  <c r="AQ154" i="18"/>
  <c r="AP154" i="18"/>
  <c r="AO154" i="18"/>
  <c r="AN154" i="18"/>
  <c r="AM154" i="18"/>
  <c r="AL154" i="18"/>
  <c r="AT153" i="18"/>
  <c r="AS153" i="18"/>
  <c r="AR153" i="18"/>
  <c r="AQ153" i="18"/>
  <c r="AP153" i="18"/>
  <c r="AO153" i="18"/>
  <c r="AN153" i="18"/>
  <c r="AM153" i="18"/>
  <c r="AL153" i="18"/>
  <c r="AT152" i="18"/>
  <c r="AS152" i="18"/>
  <c r="AR152" i="18"/>
  <c r="AQ152" i="18"/>
  <c r="AP152" i="18"/>
  <c r="AO152" i="18"/>
  <c r="AN152" i="18"/>
  <c r="AM152" i="18"/>
  <c r="AL152" i="18"/>
  <c r="AT151" i="18"/>
  <c r="AS151" i="18"/>
  <c r="AR151" i="18"/>
  <c r="AQ151" i="18"/>
  <c r="AP151" i="18"/>
  <c r="AO151" i="18"/>
  <c r="AN151" i="18"/>
  <c r="AM151" i="18"/>
  <c r="AL151" i="18"/>
  <c r="AT150" i="18"/>
  <c r="AS150" i="18"/>
  <c r="AR150" i="18"/>
  <c r="AQ150" i="18"/>
  <c r="AP150" i="18"/>
  <c r="AO150" i="18"/>
  <c r="AN150" i="18"/>
  <c r="AM150" i="18"/>
  <c r="AL150" i="18"/>
  <c r="AT149" i="18"/>
  <c r="AS149" i="18"/>
  <c r="AR149" i="18"/>
  <c r="AQ149" i="18"/>
  <c r="AP149" i="18"/>
  <c r="AO149" i="18"/>
  <c r="AN149" i="18"/>
  <c r="AM149" i="18"/>
  <c r="AL149" i="18"/>
  <c r="AT148" i="18"/>
  <c r="AS148" i="18"/>
  <c r="AR148" i="18"/>
  <c r="AQ148" i="18"/>
  <c r="AP148" i="18"/>
  <c r="AO148" i="18"/>
  <c r="AN148" i="18"/>
  <c r="AM148" i="18"/>
  <c r="AL148" i="18"/>
  <c r="AT147" i="18"/>
  <c r="AS147" i="18"/>
  <c r="AR147" i="18"/>
  <c r="AQ147" i="18"/>
  <c r="AP147" i="18"/>
  <c r="AO147" i="18"/>
  <c r="AN147" i="18"/>
  <c r="AM147" i="18"/>
  <c r="AL147" i="18"/>
  <c r="AT146" i="18"/>
  <c r="AS146" i="18"/>
  <c r="AR146" i="18"/>
  <c r="AQ146" i="18"/>
  <c r="AP146" i="18"/>
  <c r="AO146" i="18"/>
  <c r="AN146" i="18"/>
  <c r="AM146" i="18"/>
  <c r="AL146" i="18"/>
  <c r="AT145" i="18"/>
  <c r="AS145" i="18"/>
  <c r="AR145" i="18"/>
  <c r="AQ145" i="18"/>
  <c r="AP145" i="18"/>
  <c r="AO145" i="18"/>
  <c r="AN145" i="18"/>
  <c r="AM145" i="18"/>
  <c r="AL145" i="18"/>
  <c r="AT144" i="18"/>
  <c r="AS144" i="18"/>
  <c r="AR144" i="18"/>
  <c r="AQ144" i="18"/>
  <c r="AP144" i="18"/>
  <c r="AO144" i="18"/>
  <c r="AN144" i="18"/>
  <c r="AM144" i="18"/>
  <c r="AL144" i="18"/>
  <c r="AT143" i="18"/>
  <c r="AS143" i="18"/>
  <c r="AR143" i="18"/>
  <c r="AQ143" i="18"/>
  <c r="AP143" i="18"/>
  <c r="AO143" i="18"/>
  <c r="AN143" i="18"/>
  <c r="AM143" i="18"/>
  <c r="AL143" i="18"/>
  <c r="AT142" i="18"/>
  <c r="AS142" i="18"/>
  <c r="AR142" i="18"/>
  <c r="AQ142" i="18"/>
  <c r="AP142" i="18"/>
  <c r="AO142" i="18"/>
  <c r="AN142" i="18"/>
  <c r="AM142" i="18"/>
  <c r="AL142" i="18"/>
  <c r="AT141" i="18"/>
  <c r="AS141" i="18"/>
  <c r="AR141" i="18"/>
  <c r="AQ141" i="18"/>
  <c r="AP141" i="18"/>
  <c r="AO141" i="18"/>
  <c r="AN141" i="18"/>
  <c r="AM141" i="18"/>
  <c r="AL141" i="18"/>
  <c r="AT140" i="18"/>
  <c r="AS140" i="18"/>
  <c r="AR140" i="18"/>
  <c r="AQ140" i="18"/>
  <c r="AP140" i="18"/>
  <c r="AO140" i="18"/>
  <c r="AN140" i="18"/>
  <c r="AM140" i="18"/>
  <c r="AL140" i="18"/>
  <c r="AT139" i="18"/>
  <c r="AS139" i="18"/>
  <c r="AR139" i="18"/>
  <c r="AQ139" i="18"/>
  <c r="AP139" i="18"/>
  <c r="AO139" i="18"/>
  <c r="AN139" i="18"/>
  <c r="AM139" i="18"/>
  <c r="AL139" i="18"/>
  <c r="AT138" i="18"/>
  <c r="AS138" i="18"/>
  <c r="AR138" i="18"/>
  <c r="AQ138" i="18"/>
  <c r="AP138" i="18"/>
  <c r="AO138" i="18"/>
  <c r="AN138" i="18"/>
  <c r="AM138" i="18"/>
  <c r="AL138" i="18"/>
  <c r="AT137" i="18"/>
  <c r="AS137" i="18"/>
  <c r="AR137" i="18"/>
  <c r="AQ137" i="18"/>
  <c r="AP137" i="18"/>
  <c r="AO137" i="18"/>
  <c r="AN137" i="18"/>
  <c r="AM137" i="18"/>
  <c r="AL137" i="18"/>
  <c r="AT136" i="18"/>
  <c r="AS136" i="18"/>
  <c r="AR136" i="18"/>
  <c r="AQ136" i="18"/>
  <c r="AP136" i="18"/>
  <c r="AO136" i="18"/>
  <c r="AN136" i="18"/>
  <c r="AM136" i="18"/>
  <c r="AL136" i="18"/>
  <c r="AT135" i="18"/>
  <c r="AS135" i="18"/>
  <c r="AR135" i="18"/>
  <c r="AQ135" i="18"/>
  <c r="AP135" i="18"/>
  <c r="AO135" i="18"/>
  <c r="AN135" i="18"/>
  <c r="AM135" i="18"/>
  <c r="AL135" i="18"/>
  <c r="AT134" i="18"/>
  <c r="AS134" i="18"/>
  <c r="AR134" i="18"/>
  <c r="AQ134" i="18"/>
  <c r="AP134" i="18"/>
  <c r="AO134" i="18"/>
  <c r="AN134" i="18"/>
  <c r="AM134" i="18"/>
  <c r="AL134" i="18"/>
  <c r="AT133" i="18"/>
  <c r="AS133" i="18"/>
  <c r="AR133" i="18"/>
  <c r="AQ133" i="18"/>
  <c r="AP133" i="18"/>
  <c r="AO133" i="18"/>
  <c r="AN133" i="18"/>
  <c r="AM133" i="18"/>
  <c r="AL133" i="18"/>
  <c r="AT132" i="18"/>
  <c r="AS132" i="18"/>
  <c r="AR132" i="18"/>
  <c r="AQ132" i="18"/>
  <c r="AP132" i="18"/>
  <c r="AO132" i="18"/>
  <c r="AN132" i="18"/>
  <c r="AM132" i="18"/>
  <c r="AL132" i="18"/>
  <c r="AT131" i="18"/>
  <c r="AS131" i="18"/>
  <c r="AR131" i="18"/>
  <c r="AQ131" i="18"/>
  <c r="AP131" i="18"/>
  <c r="AO131" i="18"/>
  <c r="AN131" i="18"/>
  <c r="AM131" i="18"/>
  <c r="AL131" i="18"/>
  <c r="AT130" i="18"/>
  <c r="AS130" i="18"/>
  <c r="AR130" i="18"/>
  <c r="AQ130" i="18"/>
  <c r="AP130" i="18"/>
  <c r="AO130" i="18"/>
  <c r="AN130" i="18"/>
  <c r="AM130" i="18"/>
  <c r="AL130" i="18"/>
  <c r="AT129" i="18"/>
  <c r="AS129" i="18"/>
  <c r="AR129" i="18"/>
  <c r="AQ129" i="18"/>
  <c r="AP129" i="18"/>
  <c r="AO129" i="18"/>
  <c r="AN129" i="18"/>
  <c r="AM129" i="18"/>
  <c r="AL129" i="18"/>
  <c r="AT128" i="18"/>
  <c r="AS128" i="18"/>
  <c r="AR128" i="18"/>
  <c r="AQ128" i="18"/>
  <c r="AP128" i="18"/>
  <c r="AO128" i="18"/>
  <c r="AN128" i="18"/>
  <c r="AM128" i="18"/>
  <c r="AL128" i="18"/>
  <c r="AT127" i="18"/>
  <c r="AS127" i="18"/>
  <c r="AR127" i="18"/>
  <c r="AQ127" i="18"/>
  <c r="AP127" i="18"/>
  <c r="AO127" i="18"/>
  <c r="AN127" i="18"/>
  <c r="AM127" i="18"/>
  <c r="AL127" i="18"/>
  <c r="AT126" i="18"/>
  <c r="AS126" i="18"/>
  <c r="AR126" i="18"/>
  <c r="AQ126" i="18"/>
  <c r="AP126" i="18"/>
  <c r="AO126" i="18"/>
  <c r="AN126" i="18"/>
  <c r="AM126" i="18"/>
  <c r="AL126" i="18"/>
  <c r="AT125" i="18"/>
  <c r="AS125" i="18"/>
  <c r="AR125" i="18"/>
  <c r="AQ125" i="18"/>
  <c r="AP125" i="18"/>
  <c r="AO125" i="18"/>
  <c r="AN125" i="18"/>
  <c r="AM125" i="18"/>
  <c r="AL125" i="18"/>
  <c r="AT124" i="18"/>
  <c r="AS124" i="18"/>
  <c r="AR124" i="18"/>
  <c r="AQ124" i="18"/>
  <c r="AP124" i="18"/>
  <c r="AO124" i="18"/>
  <c r="AN124" i="18"/>
  <c r="AM124" i="18"/>
  <c r="AL124" i="18"/>
  <c r="AT123" i="18"/>
  <c r="AS123" i="18"/>
  <c r="AR123" i="18"/>
  <c r="AQ123" i="18"/>
  <c r="AP123" i="18"/>
  <c r="AO123" i="18"/>
  <c r="AN123" i="18"/>
  <c r="AM123" i="18"/>
  <c r="AL123" i="18"/>
  <c r="AT122" i="18"/>
  <c r="AS122" i="18"/>
  <c r="AR122" i="18"/>
  <c r="AQ122" i="18"/>
  <c r="AP122" i="18"/>
  <c r="AO122" i="18"/>
  <c r="AN122" i="18"/>
  <c r="AM122" i="18"/>
  <c r="AL122" i="18"/>
  <c r="AT121" i="18"/>
  <c r="AS121" i="18"/>
  <c r="AR121" i="18"/>
  <c r="AQ121" i="18"/>
  <c r="AP121" i="18"/>
  <c r="AO121" i="18"/>
  <c r="AN121" i="18"/>
  <c r="AM121" i="18"/>
  <c r="AL121" i="18"/>
  <c r="AT120" i="18"/>
  <c r="AS120" i="18"/>
  <c r="AR120" i="18"/>
  <c r="AQ120" i="18"/>
  <c r="AP120" i="18"/>
  <c r="AO120" i="18"/>
  <c r="AN120" i="18"/>
  <c r="AM120" i="18"/>
  <c r="AL120" i="18"/>
  <c r="AT119" i="18"/>
  <c r="AS119" i="18"/>
  <c r="AR119" i="18"/>
  <c r="AQ119" i="18"/>
  <c r="AP119" i="18"/>
  <c r="AO119" i="18"/>
  <c r="AN119" i="18"/>
  <c r="AM119" i="18"/>
  <c r="AL119" i="18"/>
  <c r="AT118" i="18"/>
  <c r="AS118" i="18"/>
  <c r="AR118" i="18"/>
  <c r="AQ118" i="18"/>
  <c r="AP118" i="18"/>
  <c r="AO118" i="18"/>
  <c r="AN118" i="18"/>
  <c r="AM118" i="18"/>
  <c r="AL118" i="18"/>
  <c r="AT117" i="18"/>
  <c r="AS117" i="18"/>
  <c r="AR117" i="18"/>
  <c r="AQ117" i="18"/>
  <c r="AP117" i="18"/>
  <c r="AO117" i="18"/>
  <c r="AN117" i="18"/>
  <c r="AM117" i="18"/>
  <c r="AL117" i="18"/>
  <c r="AT116" i="18"/>
  <c r="AS116" i="18"/>
  <c r="AR116" i="18"/>
  <c r="AQ116" i="18"/>
  <c r="AP116" i="18"/>
  <c r="AO116" i="18"/>
  <c r="AN116" i="18"/>
  <c r="AM116" i="18"/>
  <c r="AL116" i="18"/>
  <c r="AT115" i="18"/>
  <c r="AS115" i="18"/>
  <c r="AR115" i="18"/>
  <c r="AQ115" i="18"/>
  <c r="AP115" i="18"/>
  <c r="AO115" i="18"/>
  <c r="AN115" i="18"/>
  <c r="AM115" i="18"/>
  <c r="AL115" i="18"/>
  <c r="AT114" i="18"/>
  <c r="AS114" i="18"/>
  <c r="AR114" i="18"/>
  <c r="AQ114" i="18"/>
  <c r="AP114" i="18"/>
  <c r="AO114" i="18"/>
  <c r="AN114" i="18"/>
  <c r="AM114" i="18"/>
  <c r="AL114" i="18"/>
  <c r="AT113" i="18"/>
  <c r="AS113" i="18"/>
  <c r="AR113" i="18"/>
  <c r="AQ113" i="18"/>
  <c r="AP113" i="18"/>
  <c r="AO113" i="18"/>
  <c r="AN113" i="18"/>
  <c r="AM113" i="18"/>
  <c r="AL113" i="18"/>
  <c r="AT112" i="18"/>
  <c r="AS112" i="18"/>
  <c r="AR112" i="18"/>
  <c r="AQ112" i="18"/>
  <c r="AP112" i="18"/>
  <c r="AO112" i="18"/>
  <c r="AN112" i="18"/>
  <c r="AM112" i="18"/>
  <c r="AL112" i="18"/>
  <c r="AT111" i="18"/>
  <c r="AS111" i="18"/>
  <c r="AR111" i="18"/>
  <c r="AQ111" i="18"/>
  <c r="AP111" i="18"/>
  <c r="AO111" i="18"/>
  <c r="AN111" i="18"/>
  <c r="AM111" i="18"/>
  <c r="AL111" i="18"/>
  <c r="AT110" i="18"/>
  <c r="AS110" i="18"/>
  <c r="AR110" i="18"/>
  <c r="AQ110" i="18"/>
  <c r="AP110" i="18"/>
  <c r="AO110" i="18"/>
  <c r="AN110" i="18"/>
  <c r="AM110" i="18"/>
  <c r="AL110" i="18"/>
  <c r="AT109" i="18"/>
  <c r="AS109" i="18"/>
  <c r="AR109" i="18"/>
  <c r="AQ109" i="18"/>
  <c r="AP109" i="18"/>
  <c r="AO109" i="18"/>
  <c r="AN109" i="18"/>
  <c r="AM109" i="18"/>
  <c r="AL109" i="18"/>
  <c r="AT108" i="18"/>
  <c r="AS108" i="18"/>
  <c r="AR108" i="18"/>
  <c r="AQ108" i="18"/>
  <c r="AP108" i="18"/>
  <c r="AO108" i="18"/>
  <c r="AN108" i="18"/>
  <c r="AM108" i="18"/>
  <c r="AL108" i="18"/>
  <c r="AT107" i="18"/>
  <c r="AS107" i="18"/>
  <c r="AR107" i="18"/>
  <c r="AQ107" i="18"/>
  <c r="AP107" i="18"/>
  <c r="AO107" i="18"/>
  <c r="AN107" i="18"/>
  <c r="AM107" i="18"/>
  <c r="AL107" i="18"/>
  <c r="AT106" i="18"/>
  <c r="AS106" i="18"/>
  <c r="AR106" i="18"/>
  <c r="AQ106" i="18"/>
  <c r="AP106" i="18"/>
  <c r="AO106" i="18"/>
  <c r="AN106" i="18"/>
  <c r="AM106" i="18"/>
  <c r="AL106" i="18"/>
  <c r="AT105" i="18"/>
  <c r="AS105" i="18"/>
  <c r="AR105" i="18"/>
  <c r="AQ105" i="18"/>
  <c r="AP105" i="18"/>
  <c r="AO105" i="18"/>
  <c r="AN105" i="18"/>
  <c r="AM105" i="18"/>
  <c r="AL105" i="18"/>
  <c r="AT104" i="18"/>
  <c r="AS104" i="18"/>
  <c r="AR104" i="18"/>
  <c r="AQ104" i="18"/>
  <c r="AP104" i="18"/>
  <c r="AO104" i="18"/>
  <c r="AN104" i="18"/>
  <c r="AM104" i="18"/>
  <c r="AL104" i="18"/>
  <c r="AT103" i="18"/>
  <c r="AS103" i="18"/>
  <c r="AR103" i="18"/>
  <c r="AQ103" i="18"/>
  <c r="AP103" i="18"/>
  <c r="AO103" i="18"/>
  <c r="AN103" i="18"/>
  <c r="AM103" i="18"/>
  <c r="AL103" i="18"/>
  <c r="AT102" i="18"/>
  <c r="AS102" i="18"/>
  <c r="AR102" i="18"/>
  <c r="AQ102" i="18"/>
  <c r="AP102" i="18"/>
  <c r="AO102" i="18"/>
  <c r="AN102" i="18"/>
  <c r="AM102" i="18"/>
  <c r="AL102" i="18"/>
  <c r="AT101" i="18"/>
  <c r="AS101" i="18"/>
  <c r="AR101" i="18"/>
  <c r="AQ101" i="18"/>
  <c r="AP101" i="18"/>
  <c r="AO101" i="18"/>
  <c r="AN101" i="18"/>
  <c r="AM101" i="18"/>
  <c r="AL101" i="18"/>
  <c r="AT100" i="18"/>
  <c r="AS100" i="18"/>
  <c r="AR100" i="18"/>
  <c r="AQ100" i="18"/>
  <c r="AP100" i="18"/>
  <c r="AO100" i="18"/>
  <c r="AN100" i="18"/>
  <c r="AM100" i="18"/>
  <c r="AL100" i="18"/>
  <c r="AT99" i="18"/>
  <c r="AS99" i="18"/>
  <c r="AR99" i="18"/>
  <c r="AQ99" i="18"/>
  <c r="AP99" i="18"/>
  <c r="AO99" i="18"/>
  <c r="AN99" i="18"/>
  <c r="AM99" i="18"/>
  <c r="AL99" i="18"/>
  <c r="AT98" i="18"/>
  <c r="AS98" i="18"/>
  <c r="AR98" i="18"/>
  <c r="AQ98" i="18"/>
  <c r="AP98" i="18"/>
  <c r="AO98" i="18"/>
  <c r="AN98" i="18"/>
  <c r="AM98" i="18"/>
  <c r="AL98" i="18"/>
  <c r="AT97" i="18"/>
  <c r="AS97" i="18"/>
  <c r="AR97" i="18"/>
  <c r="AQ97" i="18"/>
  <c r="AP97" i="18"/>
  <c r="AO97" i="18"/>
  <c r="AN97" i="18"/>
  <c r="AM97" i="18"/>
  <c r="AL97" i="18"/>
  <c r="AT96" i="18"/>
  <c r="AS96" i="18"/>
  <c r="AR96" i="18"/>
  <c r="AQ96" i="18"/>
  <c r="AP96" i="18"/>
  <c r="AO96" i="18"/>
  <c r="AN96" i="18"/>
  <c r="AM96" i="18"/>
  <c r="AL96" i="18"/>
  <c r="AT95" i="18"/>
  <c r="AS95" i="18"/>
  <c r="AR95" i="18"/>
  <c r="AQ95" i="18"/>
  <c r="AP95" i="18"/>
  <c r="AO95" i="18"/>
  <c r="AN95" i="18"/>
  <c r="AM95" i="18"/>
  <c r="AL95" i="18"/>
  <c r="AT94" i="18"/>
  <c r="AS94" i="18"/>
  <c r="AR94" i="18"/>
  <c r="AQ94" i="18"/>
  <c r="AP94" i="18"/>
  <c r="AO94" i="18"/>
  <c r="AN94" i="18"/>
  <c r="AM94" i="18"/>
  <c r="AL94" i="18"/>
  <c r="AT93" i="18"/>
  <c r="AS93" i="18"/>
  <c r="AR93" i="18"/>
  <c r="AQ93" i="18"/>
  <c r="AP93" i="18"/>
  <c r="AO93" i="18"/>
  <c r="AN93" i="18"/>
  <c r="AM93" i="18"/>
  <c r="AL93" i="18"/>
  <c r="AT92" i="18"/>
  <c r="AS92" i="18"/>
  <c r="AR92" i="18"/>
  <c r="AQ92" i="18"/>
  <c r="AP92" i="18"/>
  <c r="AO92" i="18"/>
  <c r="AN92" i="18"/>
  <c r="AM92" i="18"/>
  <c r="AL92" i="18"/>
  <c r="AT91" i="18"/>
  <c r="AS91" i="18"/>
  <c r="AR91" i="18"/>
  <c r="AQ91" i="18"/>
  <c r="AP91" i="18"/>
  <c r="AO91" i="18"/>
  <c r="AN91" i="18"/>
  <c r="AM91" i="18"/>
  <c r="AL91" i="18"/>
  <c r="AT90" i="18"/>
  <c r="AS90" i="18"/>
  <c r="AR90" i="18"/>
  <c r="AQ90" i="18"/>
  <c r="AP90" i="18"/>
  <c r="AO90" i="18"/>
  <c r="AN90" i="18"/>
  <c r="AM90" i="18"/>
  <c r="AL90" i="18"/>
  <c r="AT89" i="18"/>
  <c r="AS89" i="18"/>
  <c r="AR89" i="18"/>
  <c r="AQ89" i="18"/>
  <c r="AP89" i="18"/>
  <c r="AO89" i="18"/>
  <c r="AN89" i="18"/>
  <c r="AM89" i="18"/>
  <c r="AL89" i="18"/>
  <c r="AT88" i="18"/>
  <c r="AS88" i="18"/>
  <c r="AR88" i="18"/>
  <c r="AQ88" i="18"/>
  <c r="AP88" i="18"/>
  <c r="AO88" i="18"/>
  <c r="AN88" i="18"/>
  <c r="AM88" i="18"/>
  <c r="AL88" i="18"/>
  <c r="AT87" i="18"/>
  <c r="AS87" i="18"/>
  <c r="AR87" i="18"/>
  <c r="AQ87" i="18"/>
  <c r="AP87" i="18"/>
  <c r="AO87" i="18"/>
  <c r="AN87" i="18"/>
  <c r="AM87" i="18"/>
  <c r="AL87" i="18"/>
  <c r="AT86" i="18"/>
  <c r="AS86" i="18"/>
  <c r="AR86" i="18"/>
  <c r="AQ86" i="18"/>
  <c r="AP86" i="18"/>
  <c r="AO86" i="18"/>
  <c r="AN86" i="18"/>
  <c r="AM86" i="18"/>
  <c r="AL86" i="18"/>
  <c r="AP85" i="18"/>
  <c r="AM85" i="18"/>
  <c r="AP84" i="18"/>
  <c r="AO84" i="18"/>
  <c r="AN84" i="18"/>
  <c r="AM84" i="18"/>
  <c r="AL84" i="18"/>
  <c r="AP83" i="18"/>
  <c r="AO83" i="18"/>
  <c r="AN83" i="18"/>
  <c r="AM83" i="18"/>
  <c r="AL83" i="18"/>
  <c r="AT83" i="18" s="1"/>
  <c r="AP82" i="18"/>
  <c r="AO82" i="18"/>
  <c r="AN82" i="18"/>
  <c r="AM82" i="18"/>
  <c r="AL82" i="18"/>
  <c r="AP81" i="18"/>
  <c r="AO81" i="18"/>
  <c r="AN81" i="18"/>
  <c r="AM81" i="18"/>
  <c r="AL81" i="18"/>
  <c r="AT81" i="18" s="1"/>
  <c r="AP80" i="18"/>
  <c r="AO80" i="18"/>
  <c r="AN80" i="18"/>
  <c r="AM80" i="18"/>
  <c r="AQ80" i="18" s="1"/>
  <c r="AL80" i="18"/>
  <c r="AS79" i="18"/>
  <c r="AP79" i="18"/>
  <c r="AO79" i="18"/>
  <c r="AN79" i="18"/>
  <c r="AM79" i="18"/>
  <c r="AL79" i="18"/>
  <c r="AP78" i="18"/>
  <c r="AO78" i="18"/>
  <c r="AN78" i="18"/>
  <c r="AM78" i="18"/>
  <c r="AL78" i="18"/>
  <c r="AP77" i="18"/>
  <c r="AO77" i="18"/>
  <c r="AN77" i="18"/>
  <c r="AM77" i="18"/>
  <c r="AL77" i="18"/>
  <c r="AP76" i="18"/>
  <c r="AO76" i="18"/>
  <c r="AN76" i="18"/>
  <c r="AM76" i="18"/>
  <c r="AL76" i="18"/>
  <c r="AL156" i="13"/>
  <c r="AQ156" i="13" s="1"/>
  <c r="AM156" i="13"/>
  <c r="AN156" i="13"/>
  <c r="AR156" i="13" s="1"/>
  <c r="AO156" i="13"/>
  <c r="AP156" i="13"/>
  <c r="AS156" i="13"/>
  <c r="AT156" i="13"/>
  <c r="AL157" i="13"/>
  <c r="AS157" i="13" s="1"/>
  <c r="AM157" i="13"/>
  <c r="AN157" i="13"/>
  <c r="AO157" i="13"/>
  <c r="AP157" i="13"/>
  <c r="AR157" i="13"/>
  <c r="AT157" i="13"/>
  <c r="AL158" i="13"/>
  <c r="AR158" i="13" s="1"/>
  <c r="AM158" i="13"/>
  <c r="AN158" i="13"/>
  <c r="AO158" i="13"/>
  <c r="AP158" i="13"/>
  <c r="AQ158" i="13"/>
  <c r="AT158" i="13"/>
  <c r="AL159" i="13"/>
  <c r="AQ159" i="13" s="1"/>
  <c r="AM159" i="13"/>
  <c r="AN159" i="13"/>
  <c r="AO159" i="13"/>
  <c r="AP159" i="13"/>
  <c r="AT159" i="13" s="1"/>
  <c r="AR159" i="13"/>
  <c r="AS159" i="13"/>
  <c r="AL160" i="13"/>
  <c r="AM160" i="13"/>
  <c r="AN160" i="13"/>
  <c r="AO160" i="13"/>
  <c r="AS160" i="13" s="1"/>
  <c r="AP160" i="13"/>
  <c r="AT160" i="13" s="1"/>
  <c r="AQ160" i="13"/>
  <c r="AR160" i="13"/>
  <c r="AL161" i="13"/>
  <c r="AR161" i="13" s="1"/>
  <c r="AM161" i="13"/>
  <c r="AN161" i="13"/>
  <c r="AO161" i="13"/>
  <c r="AP161" i="13"/>
  <c r="AT161" i="13" s="1"/>
  <c r="AQ161" i="13"/>
  <c r="AL162" i="13"/>
  <c r="AQ162" i="13" s="1"/>
  <c r="AM162" i="13"/>
  <c r="AN162" i="13"/>
  <c r="AO162" i="13"/>
  <c r="AS162" i="13" s="1"/>
  <c r="AP162" i="13"/>
  <c r="AT162" i="13"/>
  <c r="AL163" i="13"/>
  <c r="AT163" i="13" s="1"/>
  <c r="AM163" i="13"/>
  <c r="AN163" i="13"/>
  <c r="AO163" i="13"/>
  <c r="AP163" i="13"/>
  <c r="AL164" i="13"/>
  <c r="AQ164" i="13" s="1"/>
  <c r="AM164" i="13"/>
  <c r="AN164" i="13"/>
  <c r="AR164" i="13" s="1"/>
  <c r="AO164" i="13"/>
  <c r="AP164" i="13"/>
  <c r="AS164" i="13"/>
  <c r="AT164" i="13"/>
  <c r="AL165" i="13"/>
  <c r="AS165" i="13" s="1"/>
  <c r="AM165" i="13"/>
  <c r="AN165" i="13"/>
  <c r="AO165" i="13"/>
  <c r="AP165" i="13"/>
  <c r="AR165" i="13"/>
  <c r="AT165" i="13"/>
  <c r="AL166" i="13"/>
  <c r="AM166" i="13"/>
  <c r="AN166" i="13"/>
  <c r="AO166" i="13"/>
  <c r="AP166" i="13"/>
  <c r="AQ166" i="13"/>
  <c r="AR166" i="13"/>
  <c r="AS166" i="13"/>
  <c r="AT166" i="13"/>
  <c r="AL167" i="13"/>
  <c r="AM167" i="13"/>
  <c r="AN167" i="13"/>
  <c r="AO167" i="13"/>
  <c r="AP167" i="13"/>
  <c r="AQ167" i="13"/>
  <c r="AR167" i="13"/>
  <c r="AS167" i="13"/>
  <c r="AT167" i="13"/>
  <c r="AL168" i="13"/>
  <c r="AM168" i="13"/>
  <c r="AN168" i="13"/>
  <c r="AO168" i="13"/>
  <c r="AP168" i="13"/>
  <c r="AQ168" i="13"/>
  <c r="AR168" i="13"/>
  <c r="AS168" i="13"/>
  <c r="AT168" i="13"/>
  <c r="AL169" i="13"/>
  <c r="AM169" i="13"/>
  <c r="AN169" i="13"/>
  <c r="AO169" i="13"/>
  <c r="AP169" i="13"/>
  <c r="AQ169" i="13"/>
  <c r="AR169" i="13"/>
  <c r="AS169" i="13"/>
  <c r="AT169" i="13"/>
  <c r="AL170" i="13"/>
  <c r="AM170" i="13"/>
  <c r="AN170" i="13"/>
  <c r="AO170" i="13"/>
  <c r="AP170" i="13"/>
  <c r="AQ170" i="13"/>
  <c r="AR170" i="13"/>
  <c r="AS170" i="13"/>
  <c r="AT170" i="13"/>
  <c r="AL171" i="13"/>
  <c r="AM171" i="13"/>
  <c r="AN171" i="13"/>
  <c r="AO171" i="13"/>
  <c r="AP171" i="13"/>
  <c r="AQ171" i="13"/>
  <c r="AR171" i="13"/>
  <c r="AS171" i="13"/>
  <c r="AT171" i="13"/>
  <c r="AL172" i="13"/>
  <c r="AM172" i="13"/>
  <c r="AN172" i="13"/>
  <c r="AO172" i="13"/>
  <c r="AP172" i="13"/>
  <c r="AQ172" i="13"/>
  <c r="AR172" i="13"/>
  <c r="AS172" i="13"/>
  <c r="AT172" i="13"/>
  <c r="AL173" i="13"/>
  <c r="AM173" i="13"/>
  <c r="AN173" i="13"/>
  <c r="AO173" i="13"/>
  <c r="AP173" i="13"/>
  <c r="AQ173" i="13"/>
  <c r="AR173" i="13"/>
  <c r="AS173" i="13"/>
  <c r="AT173" i="13"/>
  <c r="AL174" i="13"/>
  <c r="AM174" i="13"/>
  <c r="AN174" i="13"/>
  <c r="AO174" i="13"/>
  <c r="AP174" i="13"/>
  <c r="AQ174" i="13"/>
  <c r="AR174" i="13"/>
  <c r="AS174" i="13"/>
  <c r="AT174" i="13"/>
  <c r="AL175" i="13"/>
  <c r="AM175" i="13"/>
  <c r="AN175" i="13"/>
  <c r="AO175" i="13"/>
  <c r="AP175" i="13"/>
  <c r="AQ175" i="13"/>
  <c r="AR175" i="13"/>
  <c r="AS175" i="13"/>
  <c r="AT175" i="13"/>
  <c r="AL176" i="13"/>
  <c r="AM176" i="13"/>
  <c r="AN176" i="13"/>
  <c r="AO176" i="13"/>
  <c r="AP176" i="13"/>
  <c r="AQ176" i="13"/>
  <c r="AR176" i="13"/>
  <c r="AS176" i="13"/>
  <c r="AT176" i="13"/>
  <c r="AL177" i="13"/>
  <c r="AM177" i="13"/>
  <c r="AN177" i="13"/>
  <c r="AO177" i="13"/>
  <c r="AP177" i="13"/>
  <c r="AQ177" i="13"/>
  <c r="AR177" i="13"/>
  <c r="AS177" i="13"/>
  <c r="AT177" i="13"/>
  <c r="AL178" i="13"/>
  <c r="AM178" i="13"/>
  <c r="AN178" i="13"/>
  <c r="AO178" i="13"/>
  <c r="AP178" i="13"/>
  <c r="AQ178" i="13"/>
  <c r="AR178" i="13"/>
  <c r="AS178" i="13"/>
  <c r="AT178" i="13"/>
  <c r="AL179" i="13"/>
  <c r="AM179" i="13"/>
  <c r="AN179" i="13"/>
  <c r="AO179" i="13"/>
  <c r="AP179" i="13"/>
  <c r="AQ179" i="13"/>
  <c r="AR179" i="13"/>
  <c r="AS179" i="13"/>
  <c r="AT179" i="13"/>
  <c r="AL180" i="13"/>
  <c r="AM180" i="13"/>
  <c r="AN180" i="13"/>
  <c r="AO180" i="13"/>
  <c r="AP180" i="13"/>
  <c r="AQ180" i="13"/>
  <c r="AR180" i="13"/>
  <c r="AS180" i="13"/>
  <c r="AT180" i="13"/>
  <c r="AL181" i="13"/>
  <c r="AM181" i="13"/>
  <c r="AN181" i="13"/>
  <c r="AO181" i="13"/>
  <c r="AP181" i="13"/>
  <c r="AQ181" i="13"/>
  <c r="AR181" i="13"/>
  <c r="AS181" i="13"/>
  <c r="AT181" i="13"/>
  <c r="AL182" i="13"/>
  <c r="AM182" i="13"/>
  <c r="AN182" i="13"/>
  <c r="AO182" i="13"/>
  <c r="AP182" i="13"/>
  <c r="AQ182" i="13"/>
  <c r="AR182" i="13"/>
  <c r="AS182" i="13"/>
  <c r="AT182" i="13"/>
  <c r="AL183" i="13"/>
  <c r="AM183" i="13"/>
  <c r="AN183" i="13"/>
  <c r="AO183" i="13"/>
  <c r="AP183" i="13"/>
  <c r="AQ183" i="13"/>
  <c r="AR183" i="13"/>
  <c r="AS183" i="13"/>
  <c r="AT183" i="13"/>
  <c r="AL184" i="13"/>
  <c r="AM184" i="13"/>
  <c r="AN184" i="13"/>
  <c r="AO184" i="13"/>
  <c r="AP184" i="13"/>
  <c r="AQ184" i="13"/>
  <c r="AR184" i="13"/>
  <c r="AS184" i="13"/>
  <c r="AT184" i="13"/>
  <c r="AL185" i="13"/>
  <c r="AM185" i="13"/>
  <c r="AN185" i="13"/>
  <c r="AO185" i="13"/>
  <c r="AP185" i="13"/>
  <c r="AQ185" i="13"/>
  <c r="AR185" i="13"/>
  <c r="AS185" i="13"/>
  <c r="AT185" i="13"/>
  <c r="AL186" i="13"/>
  <c r="AM186" i="13"/>
  <c r="AN186" i="13"/>
  <c r="AO186" i="13"/>
  <c r="AP186" i="13"/>
  <c r="AQ186" i="13"/>
  <c r="AR186" i="13"/>
  <c r="AS186" i="13"/>
  <c r="AT186" i="13"/>
  <c r="AL187" i="13"/>
  <c r="AM187" i="13"/>
  <c r="AN187" i="13"/>
  <c r="AO187" i="13"/>
  <c r="AP187" i="13"/>
  <c r="AQ187" i="13"/>
  <c r="AR187" i="13"/>
  <c r="AS187" i="13"/>
  <c r="AT187" i="13"/>
  <c r="AL188" i="13"/>
  <c r="AM188" i="13"/>
  <c r="AN188" i="13"/>
  <c r="AO188" i="13"/>
  <c r="AP188" i="13"/>
  <c r="AQ188" i="13"/>
  <c r="AR188" i="13"/>
  <c r="AS188" i="13"/>
  <c r="AT188" i="13"/>
  <c r="AL189" i="13"/>
  <c r="AM189" i="13"/>
  <c r="AN189" i="13"/>
  <c r="AO189" i="13"/>
  <c r="AP189" i="13"/>
  <c r="AQ189" i="13"/>
  <c r="AR189" i="13"/>
  <c r="AS189" i="13"/>
  <c r="AT189" i="13"/>
  <c r="AL190" i="13"/>
  <c r="AM190" i="13"/>
  <c r="AN190" i="13"/>
  <c r="AO190" i="13"/>
  <c r="AP190" i="13"/>
  <c r="AQ190" i="13"/>
  <c r="AR190" i="13"/>
  <c r="AS190" i="13"/>
  <c r="AT190" i="13"/>
  <c r="AL191" i="13"/>
  <c r="AM191" i="13"/>
  <c r="AN191" i="13"/>
  <c r="AO191" i="13"/>
  <c r="AP191" i="13"/>
  <c r="AQ191" i="13"/>
  <c r="AR191" i="13"/>
  <c r="AS191" i="13"/>
  <c r="AT191" i="13"/>
  <c r="AL192" i="13"/>
  <c r="AM192" i="13"/>
  <c r="AN192" i="13"/>
  <c r="AO192" i="13"/>
  <c r="AP192" i="13"/>
  <c r="AQ192" i="13"/>
  <c r="AR192" i="13"/>
  <c r="AS192" i="13"/>
  <c r="AT192" i="13"/>
  <c r="AL193" i="13"/>
  <c r="AM193" i="13"/>
  <c r="AN193" i="13"/>
  <c r="AO193" i="13"/>
  <c r="AP193" i="13"/>
  <c r="AQ193" i="13"/>
  <c r="AR193" i="13"/>
  <c r="AS193" i="13"/>
  <c r="AT193" i="13"/>
  <c r="AL194" i="13"/>
  <c r="AM194" i="13"/>
  <c r="AN194" i="13"/>
  <c r="AO194" i="13"/>
  <c r="AP194" i="13"/>
  <c r="AQ194" i="13"/>
  <c r="AR194" i="13"/>
  <c r="AS194" i="13"/>
  <c r="AT194" i="13"/>
  <c r="AL195" i="13"/>
  <c r="AM195" i="13"/>
  <c r="AN195" i="13"/>
  <c r="AO195" i="13"/>
  <c r="AP195" i="13"/>
  <c r="AQ195" i="13"/>
  <c r="AR195" i="13"/>
  <c r="AS195" i="13"/>
  <c r="AT195" i="13"/>
  <c r="AL196" i="13"/>
  <c r="AM196" i="13"/>
  <c r="AN196" i="13"/>
  <c r="AO196" i="13"/>
  <c r="AP196" i="13"/>
  <c r="AQ196" i="13"/>
  <c r="AR196" i="13"/>
  <c r="AS196" i="13"/>
  <c r="AT196" i="13"/>
  <c r="AL197" i="13"/>
  <c r="AM197" i="13"/>
  <c r="AN197" i="13"/>
  <c r="AO197" i="13"/>
  <c r="AP197" i="13"/>
  <c r="AQ197" i="13"/>
  <c r="AR197" i="13"/>
  <c r="AS197" i="13"/>
  <c r="AT197" i="13"/>
  <c r="AL198" i="13"/>
  <c r="AM198" i="13"/>
  <c r="AN198" i="13"/>
  <c r="AO198" i="13"/>
  <c r="AP198" i="13"/>
  <c r="AQ198" i="13"/>
  <c r="AR198" i="13"/>
  <c r="AS198" i="13"/>
  <c r="AT198" i="13"/>
  <c r="AL199" i="13"/>
  <c r="AM199" i="13"/>
  <c r="AN199" i="13"/>
  <c r="AO199" i="13"/>
  <c r="AP199" i="13"/>
  <c r="AQ199" i="13"/>
  <c r="AR199" i="13"/>
  <c r="AS199" i="13"/>
  <c r="AT199" i="13"/>
  <c r="AL200" i="13"/>
  <c r="AM200" i="13"/>
  <c r="AN200" i="13"/>
  <c r="AO200" i="13"/>
  <c r="AP200" i="13"/>
  <c r="AQ200" i="13"/>
  <c r="AR200" i="13"/>
  <c r="AS200" i="13"/>
  <c r="AT200" i="13"/>
  <c r="AL201" i="13"/>
  <c r="AM201" i="13"/>
  <c r="AN201" i="13"/>
  <c r="AO201" i="13"/>
  <c r="AP201" i="13"/>
  <c r="AQ201" i="13"/>
  <c r="AR201" i="13"/>
  <c r="AS201" i="13"/>
  <c r="AT201" i="13"/>
  <c r="AL202" i="13"/>
  <c r="AM202" i="13"/>
  <c r="AN202" i="13"/>
  <c r="AO202" i="13"/>
  <c r="AP202" i="13"/>
  <c r="AQ202" i="13"/>
  <c r="AR202" i="13"/>
  <c r="AS202" i="13"/>
  <c r="AT202" i="13"/>
  <c r="AL203" i="13"/>
  <c r="AM203" i="13"/>
  <c r="AN203" i="13"/>
  <c r="AO203" i="13"/>
  <c r="AP203" i="13"/>
  <c r="AQ203" i="13"/>
  <c r="AR203" i="13"/>
  <c r="AS203" i="13"/>
  <c r="AT203" i="13"/>
  <c r="AL204" i="13"/>
  <c r="AM204" i="13"/>
  <c r="AN204" i="13"/>
  <c r="AO204" i="13"/>
  <c r="AP204" i="13"/>
  <c r="AQ204" i="13"/>
  <c r="AR204" i="13"/>
  <c r="AS204" i="13"/>
  <c r="AT204" i="13"/>
  <c r="AL205" i="13"/>
  <c r="AM205" i="13"/>
  <c r="AN205" i="13"/>
  <c r="AO205" i="13"/>
  <c r="AP205" i="13"/>
  <c r="AQ205" i="13"/>
  <c r="AR205" i="13"/>
  <c r="AS205" i="13"/>
  <c r="AT205" i="13"/>
  <c r="AT79" i="18" l="1"/>
  <c r="AT82" i="18"/>
  <c r="AS76" i="18"/>
  <c r="AS84" i="18"/>
  <c r="AQ78" i="18"/>
  <c r="AS82" i="18"/>
  <c r="AS77" i="18"/>
  <c r="AT80" i="18"/>
  <c r="AQ83" i="18"/>
  <c r="AR83" i="18"/>
  <c r="AR82" i="18"/>
  <c r="AQ82" i="18"/>
  <c r="AQ81" i="18"/>
  <c r="AR80" i="18"/>
  <c r="AR81" i="18"/>
  <c r="AR77" i="18"/>
  <c r="AQ79" i="18"/>
  <c r="AS80" i="18"/>
  <c r="AT76" i="18"/>
  <c r="AR78" i="18"/>
  <c r="AT78" i="18"/>
  <c r="AT84" i="18"/>
  <c r="AT77" i="18"/>
  <c r="AS78" i="18"/>
  <c r="AR79" i="18"/>
  <c r="AS81" i="18"/>
  <c r="AQ76" i="18"/>
  <c r="AQ84" i="18"/>
  <c r="AR76" i="18"/>
  <c r="AQ77" i="18"/>
  <c r="AS83" i="18"/>
  <c r="AR84" i="18"/>
  <c r="T76" i="20"/>
  <c r="X76" i="20" s="1"/>
  <c r="Y76" i="20" s="1"/>
  <c r="K94" i="20"/>
  <c r="O94" i="20" s="1"/>
  <c r="J95" i="20"/>
  <c r="AF77" i="20"/>
  <c r="AI76" i="20"/>
  <c r="S77" i="20"/>
  <c r="R78" i="20"/>
  <c r="R72" i="21"/>
  <c r="S71" i="21"/>
  <c r="T71" i="21" s="1"/>
  <c r="X71" i="21" s="1"/>
  <c r="Y71" i="21" s="1"/>
  <c r="AI73" i="21"/>
  <c r="AF74" i="21"/>
  <c r="J83" i="21"/>
  <c r="K82" i="21"/>
  <c r="O82" i="21" s="1"/>
  <c r="AQ165" i="13"/>
  <c r="AS163" i="13"/>
  <c r="AQ157" i="13"/>
  <c r="AR163" i="13"/>
  <c r="AQ163" i="13"/>
  <c r="AR162" i="13"/>
  <c r="AS161" i="13"/>
  <c r="AS158" i="13"/>
  <c r="K95" i="20" l="1"/>
  <c r="O95" i="20" s="1"/>
  <c r="D113" i="20" s="1"/>
  <c r="T77" i="20"/>
  <c r="X77" i="20" s="1"/>
  <c r="Y77" i="20" s="1"/>
  <c r="AI77" i="20"/>
  <c r="AF78" i="20"/>
  <c r="S78" i="20"/>
  <c r="R79" i="20"/>
  <c r="S72" i="21"/>
  <c r="T72" i="21" s="1"/>
  <c r="X72" i="21" s="1"/>
  <c r="Y72" i="21" s="1"/>
  <c r="R73" i="21"/>
  <c r="J84" i="21"/>
  <c r="K83" i="21"/>
  <c r="O83" i="21" s="1"/>
  <c r="AI74" i="21"/>
  <c r="AF75" i="21"/>
  <c r="AI78" i="20" l="1"/>
  <c r="AF79" i="20"/>
  <c r="S79" i="20"/>
  <c r="R80" i="20"/>
  <c r="T78" i="20"/>
  <c r="X78" i="20" s="1"/>
  <c r="Y78" i="20" s="1"/>
  <c r="S73" i="21"/>
  <c r="T73" i="21" s="1"/>
  <c r="X73" i="21" s="1"/>
  <c r="Y73" i="21" s="1"/>
  <c r="R74" i="21"/>
  <c r="AF76" i="21"/>
  <c r="AI75" i="21"/>
  <c r="J85" i="21"/>
  <c r="K84" i="21"/>
  <c r="O84" i="21" s="1"/>
  <c r="G20" i="24"/>
  <c r="G19" i="24"/>
  <c r="F19" i="24"/>
  <c r="F20" i="24"/>
  <c r="T79" i="20" l="1"/>
  <c r="X79" i="20" s="1"/>
  <c r="Y79" i="20" s="1"/>
  <c r="AI79" i="20"/>
  <c r="AF80" i="20"/>
  <c r="S80" i="20"/>
  <c r="R81" i="20"/>
  <c r="R75" i="21"/>
  <c r="S74" i="21"/>
  <c r="T74" i="21" s="1"/>
  <c r="X74" i="21" s="1"/>
  <c r="Y74" i="21" s="1"/>
  <c r="J86" i="21"/>
  <c r="K85" i="21"/>
  <c r="O85" i="21" s="1"/>
  <c r="AI76" i="21"/>
  <c r="AF77" i="21"/>
  <c r="S81" i="20" l="1"/>
  <c r="R82" i="20"/>
  <c r="T80" i="20"/>
  <c r="X80" i="20" s="1"/>
  <c r="Y80" i="20" s="1"/>
  <c r="AF81" i="20"/>
  <c r="AI80" i="20"/>
  <c r="S75" i="21"/>
  <c r="T75" i="21" s="1"/>
  <c r="X75" i="21" s="1"/>
  <c r="Y75" i="21" s="1"/>
  <c r="R76" i="21"/>
  <c r="AI77" i="21"/>
  <c r="AF78" i="21"/>
  <c r="J87" i="21"/>
  <c r="K86" i="21"/>
  <c r="O86" i="21" s="1"/>
  <c r="S82" i="20" l="1"/>
  <c r="R83" i="20"/>
  <c r="AF82" i="20"/>
  <c r="AI81" i="20"/>
  <c r="T81" i="20"/>
  <c r="X81" i="20" s="1"/>
  <c r="Y81" i="20" s="1"/>
  <c r="S76" i="21"/>
  <c r="T76" i="21" s="1"/>
  <c r="X76" i="21" s="1"/>
  <c r="Y76" i="21" s="1"/>
  <c r="R77" i="21"/>
  <c r="J88" i="21"/>
  <c r="K87" i="21"/>
  <c r="O87" i="21" s="1"/>
  <c r="AI78" i="21"/>
  <c r="AF79" i="21"/>
  <c r="AI82" i="20" l="1"/>
  <c r="AF83" i="20"/>
  <c r="S83" i="20"/>
  <c r="R84" i="20"/>
  <c r="T82" i="20"/>
  <c r="X82" i="20" s="1"/>
  <c r="Y82" i="20" s="1"/>
  <c r="R78" i="21"/>
  <c r="S77" i="21"/>
  <c r="T77" i="21" s="1"/>
  <c r="X77" i="21" s="1"/>
  <c r="Y77" i="21" s="1"/>
  <c r="AF80" i="21"/>
  <c r="AI79" i="21"/>
  <c r="J89" i="21"/>
  <c r="K88" i="21"/>
  <c r="O88" i="21" s="1"/>
  <c r="T83" i="20" l="1"/>
  <c r="X83" i="20" s="1"/>
  <c r="Y83" i="20" s="1"/>
  <c r="AF84" i="20"/>
  <c r="AI83" i="20"/>
  <c r="S84" i="20"/>
  <c r="R85" i="20"/>
  <c r="R79" i="21"/>
  <c r="S78" i="21"/>
  <c r="T78" i="21" s="1"/>
  <c r="X78" i="21" s="1"/>
  <c r="Y78" i="21" s="1"/>
  <c r="J90" i="21"/>
  <c r="K89" i="21"/>
  <c r="O89" i="21" s="1"/>
  <c r="AF81" i="21"/>
  <c r="AI80" i="21"/>
  <c r="S85" i="20" l="1"/>
  <c r="R86" i="20"/>
  <c r="T84" i="20"/>
  <c r="X84" i="20" s="1"/>
  <c r="Y84" i="20" s="1"/>
  <c r="AF85" i="20"/>
  <c r="AI84" i="20"/>
  <c r="R80" i="21"/>
  <c r="S79" i="21"/>
  <c r="T79" i="21" s="1"/>
  <c r="X79" i="21" s="1"/>
  <c r="Y79" i="21" s="1"/>
  <c r="AI81" i="21"/>
  <c r="AF82" i="21"/>
  <c r="J91" i="21"/>
  <c r="K90" i="21"/>
  <c r="O90" i="21" s="1"/>
  <c r="AF86" i="20" l="1"/>
  <c r="AI85" i="20"/>
  <c r="S86" i="20"/>
  <c r="R87" i="20"/>
  <c r="T85" i="20"/>
  <c r="X85" i="20" s="1"/>
  <c r="Y85" i="20" s="1"/>
  <c r="S80" i="21"/>
  <c r="T80" i="21" s="1"/>
  <c r="X80" i="21" s="1"/>
  <c r="Y80" i="21" s="1"/>
  <c r="R81" i="21"/>
  <c r="J92" i="21"/>
  <c r="K91" i="21"/>
  <c r="O91" i="21" s="1"/>
  <c r="AF83" i="21"/>
  <c r="AI82" i="21"/>
  <c r="T86" i="20" l="1"/>
  <c r="X86" i="20" s="1"/>
  <c r="Y86" i="20" s="1"/>
  <c r="S87" i="20"/>
  <c r="R88" i="20"/>
  <c r="AF87" i="20"/>
  <c r="AI86" i="20"/>
  <c r="S81" i="21"/>
  <c r="T81" i="21" s="1"/>
  <c r="X81" i="21" s="1"/>
  <c r="Y81" i="21" s="1"/>
  <c r="R82" i="21"/>
  <c r="AI83" i="21"/>
  <c r="AF84" i="21"/>
  <c r="J93" i="21"/>
  <c r="K92" i="21"/>
  <c r="O92" i="21" s="1"/>
  <c r="AF88" i="20" l="1"/>
  <c r="AI87" i="20"/>
  <c r="S88" i="20"/>
  <c r="R89" i="20"/>
  <c r="T87" i="20"/>
  <c r="X87" i="20" s="1"/>
  <c r="Y87" i="20" s="1"/>
  <c r="S82" i="21"/>
  <c r="T82" i="21" s="1"/>
  <c r="X82" i="21" s="1"/>
  <c r="Y82" i="21" s="1"/>
  <c r="R83" i="21"/>
  <c r="J94" i="21"/>
  <c r="K93" i="21"/>
  <c r="O93" i="21" s="1"/>
  <c r="AF85" i="21"/>
  <c r="AI84" i="21"/>
  <c r="S89" i="20" l="1"/>
  <c r="R90" i="20"/>
  <c r="T88" i="20"/>
  <c r="X88" i="20" s="1"/>
  <c r="Y88" i="20" s="1"/>
  <c r="AF89" i="20"/>
  <c r="AI88" i="20"/>
  <c r="S83" i="21"/>
  <c r="T83" i="21" s="1"/>
  <c r="X83" i="21" s="1"/>
  <c r="Y83" i="21" s="1"/>
  <c r="R84" i="21"/>
  <c r="AF86" i="21"/>
  <c r="AI85" i="21"/>
  <c r="J95" i="21"/>
  <c r="K94" i="21"/>
  <c r="O94" i="21" s="1"/>
  <c r="B53" i="27"/>
  <c r="B67" i="27"/>
  <c r="U4" i="27"/>
  <c r="X4" i="27"/>
  <c r="AA4" i="27"/>
  <c r="AD4" i="27"/>
  <c r="F94" i="18"/>
  <c r="E94" i="18"/>
  <c r="AN85" i="18" s="1"/>
  <c r="AB68" i="18"/>
  <c r="F50" i="27"/>
  <c r="E49" i="27"/>
  <c r="E48" i="27"/>
  <c r="F90" i="18"/>
  <c r="F47" i="27" s="1"/>
  <c r="E90" i="18"/>
  <c r="E47" i="27" s="1"/>
  <c r="B47" i="27"/>
  <c r="F89" i="18"/>
  <c r="F46" i="27" s="1"/>
  <c r="E89" i="18"/>
  <c r="H89" i="18" s="1"/>
  <c r="F88" i="18"/>
  <c r="E88" i="18"/>
  <c r="B45" i="27"/>
  <c r="F87" i="18"/>
  <c r="E87" i="18"/>
  <c r="E44" i="27" s="1"/>
  <c r="F86" i="18"/>
  <c r="E86" i="18"/>
  <c r="E43" i="27" s="1"/>
  <c r="B43" i="27"/>
  <c r="F85" i="18"/>
  <c r="E85" i="18"/>
  <c r="F84" i="18"/>
  <c r="E84" i="18"/>
  <c r="F83" i="18"/>
  <c r="E83" i="18"/>
  <c r="E40" i="27" s="1"/>
  <c r="F82" i="18"/>
  <c r="E82" i="18"/>
  <c r="R10" i="27"/>
  <c r="U10" i="27" s="1"/>
  <c r="X10" i="27" s="1"/>
  <c r="AA10" i="27" s="1"/>
  <c r="R12" i="27"/>
  <c r="U12" i="27" s="1"/>
  <c r="X12" i="27" s="1"/>
  <c r="AA12" i="27" s="1"/>
  <c r="F10" i="13"/>
  <c r="L110" i="13" s="1"/>
  <c r="M9" i="26"/>
  <c r="F13" i="19"/>
  <c r="F10" i="19"/>
  <c r="U22" i="27"/>
  <c r="B24" i="27"/>
  <c r="B25" i="27"/>
  <c r="B95" i="13"/>
  <c r="C82" i="13"/>
  <c r="C23" i="27" s="1"/>
  <c r="C83" i="13"/>
  <c r="C24" i="27" s="1"/>
  <c r="C84" i="13"/>
  <c r="C25" i="27" s="1"/>
  <c r="C85" i="13"/>
  <c r="C26" i="27" s="1"/>
  <c r="C86" i="13"/>
  <c r="C27" i="27" s="1"/>
  <c r="C87" i="13"/>
  <c r="C28" i="27" s="1"/>
  <c r="C88" i="13"/>
  <c r="C29" i="27" s="1"/>
  <c r="C89" i="13"/>
  <c r="C30" i="27" s="1"/>
  <c r="C90" i="13"/>
  <c r="C31" i="27" s="1"/>
  <c r="C91" i="13"/>
  <c r="C32" i="27" s="1"/>
  <c r="C92" i="13"/>
  <c r="C33" i="27" s="1"/>
  <c r="C93" i="13"/>
  <c r="C34" i="27" s="1"/>
  <c r="X5" i="27"/>
  <c r="L69" i="27" s="1"/>
  <c r="B69" i="27"/>
  <c r="B71" i="27"/>
  <c r="U5" i="27"/>
  <c r="L53" i="27" s="1"/>
  <c r="B73" i="27"/>
  <c r="AD5" i="27"/>
  <c r="L101" i="27" s="1"/>
  <c r="B101" i="27"/>
  <c r="B74" i="27"/>
  <c r="O5" i="27"/>
  <c r="B75" i="27"/>
  <c r="R5" i="27"/>
  <c r="L37" i="27" s="1"/>
  <c r="B76" i="27"/>
  <c r="AA5" i="27"/>
  <c r="L85" i="27" s="1"/>
  <c r="B85" i="27"/>
  <c r="B87" i="27"/>
  <c r="C83" i="27"/>
  <c r="B83" i="27"/>
  <c r="B88" i="27"/>
  <c r="B89" i="27"/>
  <c r="B90" i="27"/>
  <c r="B91" i="27"/>
  <c r="B92" i="27"/>
  <c r="B93" i="27"/>
  <c r="B94" i="27"/>
  <c r="B99" i="27"/>
  <c r="B79" i="27"/>
  <c r="B81" i="27"/>
  <c r="B82" i="27"/>
  <c r="R6" i="27"/>
  <c r="U6" i="27" s="1"/>
  <c r="X6" i="27" s="1"/>
  <c r="AA6" i="27" s="1"/>
  <c r="G24" i="24"/>
  <c r="O4" i="27"/>
  <c r="U23" i="27"/>
  <c r="U24" i="27"/>
  <c r="U25" i="27"/>
  <c r="U26" i="27"/>
  <c r="AI205" i="13"/>
  <c r="AH205" i="13"/>
  <c r="AG205" i="13"/>
  <c r="AF205" i="13"/>
  <c r="AE205" i="13"/>
  <c r="AD205" i="13"/>
  <c r="AC205" i="13"/>
  <c r="AB205" i="13"/>
  <c r="AI204" i="13"/>
  <c r="AH204" i="13"/>
  <c r="AG204" i="13"/>
  <c r="AF204" i="13"/>
  <c r="AE204" i="13"/>
  <c r="AD204" i="13"/>
  <c r="AC204" i="13"/>
  <c r="AB204" i="13"/>
  <c r="AI203" i="13"/>
  <c r="AH203" i="13"/>
  <c r="AG203" i="13"/>
  <c r="AF203" i="13"/>
  <c r="AE203" i="13"/>
  <c r="AD203" i="13"/>
  <c r="AC203" i="13"/>
  <c r="AB203" i="13"/>
  <c r="AI202" i="13"/>
  <c r="AH202" i="13"/>
  <c r="AG202" i="13"/>
  <c r="AF202" i="13"/>
  <c r="AE202" i="13"/>
  <c r="AD202" i="13"/>
  <c r="AC202" i="13"/>
  <c r="AB202" i="13"/>
  <c r="AI201" i="13"/>
  <c r="AH201" i="13"/>
  <c r="AG201" i="13"/>
  <c r="AF201" i="13"/>
  <c r="AE201" i="13"/>
  <c r="AD201" i="13"/>
  <c r="AC201" i="13"/>
  <c r="AB201" i="13"/>
  <c r="AI200" i="13"/>
  <c r="AH200" i="13"/>
  <c r="AG200" i="13"/>
  <c r="AF200" i="13"/>
  <c r="AE200" i="13"/>
  <c r="AD200" i="13"/>
  <c r="AC200" i="13"/>
  <c r="AB200" i="13"/>
  <c r="AI199" i="13"/>
  <c r="AH199" i="13"/>
  <c r="AG199" i="13"/>
  <c r="AF199" i="13"/>
  <c r="AE199" i="13"/>
  <c r="AD199" i="13"/>
  <c r="AC199" i="13"/>
  <c r="AB199" i="13"/>
  <c r="AI198" i="13"/>
  <c r="AH198" i="13"/>
  <c r="AG198" i="13"/>
  <c r="AF198" i="13"/>
  <c r="AE198" i="13"/>
  <c r="AD198" i="13"/>
  <c r="AC198" i="13"/>
  <c r="AB198" i="13"/>
  <c r="AI197" i="13"/>
  <c r="AH197" i="13"/>
  <c r="AG197" i="13"/>
  <c r="AF197" i="13"/>
  <c r="AE197" i="13"/>
  <c r="AD197" i="13"/>
  <c r="AC197" i="13"/>
  <c r="AB197" i="13"/>
  <c r="AI196" i="13"/>
  <c r="AH196" i="13"/>
  <c r="AG196" i="13"/>
  <c r="AF196" i="13"/>
  <c r="AE196" i="13"/>
  <c r="AD196" i="13"/>
  <c r="AC196" i="13"/>
  <c r="AB196" i="13"/>
  <c r="AI195" i="13"/>
  <c r="AH195" i="13"/>
  <c r="AG195" i="13"/>
  <c r="AF195" i="13"/>
  <c r="AE195" i="13"/>
  <c r="AD195" i="13"/>
  <c r="AC195" i="13"/>
  <c r="AB195" i="13"/>
  <c r="AI194" i="13"/>
  <c r="AH194" i="13"/>
  <c r="AG194" i="13"/>
  <c r="AF194" i="13"/>
  <c r="AE194" i="13"/>
  <c r="AD194" i="13"/>
  <c r="AC194" i="13"/>
  <c r="AB194" i="13"/>
  <c r="AI193" i="13"/>
  <c r="AH193" i="13"/>
  <c r="AG193" i="13"/>
  <c r="AF193" i="13"/>
  <c r="AE193" i="13"/>
  <c r="AD193" i="13"/>
  <c r="AC193" i="13"/>
  <c r="AB193" i="13"/>
  <c r="AI192" i="13"/>
  <c r="AH192" i="13"/>
  <c r="AG192" i="13"/>
  <c r="AF192" i="13"/>
  <c r="AE192" i="13"/>
  <c r="AD192" i="13"/>
  <c r="AC192" i="13"/>
  <c r="AB192" i="13"/>
  <c r="AI191" i="13"/>
  <c r="AH191" i="13"/>
  <c r="AG191" i="13"/>
  <c r="AF191" i="13"/>
  <c r="AE191" i="13"/>
  <c r="AD191" i="13"/>
  <c r="AC191" i="13"/>
  <c r="AB191" i="13"/>
  <c r="AI190" i="13"/>
  <c r="AH190" i="13"/>
  <c r="AG190" i="13"/>
  <c r="AF190" i="13"/>
  <c r="AE190" i="13"/>
  <c r="AD190" i="13"/>
  <c r="AC190" i="13"/>
  <c r="AB190" i="13"/>
  <c r="AI189" i="13"/>
  <c r="AH189" i="13"/>
  <c r="AG189" i="13"/>
  <c r="AF189" i="13"/>
  <c r="AE189" i="13"/>
  <c r="AD189" i="13"/>
  <c r="AC189" i="13"/>
  <c r="AB189" i="13"/>
  <c r="AI188" i="13"/>
  <c r="AH188" i="13"/>
  <c r="AG188" i="13"/>
  <c r="AF188" i="13"/>
  <c r="AE188" i="13"/>
  <c r="AD188" i="13"/>
  <c r="AC188" i="13"/>
  <c r="AB188" i="13"/>
  <c r="AI187" i="13"/>
  <c r="AH187" i="13"/>
  <c r="AG187" i="13"/>
  <c r="AF187" i="13"/>
  <c r="AE187" i="13"/>
  <c r="AD187" i="13"/>
  <c r="AC187" i="13"/>
  <c r="AB187" i="13"/>
  <c r="AI186" i="13"/>
  <c r="AH186" i="13"/>
  <c r="AG186" i="13"/>
  <c r="AF186" i="13"/>
  <c r="AE186" i="13"/>
  <c r="AD186" i="13"/>
  <c r="AC186" i="13"/>
  <c r="AB186" i="13"/>
  <c r="AI185" i="13"/>
  <c r="AH185" i="13"/>
  <c r="AG185" i="13"/>
  <c r="AF185" i="13"/>
  <c r="AE185" i="13"/>
  <c r="AD185" i="13"/>
  <c r="AC185" i="13"/>
  <c r="AB185" i="13"/>
  <c r="AI184" i="13"/>
  <c r="AH184" i="13"/>
  <c r="AG184" i="13"/>
  <c r="AF184" i="13"/>
  <c r="AE184" i="13"/>
  <c r="AD184" i="13"/>
  <c r="AC184" i="13"/>
  <c r="AB184" i="13"/>
  <c r="AI183" i="13"/>
  <c r="AH183" i="13"/>
  <c r="AG183" i="13"/>
  <c r="AF183" i="13"/>
  <c r="AE183" i="13"/>
  <c r="AD183" i="13"/>
  <c r="AC183" i="13"/>
  <c r="AB183" i="13"/>
  <c r="AI182" i="13"/>
  <c r="AH182" i="13"/>
  <c r="AG182" i="13"/>
  <c r="AF182" i="13"/>
  <c r="AE182" i="13"/>
  <c r="AD182" i="13"/>
  <c r="AC182" i="13"/>
  <c r="AB182" i="13"/>
  <c r="AI181" i="13"/>
  <c r="AH181" i="13"/>
  <c r="AG181" i="13"/>
  <c r="AF181" i="13"/>
  <c r="AE181" i="13"/>
  <c r="AD181" i="13"/>
  <c r="AC181" i="13"/>
  <c r="AB181" i="13"/>
  <c r="AI180" i="13"/>
  <c r="AH180" i="13"/>
  <c r="AG180" i="13"/>
  <c r="AF180" i="13"/>
  <c r="AE180" i="13"/>
  <c r="AD180" i="13"/>
  <c r="AC180" i="13"/>
  <c r="AB180" i="13"/>
  <c r="AI179" i="13"/>
  <c r="AH179" i="13"/>
  <c r="AG179" i="13"/>
  <c r="AF179" i="13"/>
  <c r="AE179" i="13"/>
  <c r="AD179" i="13"/>
  <c r="AC179" i="13"/>
  <c r="AB179" i="13"/>
  <c r="AI178" i="13"/>
  <c r="AH178" i="13"/>
  <c r="AG178" i="13"/>
  <c r="AF178" i="13"/>
  <c r="AE178" i="13"/>
  <c r="AD178" i="13"/>
  <c r="AC178" i="13"/>
  <c r="AB178" i="13"/>
  <c r="AI177" i="13"/>
  <c r="AH177" i="13"/>
  <c r="AG177" i="13"/>
  <c r="AF177" i="13"/>
  <c r="AE177" i="13"/>
  <c r="AD177" i="13"/>
  <c r="AC177" i="13"/>
  <c r="AB177" i="13"/>
  <c r="AI176" i="13"/>
  <c r="AH176" i="13"/>
  <c r="AG176" i="13"/>
  <c r="AF176" i="13"/>
  <c r="AE176" i="13"/>
  <c r="AD176" i="13"/>
  <c r="AC176" i="13"/>
  <c r="AB176" i="13"/>
  <c r="AI175" i="13"/>
  <c r="AH175" i="13"/>
  <c r="AG175" i="13"/>
  <c r="AF175" i="13"/>
  <c r="AE175" i="13"/>
  <c r="AD175" i="13"/>
  <c r="AC175" i="13"/>
  <c r="AB175" i="13"/>
  <c r="AI174" i="13"/>
  <c r="AH174" i="13"/>
  <c r="AG174" i="13"/>
  <c r="AF174" i="13"/>
  <c r="AE174" i="13"/>
  <c r="AD174" i="13"/>
  <c r="AC174" i="13"/>
  <c r="AB174" i="13"/>
  <c r="AI173" i="13"/>
  <c r="AH173" i="13"/>
  <c r="AG173" i="13"/>
  <c r="AF173" i="13"/>
  <c r="AE173" i="13"/>
  <c r="AD173" i="13"/>
  <c r="AC173" i="13"/>
  <c r="AB173" i="13"/>
  <c r="AI172" i="13"/>
  <c r="AH172" i="13"/>
  <c r="AG172" i="13"/>
  <c r="AF172" i="13"/>
  <c r="AE172" i="13"/>
  <c r="AD172" i="13"/>
  <c r="AC172" i="13"/>
  <c r="AB172" i="13"/>
  <c r="AI171" i="13"/>
  <c r="AH171" i="13"/>
  <c r="AG171" i="13"/>
  <c r="AF171" i="13"/>
  <c r="AE171" i="13"/>
  <c r="AD171" i="13"/>
  <c r="AC171" i="13"/>
  <c r="AB171" i="13"/>
  <c r="AI170" i="13"/>
  <c r="AH170" i="13"/>
  <c r="AG170" i="13"/>
  <c r="AF170" i="13"/>
  <c r="AE170" i="13"/>
  <c r="AD170" i="13"/>
  <c r="AC170" i="13"/>
  <c r="AB170" i="13"/>
  <c r="AI169" i="13"/>
  <c r="AH169" i="13"/>
  <c r="AG169" i="13"/>
  <c r="AF169" i="13"/>
  <c r="AE169" i="13"/>
  <c r="AD169" i="13"/>
  <c r="AC169" i="13"/>
  <c r="AB169" i="13"/>
  <c r="AI168" i="13"/>
  <c r="AH168" i="13"/>
  <c r="AG168" i="13"/>
  <c r="AF168" i="13"/>
  <c r="AE168" i="13"/>
  <c r="AD168" i="13"/>
  <c r="AC168" i="13"/>
  <c r="AB168" i="13"/>
  <c r="AI167" i="13"/>
  <c r="AH167" i="13"/>
  <c r="AG167" i="13"/>
  <c r="AF167" i="13"/>
  <c r="AE167" i="13"/>
  <c r="AD167" i="13"/>
  <c r="AC167" i="13"/>
  <c r="AB167" i="13"/>
  <c r="AI166" i="13"/>
  <c r="AH166" i="13"/>
  <c r="AG166" i="13"/>
  <c r="AF166" i="13"/>
  <c r="AE166" i="13"/>
  <c r="AD166" i="13"/>
  <c r="AC166" i="13"/>
  <c r="AB166" i="13"/>
  <c r="AI5" i="13"/>
  <c r="AE205" i="18"/>
  <c r="AD205" i="18"/>
  <c r="AC205" i="18"/>
  <c r="AB205" i="18"/>
  <c r="AE204" i="18"/>
  <c r="AD204" i="18"/>
  <c r="AC204" i="18"/>
  <c r="AB204" i="18"/>
  <c r="AE203" i="18"/>
  <c r="AD203" i="18"/>
  <c r="AC203" i="18"/>
  <c r="AB203" i="18"/>
  <c r="AE202" i="18"/>
  <c r="AD202" i="18"/>
  <c r="AC202" i="18"/>
  <c r="AB202" i="18"/>
  <c r="AE201" i="18"/>
  <c r="AD201" i="18"/>
  <c r="AC201" i="18"/>
  <c r="AB201" i="18"/>
  <c r="AE200" i="18"/>
  <c r="AD200" i="18"/>
  <c r="AC200" i="18"/>
  <c r="AB200" i="18"/>
  <c r="AE199" i="18"/>
  <c r="AD199" i="18"/>
  <c r="AC199" i="18"/>
  <c r="AB199" i="18"/>
  <c r="AE198" i="18"/>
  <c r="AD198" i="18"/>
  <c r="AC198" i="18"/>
  <c r="AB198" i="18"/>
  <c r="AE197" i="18"/>
  <c r="AD197" i="18"/>
  <c r="AC197" i="18"/>
  <c r="AB197" i="18"/>
  <c r="AE196" i="18"/>
  <c r="AD196" i="18"/>
  <c r="AC196" i="18"/>
  <c r="AB196" i="18"/>
  <c r="AE195" i="18"/>
  <c r="AD195" i="18"/>
  <c r="AC195" i="18"/>
  <c r="AB195" i="18"/>
  <c r="AE194" i="18"/>
  <c r="AD194" i="18"/>
  <c r="AC194" i="18"/>
  <c r="AB194" i="18"/>
  <c r="AE193" i="18"/>
  <c r="AD193" i="18"/>
  <c r="AC193" i="18"/>
  <c r="AB193" i="18"/>
  <c r="AE192" i="18"/>
  <c r="AD192" i="18"/>
  <c r="AC192" i="18"/>
  <c r="AB192" i="18"/>
  <c r="AE191" i="18"/>
  <c r="AD191" i="18"/>
  <c r="AC191" i="18"/>
  <c r="AB191" i="18"/>
  <c r="AE190" i="18"/>
  <c r="AD190" i="18"/>
  <c r="AC190" i="18"/>
  <c r="AB190" i="18"/>
  <c r="AE189" i="18"/>
  <c r="AD189" i="18"/>
  <c r="AC189" i="18"/>
  <c r="AB189" i="18"/>
  <c r="AE188" i="18"/>
  <c r="AD188" i="18"/>
  <c r="AC188" i="18"/>
  <c r="AB188" i="18"/>
  <c r="AE187" i="18"/>
  <c r="AD187" i="18"/>
  <c r="AC187" i="18"/>
  <c r="AB187" i="18"/>
  <c r="AE186" i="18"/>
  <c r="AD186" i="18"/>
  <c r="AC186" i="18"/>
  <c r="AB186" i="18"/>
  <c r="AE185" i="18"/>
  <c r="AD185" i="18"/>
  <c r="AC185" i="18"/>
  <c r="AB185" i="18"/>
  <c r="AE184" i="18"/>
  <c r="AD184" i="18"/>
  <c r="AC184" i="18"/>
  <c r="AB184" i="18"/>
  <c r="AE183" i="18"/>
  <c r="AD183" i="18"/>
  <c r="AC183" i="18"/>
  <c r="AB183" i="18"/>
  <c r="AE182" i="18"/>
  <c r="AD182" i="18"/>
  <c r="AC182" i="18"/>
  <c r="AB182" i="18"/>
  <c r="AE181" i="18"/>
  <c r="AD181" i="18"/>
  <c r="AC181" i="18"/>
  <c r="AB181" i="18"/>
  <c r="AE180" i="18"/>
  <c r="AD180" i="18"/>
  <c r="AC180" i="18"/>
  <c r="AB180" i="18"/>
  <c r="AE179" i="18"/>
  <c r="AD179" i="18"/>
  <c r="AC179" i="18"/>
  <c r="AB179" i="18"/>
  <c r="AE178" i="18"/>
  <c r="AD178" i="18"/>
  <c r="AC178" i="18"/>
  <c r="AB178" i="18"/>
  <c r="AE177" i="18"/>
  <c r="AD177" i="18"/>
  <c r="AC177" i="18"/>
  <c r="AB177" i="18"/>
  <c r="AE176" i="18"/>
  <c r="AD176" i="18"/>
  <c r="AC176" i="18"/>
  <c r="AB176" i="18"/>
  <c r="AE175" i="18"/>
  <c r="AD175" i="18"/>
  <c r="AC175" i="18"/>
  <c r="AB175" i="18"/>
  <c r="AE174" i="18"/>
  <c r="AD174" i="18"/>
  <c r="AC174" i="18"/>
  <c r="AB174" i="18"/>
  <c r="AE173" i="18"/>
  <c r="AD173" i="18"/>
  <c r="AC173" i="18"/>
  <c r="AB173" i="18"/>
  <c r="AE172" i="18"/>
  <c r="AD172" i="18"/>
  <c r="AC172" i="18"/>
  <c r="AB172" i="18"/>
  <c r="AE171" i="18"/>
  <c r="AD171" i="18"/>
  <c r="AC171" i="18"/>
  <c r="AB171" i="18"/>
  <c r="AE170" i="18"/>
  <c r="AD170" i="18"/>
  <c r="AC170" i="18"/>
  <c r="AB170" i="18"/>
  <c r="AE169" i="18"/>
  <c r="AD169" i="18"/>
  <c r="AC169" i="18"/>
  <c r="AB169" i="18"/>
  <c r="AE168" i="18"/>
  <c r="AD168" i="18"/>
  <c r="AC168" i="18"/>
  <c r="AB168" i="18"/>
  <c r="AE167" i="18"/>
  <c r="AD167" i="18"/>
  <c r="AC167" i="18"/>
  <c r="AB167" i="18"/>
  <c r="AE166" i="18"/>
  <c r="AD166" i="18"/>
  <c r="AC166" i="18"/>
  <c r="AB166" i="18"/>
  <c r="AE165" i="18"/>
  <c r="AD165" i="18"/>
  <c r="AC165" i="18"/>
  <c r="AB165" i="18"/>
  <c r="AE164" i="18"/>
  <c r="AD164" i="18"/>
  <c r="AC164" i="18"/>
  <c r="AB164" i="18"/>
  <c r="AE163" i="18"/>
  <c r="AD163" i="18"/>
  <c r="AC163" i="18"/>
  <c r="AB163" i="18"/>
  <c r="AE162" i="18"/>
  <c r="AD162" i="18"/>
  <c r="AC162" i="18"/>
  <c r="AB162" i="18"/>
  <c r="AE161" i="18"/>
  <c r="AD161" i="18"/>
  <c r="AC161" i="18"/>
  <c r="AB161" i="18"/>
  <c r="AE160" i="18"/>
  <c r="AD160" i="18"/>
  <c r="AC160" i="18"/>
  <c r="AB160" i="18"/>
  <c r="AE159" i="18"/>
  <c r="AD159" i="18"/>
  <c r="AC159" i="18"/>
  <c r="AB159" i="18"/>
  <c r="AE158" i="18"/>
  <c r="AD158" i="18"/>
  <c r="AC158" i="18"/>
  <c r="AB158" i="18"/>
  <c r="AE157" i="18"/>
  <c r="AD157" i="18"/>
  <c r="AC157" i="18"/>
  <c r="AB157" i="18"/>
  <c r="AE156" i="18"/>
  <c r="AD156" i="18"/>
  <c r="AC156" i="18"/>
  <c r="AB156" i="18"/>
  <c r="AE155" i="18"/>
  <c r="AD155" i="18"/>
  <c r="AC155" i="18"/>
  <c r="AB155" i="18"/>
  <c r="AE154" i="18"/>
  <c r="AD154" i="18"/>
  <c r="AC154" i="18"/>
  <c r="AB154" i="18"/>
  <c r="AE153" i="18"/>
  <c r="AD153" i="18"/>
  <c r="AC153" i="18"/>
  <c r="AB153" i="18"/>
  <c r="AE152" i="18"/>
  <c r="AD152" i="18"/>
  <c r="AC152" i="18"/>
  <c r="AB152" i="18"/>
  <c r="AE151" i="18"/>
  <c r="AD151" i="18"/>
  <c r="AC151" i="18"/>
  <c r="AB151" i="18"/>
  <c r="AE150" i="18"/>
  <c r="AD150" i="18"/>
  <c r="AC150" i="18"/>
  <c r="AB150" i="18"/>
  <c r="AE149" i="18"/>
  <c r="AD149" i="18"/>
  <c r="AC149" i="18"/>
  <c r="AB149" i="18"/>
  <c r="AE148" i="18"/>
  <c r="AD148" i="18"/>
  <c r="AC148" i="18"/>
  <c r="AB148" i="18"/>
  <c r="AE147" i="18"/>
  <c r="AD147" i="18"/>
  <c r="AC147" i="18"/>
  <c r="AB147" i="18"/>
  <c r="AE146" i="18"/>
  <c r="AD146" i="18"/>
  <c r="AC146" i="18"/>
  <c r="AB146" i="18"/>
  <c r="AE145" i="18"/>
  <c r="AD145" i="18"/>
  <c r="AC145" i="18"/>
  <c r="AB145" i="18"/>
  <c r="AE144" i="18"/>
  <c r="AD144" i="18"/>
  <c r="AC144" i="18"/>
  <c r="AB144" i="18"/>
  <c r="AE143" i="18"/>
  <c r="AD143" i="18"/>
  <c r="AC143" i="18"/>
  <c r="AB143" i="18"/>
  <c r="AE142" i="18"/>
  <c r="AD142" i="18"/>
  <c r="AC142" i="18"/>
  <c r="AB142" i="18"/>
  <c r="AE141" i="18"/>
  <c r="AD141" i="18"/>
  <c r="AC141" i="18"/>
  <c r="AB141" i="18"/>
  <c r="AE140" i="18"/>
  <c r="AD140" i="18"/>
  <c r="AC140" i="18"/>
  <c r="AB140" i="18"/>
  <c r="AE139" i="18"/>
  <c r="AD139" i="18"/>
  <c r="AC139" i="18"/>
  <c r="AB139" i="18"/>
  <c r="AE138" i="18"/>
  <c r="AD138" i="18"/>
  <c r="AC138" i="18"/>
  <c r="AB138" i="18"/>
  <c r="AE137" i="18"/>
  <c r="AD137" i="18"/>
  <c r="AC137" i="18"/>
  <c r="AB137" i="18"/>
  <c r="AE136" i="18"/>
  <c r="AD136" i="18"/>
  <c r="AC136" i="18"/>
  <c r="AB136" i="18"/>
  <c r="AE135" i="18"/>
  <c r="AD135" i="18"/>
  <c r="AC135" i="18"/>
  <c r="AB135" i="18"/>
  <c r="AE134" i="18"/>
  <c r="AD134" i="18"/>
  <c r="AC134" i="18"/>
  <c r="AB134" i="18"/>
  <c r="AE133" i="18"/>
  <c r="AD133" i="18"/>
  <c r="AC133" i="18"/>
  <c r="AB133" i="18"/>
  <c r="AE132" i="18"/>
  <c r="AD132" i="18"/>
  <c r="AC132" i="18"/>
  <c r="AB132" i="18"/>
  <c r="AE131" i="18"/>
  <c r="AD131" i="18"/>
  <c r="AC131" i="18"/>
  <c r="AB131" i="18"/>
  <c r="AE130" i="18"/>
  <c r="AD130" i="18"/>
  <c r="AC130" i="18"/>
  <c r="AB130" i="18"/>
  <c r="AE129" i="18"/>
  <c r="AD129" i="18"/>
  <c r="AC129" i="18"/>
  <c r="AB129" i="18"/>
  <c r="AE128" i="18"/>
  <c r="AD128" i="18"/>
  <c r="AC128" i="18"/>
  <c r="AB128" i="18"/>
  <c r="AE127" i="18"/>
  <c r="AD127" i="18"/>
  <c r="AC127" i="18"/>
  <c r="AB127" i="18"/>
  <c r="AE126" i="18"/>
  <c r="AD126" i="18"/>
  <c r="AC126" i="18"/>
  <c r="AB126" i="18"/>
  <c r="AE125" i="18"/>
  <c r="AD125" i="18"/>
  <c r="AC125" i="18"/>
  <c r="AB125" i="18"/>
  <c r="AE124" i="18"/>
  <c r="AD124" i="18"/>
  <c r="AC124" i="18"/>
  <c r="AB124" i="18"/>
  <c r="AE123" i="18"/>
  <c r="AD123" i="18"/>
  <c r="AC123" i="18"/>
  <c r="AB123" i="18"/>
  <c r="AE122" i="18"/>
  <c r="AD122" i="18"/>
  <c r="AC122" i="18"/>
  <c r="AB122" i="18"/>
  <c r="AE121" i="18"/>
  <c r="AD121" i="18"/>
  <c r="AC121" i="18"/>
  <c r="AB121" i="18"/>
  <c r="AE120" i="18"/>
  <c r="AD120" i="18"/>
  <c r="AC120" i="18"/>
  <c r="AB120" i="18"/>
  <c r="AE119" i="18"/>
  <c r="AD119" i="18"/>
  <c r="AC119" i="18"/>
  <c r="AB119" i="18"/>
  <c r="AE118" i="18"/>
  <c r="AD118" i="18"/>
  <c r="AC118" i="18"/>
  <c r="AB118" i="18"/>
  <c r="AE117" i="18"/>
  <c r="AD117" i="18"/>
  <c r="AC117" i="18"/>
  <c r="AB117" i="18"/>
  <c r="AE116" i="18"/>
  <c r="AD116" i="18"/>
  <c r="AC116" i="18"/>
  <c r="AB116" i="18"/>
  <c r="AE115" i="18"/>
  <c r="AD115" i="18"/>
  <c r="AC115" i="18"/>
  <c r="AB115" i="18"/>
  <c r="AE114" i="18"/>
  <c r="AD114" i="18"/>
  <c r="AC114" i="18"/>
  <c r="AB114" i="18"/>
  <c r="AE113" i="18"/>
  <c r="AD113" i="18"/>
  <c r="AC113" i="18"/>
  <c r="AB113" i="18"/>
  <c r="AE112" i="18"/>
  <c r="AD112" i="18"/>
  <c r="AC112" i="18"/>
  <c r="AB112" i="18"/>
  <c r="AE111" i="18"/>
  <c r="AD111" i="18"/>
  <c r="AC111" i="18"/>
  <c r="AB111" i="18"/>
  <c r="AE110" i="18"/>
  <c r="AD110" i="18"/>
  <c r="AC110" i="18"/>
  <c r="AB110" i="18"/>
  <c r="AE109" i="18"/>
  <c r="AD109" i="18"/>
  <c r="AC109" i="18"/>
  <c r="AB109" i="18"/>
  <c r="AE108" i="18"/>
  <c r="AD108" i="18"/>
  <c r="AC108" i="18"/>
  <c r="AB108" i="18"/>
  <c r="AE107" i="18"/>
  <c r="AD107" i="18"/>
  <c r="AC107" i="18"/>
  <c r="AB107" i="18"/>
  <c r="AE106" i="18"/>
  <c r="AD106" i="18"/>
  <c r="AC106" i="18"/>
  <c r="AB106" i="18"/>
  <c r="AE105" i="18"/>
  <c r="AD105" i="18"/>
  <c r="AC105" i="18"/>
  <c r="AB105" i="18"/>
  <c r="AE104" i="18"/>
  <c r="AD104" i="18"/>
  <c r="AC104" i="18"/>
  <c r="AB104" i="18"/>
  <c r="AE103" i="18"/>
  <c r="AD103" i="18"/>
  <c r="AC103" i="18"/>
  <c r="AB103" i="18"/>
  <c r="AE102" i="18"/>
  <c r="AD102" i="18"/>
  <c r="AC102" i="18"/>
  <c r="AB102" i="18"/>
  <c r="AE101" i="18"/>
  <c r="AD101" i="18"/>
  <c r="AC101" i="18"/>
  <c r="AB101" i="18"/>
  <c r="AE100" i="18"/>
  <c r="AD100" i="18"/>
  <c r="AC100" i="18"/>
  <c r="AB100" i="18"/>
  <c r="AE99" i="18"/>
  <c r="AD99" i="18"/>
  <c r="AC99" i="18"/>
  <c r="AB99" i="18"/>
  <c r="AE98" i="18"/>
  <c r="AD98" i="18"/>
  <c r="AC98" i="18"/>
  <c r="AB98" i="18"/>
  <c r="AE97" i="18"/>
  <c r="AD97" i="18"/>
  <c r="AC97" i="18"/>
  <c r="AB97" i="18"/>
  <c r="AE96" i="18"/>
  <c r="AD96" i="18"/>
  <c r="AC96" i="18"/>
  <c r="AB96" i="18"/>
  <c r="AC68" i="18"/>
  <c r="AB69" i="18"/>
  <c r="AB73" i="18"/>
  <c r="AC73" i="18"/>
  <c r="AB76" i="18"/>
  <c r="AC76" i="18"/>
  <c r="AB77" i="18"/>
  <c r="AC77" i="18"/>
  <c r="AB78" i="18"/>
  <c r="AC78" i="18"/>
  <c r="AB79" i="18"/>
  <c r="AC79" i="18"/>
  <c r="AB80" i="18"/>
  <c r="AC80" i="18"/>
  <c r="AB81" i="18"/>
  <c r="AC81" i="18"/>
  <c r="AB82" i="18"/>
  <c r="AC82" i="18"/>
  <c r="AB83" i="18"/>
  <c r="AC83" i="18"/>
  <c r="AB84" i="18"/>
  <c r="AC84" i="18"/>
  <c r="AC85" i="18"/>
  <c r="AB86" i="18"/>
  <c r="AC86" i="18"/>
  <c r="AB87" i="18"/>
  <c r="AC87" i="18"/>
  <c r="AB88" i="18"/>
  <c r="AC88" i="18"/>
  <c r="AB89" i="18"/>
  <c r="AC89" i="18"/>
  <c r="AB90" i="18"/>
  <c r="AC90" i="18"/>
  <c r="AB91" i="18"/>
  <c r="AC91" i="18"/>
  <c r="AB92" i="18"/>
  <c r="AC92" i="18"/>
  <c r="AB93" i="18"/>
  <c r="AC93" i="18"/>
  <c r="AB94" i="18"/>
  <c r="AC94" i="18"/>
  <c r="AB95" i="18"/>
  <c r="AC95" i="18"/>
  <c r="AD68" i="18"/>
  <c r="AD69" i="18"/>
  <c r="AD76" i="18"/>
  <c r="AD77" i="18"/>
  <c r="AD78" i="18"/>
  <c r="AD79" i="18"/>
  <c r="AD80" i="18"/>
  <c r="AD81" i="18"/>
  <c r="AD82" i="18"/>
  <c r="AD83" i="18"/>
  <c r="AD84" i="18"/>
  <c r="AD85" i="18"/>
  <c r="AD86" i="18"/>
  <c r="AD87" i="18"/>
  <c r="AD88" i="18"/>
  <c r="AD89" i="18"/>
  <c r="AD90" i="18"/>
  <c r="AD91" i="18"/>
  <c r="AD92" i="18"/>
  <c r="AD93" i="18"/>
  <c r="AD94" i="18"/>
  <c r="AD95" i="18"/>
  <c r="AE69" i="18"/>
  <c r="AE70" i="18"/>
  <c r="AE76" i="18"/>
  <c r="AE77" i="18"/>
  <c r="AE78" i="18"/>
  <c r="AE79" i="18"/>
  <c r="AE80" i="18"/>
  <c r="AE81" i="18"/>
  <c r="AE82" i="18"/>
  <c r="AE83" i="18"/>
  <c r="AE84" i="18"/>
  <c r="AE85" i="18"/>
  <c r="AE86" i="18"/>
  <c r="AE87" i="18"/>
  <c r="AE88" i="18"/>
  <c r="AE89" i="18"/>
  <c r="AE90" i="18"/>
  <c r="AE91" i="18"/>
  <c r="AE92" i="18"/>
  <c r="AE93" i="18"/>
  <c r="AE94" i="18"/>
  <c r="AE95" i="18"/>
  <c r="AI5" i="18"/>
  <c r="AI205" i="19"/>
  <c r="AH205" i="19"/>
  <c r="AG205" i="19"/>
  <c r="AF205" i="19"/>
  <c r="AE205" i="19"/>
  <c r="AD205" i="19"/>
  <c r="AC205" i="19"/>
  <c r="AB205" i="19"/>
  <c r="AI204" i="19"/>
  <c r="AH204" i="19"/>
  <c r="AG204" i="19"/>
  <c r="AF204" i="19"/>
  <c r="AE204" i="19"/>
  <c r="AD204" i="19"/>
  <c r="AC204" i="19"/>
  <c r="AB204" i="19"/>
  <c r="AI203" i="19"/>
  <c r="AH203" i="19"/>
  <c r="AG203" i="19"/>
  <c r="AF203" i="19"/>
  <c r="AE203" i="19"/>
  <c r="AD203" i="19"/>
  <c r="AC203" i="19"/>
  <c r="AB203" i="19"/>
  <c r="AI202" i="19"/>
  <c r="AH202" i="19"/>
  <c r="AG202" i="19"/>
  <c r="AF202" i="19"/>
  <c r="AE202" i="19"/>
  <c r="AD202" i="19"/>
  <c r="AC202" i="19"/>
  <c r="AB202" i="19"/>
  <c r="AI201" i="19"/>
  <c r="AH201" i="19"/>
  <c r="AG201" i="19"/>
  <c r="AF201" i="19"/>
  <c r="AE201" i="19"/>
  <c r="AD201" i="19"/>
  <c r="AC201" i="19"/>
  <c r="AB201" i="19"/>
  <c r="AI200" i="19"/>
  <c r="AH200" i="19"/>
  <c r="AG200" i="19"/>
  <c r="AF200" i="19"/>
  <c r="AE200" i="19"/>
  <c r="AD200" i="19"/>
  <c r="AC200" i="19"/>
  <c r="AB200" i="19"/>
  <c r="AI199" i="19"/>
  <c r="AH199" i="19"/>
  <c r="AG199" i="19"/>
  <c r="AF199" i="19"/>
  <c r="AE199" i="19"/>
  <c r="AD199" i="19"/>
  <c r="AC199" i="19"/>
  <c r="AB199" i="19"/>
  <c r="AI198" i="19"/>
  <c r="AH198" i="19"/>
  <c r="AG198" i="19"/>
  <c r="AF198" i="19"/>
  <c r="AE198" i="19"/>
  <c r="AD198" i="19"/>
  <c r="AC198" i="19"/>
  <c r="AB198" i="19"/>
  <c r="AI197" i="19"/>
  <c r="AH197" i="19"/>
  <c r="AG197" i="19"/>
  <c r="AF197" i="19"/>
  <c r="AE197" i="19"/>
  <c r="AD197" i="19"/>
  <c r="AC197" i="19"/>
  <c r="AB197" i="19"/>
  <c r="AI196" i="19"/>
  <c r="AH196" i="19"/>
  <c r="AG196" i="19"/>
  <c r="AF196" i="19"/>
  <c r="AE196" i="19"/>
  <c r="AD196" i="19"/>
  <c r="AC196" i="19"/>
  <c r="AB196" i="19"/>
  <c r="AI195" i="19"/>
  <c r="AH195" i="19"/>
  <c r="AG195" i="19"/>
  <c r="AF195" i="19"/>
  <c r="AE195" i="19"/>
  <c r="AD195" i="19"/>
  <c r="AC195" i="19"/>
  <c r="AB195" i="19"/>
  <c r="AI194" i="19"/>
  <c r="AH194" i="19"/>
  <c r="AG194" i="19"/>
  <c r="AF194" i="19"/>
  <c r="AE194" i="19"/>
  <c r="AD194" i="19"/>
  <c r="AC194" i="19"/>
  <c r="AB194" i="19"/>
  <c r="AI193" i="19"/>
  <c r="AH193" i="19"/>
  <c r="AG193" i="19"/>
  <c r="AF193" i="19"/>
  <c r="AE193" i="19"/>
  <c r="AD193" i="19"/>
  <c r="AC193" i="19"/>
  <c r="AB193" i="19"/>
  <c r="AI192" i="19"/>
  <c r="AH192" i="19"/>
  <c r="AG192" i="19"/>
  <c r="AF192" i="19"/>
  <c r="AE192" i="19"/>
  <c r="AD192" i="19"/>
  <c r="AC192" i="19"/>
  <c r="AB192" i="19"/>
  <c r="AI191" i="19"/>
  <c r="AH191" i="19"/>
  <c r="AG191" i="19"/>
  <c r="AF191" i="19"/>
  <c r="AE191" i="19"/>
  <c r="AD191" i="19"/>
  <c r="AC191" i="19"/>
  <c r="AB191" i="19"/>
  <c r="AI190" i="19"/>
  <c r="AH190" i="19"/>
  <c r="AG190" i="19"/>
  <c r="AF190" i="19"/>
  <c r="AE190" i="19"/>
  <c r="AD190" i="19"/>
  <c r="AC190" i="19"/>
  <c r="AB190" i="19"/>
  <c r="AI189" i="19"/>
  <c r="AH189" i="19"/>
  <c r="AG189" i="19"/>
  <c r="AF189" i="19"/>
  <c r="AE189" i="19"/>
  <c r="AD189" i="19"/>
  <c r="AC189" i="19"/>
  <c r="AB189" i="19"/>
  <c r="AI188" i="19"/>
  <c r="AH188" i="19"/>
  <c r="AG188" i="19"/>
  <c r="AF188" i="19"/>
  <c r="AE188" i="19"/>
  <c r="AD188" i="19"/>
  <c r="AC188" i="19"/>
  <c r="AB188" i="19"/>
  <c r="AI187" i="19"/>
  <c r="AH187" i="19"/>
  <c r="AG187" i="19"/>
  <c r="AF187" i="19"/>
  <c r="AE187" i="19"/>
  <c r="AD187" i="19"/>
  <c r="AC187" i="19"/>
  <c r="AB187" i="19"/>
  <c r="AI186" i="19"/>
  <c r="AH186" i="19"/>
  <c r="AG186" i="19"/>
  <c r="AF186" i="19"/>
  <c r="AE186" i="19"/>
  <c r="AD186" i="19"/>
  <c r="AC186" i="19"/>
  <c r="AB186" i="19"/>
  <c r="AI185" i="19"/>
  <c r="AH185" i="19"/>
  <c r="AG185" i="19"/>
  <c r="AF185" i="19"/>
  <c r="AE185" i="19"/>
  <c r="AD185" i="19"/>
  <c r="AC185" i="19"/>
  <c r="AB185" i="19"/>
  <c r="AI184" i="19"/>
  <c r="AH184" i="19"/>
  <c r="AG184" i="19"/>
  <c r="AF184" i="19"/>
  <c r="AE184" i="19"/>
  <c r="AD184" i="19"/>
  <c r="AC184" i="19"/>
  <c r="AB184" i="19"/>
  <c r="AI183" i="19"/>
  <c r="AH183" i="19"/>
  <c r="AG183" i="19"/>
  <c r="AF183" i="19"/>
  <c r="AE183" i="19"/>
  <c r="AD183" i="19"/>
  <c r="AC183" i="19"/>
  <c r="AB183" i="19"/>
  <c r="AI182" i="19"/>
  <c r="AH182" i="19"/>
  <c r="AG182" i="19"/>
  <c r="AF182" i="19"/>
  <c r="AE182" i="19"/>
  <c r="AD182" i="19"/>
  <c r="AC182" i="19"/>
  <c r="AB182" i="19"/>
  <c r="AI181" i="19"/>
  <c r="AH181" i="19"/>
  <c r="AG181" i="19"/>
  <c r="AF181" i="19"/>
  <c r="AE181" i="19"/>
  <c r="AD181" i="19"/>
  <c r="AC181" i="19"/>
  <c r="AB181" i="19"/>
  <c r="AI180" i="19"/>
  <c r="AH180" i="19"/>
  <c r="AG180" i="19"/>
  <c r="AF180" i="19"/>
  <c r="AE180" i="19"/>
  <c r="AD180" i="19"/>
  <c r="AC180" i="19"/>
  <c r="AB180" i="19"/>
  <c r="AI179" i="19"/>
  <c r="AH179" i="19"/>
  <c r="AG179" i="19"/>
  <c r="AF179" i="19"/>
  <c r="AE179" i="19"/>
  <c r="AD179" i="19"/>
  <c r="AC179" i="19"/>
  <c r="AB179" i="19"/>
  <c r="AI178" i="19"/>
  <c r="AH178" i="19"/>
  <c r="AG178" i="19"/>
  <c r="AF178" i="19"/>
  <c r="AE178" i="19"/>
  <c r="AD178" i="19"/>
  <c r="AC178" i="19"/>
  <c r="AB178" i="19"/>
  <c r="AI177" i="19"/>
  <c r="AH177" i="19"/>
  <c r="AG177" i="19"/>
  <c r="AF177" i="19"/>
  <c r="AE177" i="19"/>
  <c r="AD177" i="19"/>
  <c r="AC177" i="19"/>
  <c r="AB177" i="19"/>
  <c r="AI176" i="19"/>
  <c r="AH176" i="19"/>
  <c r="AG176" i="19"/>
  <c r="AF176" i="19"/>
  <c r="AE176" i="19"/>
  <c r="AD176" i="19"/>
  <c r="AC176" i="19"/>
  <c r="AB176" i="19"/>
  <c r="AI175" i="19"/>
  <c r="AH175" i="19"/>
  <c r="AG175" i="19"/>
  <c r="AF175" i="19"/>
  <c r="AE175" i="19"/>
  <c r="AD175" i="19"/>
  <c r="AC175" i="19"/>
  <c r="AB175" i="19"/>
  <c r="AI174" i="19"/>
  <c r="AH174" i="19"/>
  <c r="AG174" i="19"/>
  <c r="AF174" i="19"/>
  <c r="AE174" i="19"/>
  <c r="AD174" i="19"/>
  <c r="AC174" i="19"/>
  <c r="AB174" i="19"/>
  <c r="AI173" i="19"/>
  <c r="AH173" i="19"/>
  <c r="AG173" i="19"/>
  <c r="AF173" i="19"/>
  <c r="AE173" i="19"/>
  <c r="AD173" i="19"/>
  <c r="AC173" i="19"/>
  <c r="AB173" i="19"/>
  <c r="AI172" i="19"/>
  <c r="AH172" i="19"/>
  <c r="AG172" i="19"/>
  <c r="AF172" i="19"/>
  <c r="AE172" i="19"/>
  <c r="AD172" i="19"/>
  <c r="AC172" i="19"/>
  <c r="AB172" i="19"/>
  <c r="AI171" i="19"/>
  <c r="AH171" i="19"/>
  <c r="AG171" i="19"/>
  <c r="AF171" i="19"/>
  <c r="AE171" i="19"/>
  <c r="AD171" i="19"/>
  <c r="AC171" i="19"/>
  <c r="AB171" i="19"/>
  <c r="AI170" i="19"/>
  <c r="AH170" i="19"/>
  <c r="AG170" i="19"/>
  <c r="AF170" i="19"/>
  <c r="AE170" i="19"/>
  <c r="AD170" i="19"/>
  <c r="AC170" i="19"/>
  <c r="AB170" i="19"/>
  <c r="AI169" i="19"/>
  <c r="AH169" i="19"/>
  <c r="AG169" i="19"/>
  <c r="AF169" i="19"/>
  <c r="AE169" i="19"/>
  <c r="AD169" i="19"/>
  <c r="AC169" i="19"/>
  <c r="AB169" i="19"/>
  <c r="AI168" i="19"/>
  <c r="AH168" i="19"/>
  <c r="AG168" i="19"/>
  <c r="AF168" i="19"/>
  <c r="AE168" i="19"/>
  <c r="AD168" i="19"/>
  <c r="AC168" i="19"/>
  <c r="AB168" i="19"/>
  <c r="AI167" i="19"/>
  <c r="AH167" i="19"/>
  <c r="AG167" i="19"/>
  <c r="AF167" i="19"/>
  <c r="AE167" i="19"/>
  <c r="AD167" i="19"/>
  <c r="AC167" i="19"/>
  <c r="AB167" i="19"/>
  <c r="AI166" i="19"/>
  <c r="AH166" i="19"/>
  <c r="AG166" i="19"/>
  <c r="AF166" i="19"/>
  <c r="AE166" i="19"/>
  <c r="AD166" i="19"/>
  <c r="AC166" i="19"/>
  <c r="AB166" i="19"/>
  <c r="AI165" i="19"/>
  <c r="AH165" i="19"/>
  <c r="AG165" i="19"/>
  <c r="AF165" i="19"/>
  <c r="AE165" i="19"/>
  <c r="AD165" i="19"/>
  <c r="AC165" i="19"/>
  <c r="AB165" i="19"/>
  <c r="AI164" i="19"/>
  <c r="AH164" i="19"/>
  <c r="AG164" i="19"/>
  <c r="AF164" i="19"/>
  <c r="AE164" i="19"/>
  <c r="AD164" i="19"/>
  <c r="AC164" i="19"/>
  <c r="AB164" i="19"/>
  <c r="AI163" i="19"/>
  <c r="AH163" i="19"/>
  <c r="AG163" i="19"/>
  <c r="AF163" i="19"/>
  <c r="AE163" i="19"/>
  <c r="AD163" i="19"/>
  <c r="AC163" i="19"/>
  <c r="AB163" i="19"/>
  <c r="AI162" i="19"/>
  <c r="AH162" i="19"/>
  <c r="AG162" i="19"/>
  <c r="AF162" i="19"/>
  <c r="AE162" i="19"/>
  <c r="AD162" i="19"/>
  <c r="AC162" i="19"/>
  <c r="AB162" i="19"/>
  <c r="AI161" i="19"/>
  <c r="AH161" i="19"/>
  <c r="AG161" i="19"/>
  <c r="AF161" i="19"/>
  <c r="AE161" i="19"/>
  <c r="AD161" i="19"/>
  <c r="AC161" i="19"/>
  <c r="AB161" i="19"/>
  <c r="AI160" i="19"/>
  <c r="AH160" i="19"/>
  <c r="AG160" i="19"/>
  <c r="AF160" i="19"/>
  <c r="AE160" i="19"/>
  <c r="AD160" i="19"/>
  <c r="AC160" i="19"/>
  <c r="AB160" i="19"/>
  <c r="AI159" i="19"/>
  <c r="AH159" i="19"/>
  <c r="AG159" i="19"/>
  <c r="AF159" i="19"/>
  <c r="AE159" i="19"/>
  <c r="AD159" i="19"/>
  <c r="AC159" i="19"/>
  <c r="AB159" i="19"/>
  <c r="AI158" i="19"/>
  <c r="AH158" i="19"/>
  <c r="AG158" i="19"/>
  <c r="AF158" i="19"/>
  <c r="AE158" i="19"/>
  <c r="AD158" i="19"/>
  <c r="AC158" i="19"/>
  <c r="AB158" i="19"/>
  <c r="AI157" i="19"/>
  <c r="AH157" i="19"/>
  <c r="AG157" i="19"/>
  <c r="AF157" i="19"/>
  <c r="AE157" i="19"/>
  <c r="AD157" i="19"/>
  <c r="AC157" i="19"/>
  <c r="AB157" i="19"/>
  <c r="AI156" i="19"/>
  <c r="AH156" i="19"/>
  <c r="AG156" i="19"/>
  <c r="AF156" i="19"/>
  <c r="AE156" i="19"/>
  <c r="AD156" i="19"/>
  <c r="AC156" i="19"/>
  <c r="AB156" i="19"/>
  <c r="AI155" i="19"/>
  <c r="AH155" i="19"/>
  <c r="AG155" i="19"/>
  <c r="AF155" i="19"/>
  <c r="AE155" i="19"/>
  <c r="AD155" i="19"/>
  <c r="AC155" i="19"/>
  <c r="AB155" i="19"/>
  <c r="AI154" i="19"/>
  <c r="AH154" i="19"/>
  <c r="AG154" i="19"/>
  <c r="AF154" i="19"/>
  <c r="AE154" i="19"/>
  <c r="AD154" i="19"/>
  <c r="AC154" i="19"/>
  <c r="AB154" i="19"/>
  <c r="AI153" i="19"/>
  <c r="AH153" i="19"/>
  <c r="AG153" i="19"/>
  <c r="AF153" i="19"/>
  <c r="AE153" i="19"/>
  <c r="AD153" i="19"/>
  <c r="AC153" i="19"/>
  <c r="AB153" i="19"/>
  <c r="AI152" i="19"/>
  <c r="AH152" i="19"/>
  <c r="AG152" i="19"/>
  <c r="AF152" i="19"/>
  <c r="AE152" i="19"/>
  <c r="AD152" i="19"/>
  <c r="AC152" i="19"/>
  <c r="AB152" i="19"/>
  <c r="AI151" i="19"/>
  <c r="AH151" i="19"/>
  <c r="AG151" i="19"/>
  <c r="AF151" i="19"/>
  <c r="AE151" i="19"/>
  <c r="AD151" i="19"/>
  <c r="AC151" i="19"/>
  <c r="AB151" i="19"/>
  <c r="AI150" i="19"/>
  <c r="AH150" i="19"/>
  <c r="AG150" i="19"/>
  <c r="AF150" i="19"/>
  <c r="AE150" i="19"/>
  <c r="AD150" i="19"/>
  <c r="AC150" i="19"/>
  <c r="AB150" i="19"/>
  <c r="AI149" i="19"/>
  <c r="AH149" i="19"/>
  <c r="AG149" i="19"/>
  <c r="AF149" i="19"/>
  <c r="AE149" i="19"/>
  <c r="AD149" i="19"/>
  <c r="AC149" i="19"/>
  <c r="AB149" i="19"/>
  <c r="AI148" i="19"/>
  <c r="AH148" i="19"/>
  <c r="AG148" i="19"/>
  <c r="AF148" i="19"/>
  <c r="AE148" i="19"/>
  <c r="AD148" i="19"/>
  <c r="AC148" i="19"/>
  <c r="AB148" i="19"/>
  <c r="AI147" i="19"/>
  <c r="AH147" i="19"/>
  <c r="AG147" i="19"/>
  <c r="AF147" i="19"/>
  <c r="AE147" i="19"/>
  <c r="AD147" i="19"/>
  <c r="AC147" i="19"/>
  <c r="AB147" i="19"/>
  <c r="AI146" i="19"/>
  <c r="AH146" i="19"/>
  <c r="AG146" i="19"/>
  <c r="AF146" i="19"/>
  <c r="AE146" i="19"/>
  <c r="AD146" i="19"/>
  <c r="AC146" i="19"/>
  <c r="AB146" i="19"/>
  <c r="AI145" i="19"/>
  <c r="AH145" i="19"/>
  <c r="AG145" i="19"/>
  <c r="AF145" i="19"/>
  <c r="AE145" i="19"/>
  <c r="AD145" i="19"/>
  <c r="AC145" i="19"/>
  <c r="AB145" i="19"/>
  <c r="AI144" i="19"/>
  <c r="AH144" i="19"/>
  <c r="AG144" i="19"/>
  <c r="AF144" i="19"/>
  <c r="AE144" i="19"/>
  <c r="AD144" i="19"/>
  <c r="AC144" i="19"/>
  <c r="AB144" i="19"/>
  <c r="AI143" i="19"/>
  <c r="AH143" i="19"/>
  <c r="AG143" i="19"/>
  <c r="AF143" i="19"/>
  <c r="AE143" i="19"/>
  <c r="AD143" i="19"/>
  <c r="AC143" i="19"/>
  <c r="AB143" i="19"/>
  <c r="AI142" i="19"/>
  <c r="AH142" i="19"/>
  <c r="AG142" i="19"/>
  <c r="AF142" i="19"/>
  <c r="AE142" i="19"/>
  <c r="AD142" i="19"/>
  <c r="AC142" i="19"/>
  <c r="AB142" i="19"/>
  <c r="AI141" i="19"/>
  <c r="AH141" i="19"/>
  <c r="AG141" i="19"/>
  <c r="AF141" i="19"/>
  <c r="AE141" i="19"/>
  <c r="AD141" i="19"/>
  <c r="AC141" i="19"/>
  <c r="AB141" i="19"/>
  <c r="AI140" i="19"/>
  <c r="AH140" i="19"/>
  <c r="AG140" i="19"/>
  <c r="AF140" i="19"/>
  <c r="AE140" i="19"/>
  <c r="AD140" i="19"/>
  <c r="AC140" i="19"/>
  <c r="AB140" i="19"/>
  <c r="AI139" i="19"/>
  <c r="AH139" i="19"/>
  <c r="AG139" i="19"/>
  <c r="AF139" i="19"/>
  <c r="AE139" i="19"/>
  <c r="AD139" i="19"/>
  <c r="AC139" i="19"/>
  <c r="AB139" i="19"/>
  <c r="AI138" i="19"/>
  <c r="AH138" i="19"/>
  <c r="AG138" i="19"/>
  <c r="AF138" i="19"/>
  <c r="AE138" i="19"/>
  <c r="AD138" i="19"/>
  <c r="AC138" i="19"/>
  <c r="AB138" i="19"/>
  <c r="AI137" i="19"/>
  <c r="AH137" i="19"/>
  <c r="AG137" i="19"/>
  <c r="AF137" i="19"/>
  <c r="AE137" i="19"/>
  <c r="AD137" i="19"/>
  <c r="AC137" i="19"/>
  <c r="AB137" i="19"/>
  <c r="AI136" i="19"/>
  <c r="AH136" i="19"/>
  <c r="AG136" i="19"/>
  <c r="AF136" i="19"/>
  <c r="AE136" i="19"/>
  <c r="AD136" i="19"/>
  <c r="AC136" i="19"/>
  <c r="AB136" i="19"/>
  <c r="AI135" i="19"/>
  <c r="AH135" i="19"/>
  <c r="AG135" i="19"/>
  <c r="AF135" i="19"/>
  <c r="AE135" i="19"/>
  <c r="AD135" i="19"/>
  <c r="AC135" i="19"/>
  <c r="AB135" i="19"/>
  <c r="AI134" i="19"/>
  <c r="AH134" i="19"/>
  <c r="AG134" i="19"/>
  <c r="AF134" i="19"/>
  <c r="AE134" i="19"/>
  <c r="AD134" i="19"/>
  <c r="AC134" i="19"/>
  <c r="AB134" i="19"/>
  <c r="AI133" i="19"/>
  <c r="AH133" i="19"/>
  <c r="AG133" i="19"/>
  <c r="AF133" i="19"/>
  <c r="AE133" i="19"/>
  <c r="AD133" i="19"/>
  <c r="AC133" i="19"/>
  <c r="AB133" i="19"/>
  <c r="AI132" i="19"/>
  <c r="AH132" i="19"/>
  <c r="AG132" i="19"/>
  <c r="AF132" i="19"/>
  <c r="AE132" i="19"/>
  <c r="AD132" i="19"/>
  <c r="AC132" i="19"/>
  <c r="AB132" i="19"/>
  <c r="AI131" i="19"/>
  <c r="AH131" i="19"/>
  <c r="AG131" i="19"/>
  <c r="AF131" i="19"/>
  <c r="AE131" i="19"/>
  <c r="AD131" i="19"/>
  <c r="AC131" i="19"/>
  <c r="AB131" i="19"/>
  <c r="AI130" i="19"/>
  <c r="AH130" i="19"/>
  <c r="AG130" i="19"/>
  <c r="AF130" i="19"/>
  <c r="AE130" i="19"/>
  <c r="AD130" i="19"/>
  <c r="AC130" i="19"/>
  <c r="AB130" i="19"/>
  <c r="AI129" i="19"/>
  <c r="AH129" i="19"/>
  <c r="AG129" i="19"/>
  <c r="AF129" i="19"/>
  <c r="AE129" i="19"/>
  <c r="AD129" i="19"/>
  <c r="AC129" i="19"/>
  <c r="AB129" i="19"/>
  <c r="AI128" i="19"/>
  <c r="AH128" i="19"/>
  <c r="AG128" i="19"/>
  <c r="AF128" i="19"/>
  <c r="AE128" i="19"/>
  <c r="AD128" i="19"/>
  <c r="AC128" i="19"/>
  <c r="AB128" i="19"/>
  <c r="AI127" i="19"/>
  <c r="AH127" i="19"/>
  <c r="AG127" i="19"/>
  <c r="AF127" i="19"/>
  <c r="AE127" i="19"/>
  <c r="AD127" i="19"/>
  <c r="AC127" i="19"/>
  <c r="AB127" i="19"/>
  <c r="AI126" i="19"/>
  <c r="AH126" i="19"/>
  <c r="AG126" i="19"/>
  <c r="AF126" i="19"/>
  <c r="AE126" i="19"/>
  <c r="AD126" i="19"/>
  <c r="AC126" i="19"/>
  <c r="AB126" i="19"/>
  <c r="AI125" i="19"/>
  <c r="AH125" i="19"/>
  <c r="AG125" i="19"/>
  <c r="AF125" i="19"/>
  <c r="AE125" i="19"/>
  <c r="AD125" i="19"/>
  <c r="AC125" i="19"/>
  <c r="AB125" i="19"/>
  <c r="AI124" i="19"/>
  <c r="AH124" i="19"/>
  <c r="AG124" i="19"/>
  <c r="AF124" i="19"/>
  <c r="AE124" i="19"/>
  <c r="AD124" i="19"/>
  <c r="AC124" i="19"/>
  <c r="AB124" i="19"/>
  <c r="AI123" i="19"/>
  <c r="AH123" i="19"/>
  <c r="AG123" i="19"/>
  <c r="AF123" i="19"/>
  <c r="AE123" i="19"/>
  <c r="AD123" i="19"/>
  <c r="AC123" i="19"/>
  <c r="AB123" i="19"/>
  <c r="AI122" i="19"/>
  <c r="AH122" i="19"/>
  <c r="AG122" i="19"/>
  <c r="AF122" i="19"/>
  <c r="AE122" i="19"/>
  <c r="AD122" i="19"/>
  <c r="AC122" i="19"/>
  <c r="AB122" i="19"/>
  <c r="AI121" i="19"/>
  <c r="AH121" i="19"/>
  <c r="AG121" i="19"/>
  <c r="AF121" i="19"/>
  <c r="AE121" i="19"/>
  <c r="AD121" i="19"/>
  <c r="AC121" i="19"/>
  <c r="AB121" i="19"/>
  <c r="AI120" i="19"/>
  <c r="AH120" i="19"/>
  <c r="AG120" i="19"/>
  <c r="AF120" i="19"/>
  <c r="AE120" i="19"/>
  <c r="AD120" i="19"/>
  <c r="AC120" i="19"/>
  <c r="AB120" i="19"/>
  <c r="AI119" i="19"/>
  <c r="AH119" i="19"/>
  <c r="AG119" i="19"/>
  <c r="AF119" i="19"/>
  <c r="AE119" i="19"/>
  <c r="AD119" i="19"/>
  <c r="AC119" i="19"/>
  <c r="AB119" i="19"/>
  <c r="AI118" i="19"/>
  <c r="AH118" i="19"/>
  <c r="AG118" i="19"/>
  <c r="AF118" i="19"/>
  <c r="AE118" i="19"/>
  <c r="AD118" i="19"/>
  <c r="AC118" i="19"/>
  <c r="AB118" i="19"/>
  <c r="AI117" i="19"/>
  <c r="AH117" i="19"/>
  <c r="AG117" i="19"/>
  <c r="AF117" i="19"/>
  <c r="AE117" i="19"/>
  <c r="AD117" i="19"/>
  <c r="AC117" i="19"/>
  <c r="AB117" i="19"/>
  <c r="AI116" i="19"/>
  <c r="AH116" i="19"/>
  <c r="AG116" i="19"/>
  <c r="AF116" i="19"/>
  <c r="AE116" i="19"/>
  <c r="AD116" i="19"/>
  <c r="AC116" i="19"/>
  <c r="AB116" i="19"/>
  <c r="AI115" i="19"/>
  <c r="AH115" i="19"/>
  <c r="AG115" i="19"/>
  <c r="AF115" i="19"/>
  <c r="AE115" i="19"/>
  <c r="AD115" i="19"/>
  <c r="AC115" i="19"/>
  <c r="AB115" i="19"/>
  <c r="AI114" i="19"/>
  <c r="AH114" i="19"/>
  <c r="AG114" i="19"/>
  <c r="AF114" i="19"/>
  <c r="AE114" i="19"/>
  <c r="AD114" i="19"/>
  <c r="AC114" i="19"/>
  <c r="AB114" i="19"/>
  <c r="AI113" i="19"/>
  <c r="AH113" i="19"/>
  <c r="AG113" i="19"/>
  <c r="AF113" i="19"/>
  <c r="AE113" i="19"/>
  <c r="AD113" i="19"/>
  <c r="AC113" i="19"/>
  <c r="AB113" i="19"/>
  <c r="AI112" i="19"/>
  <c r="AH112" i="19"/>
  <c r="AG112" i="19"/>
  <c r="AF112" i="19"/>
  <c r="AE112" i="19"/>
  <c r="AD112" i="19"/>
  <c r="AC112" i="19"/>
  <c r="AB112" i="19"/>
  <c r="AI111" i="19"/>
  <c r="AH111" i="19"/>
  <c r="AG111" i="19"/>
  <c r="AF111" i="19"/>
  <c r="AE111" i="19"/>
  <c r="AD111" i="19"/>
  <c r="AC111" i="19"/>
  <c r="AB111" i="19"/>
  <c r="AI110" i="19"/>
  <c r="AH110" i="19"/>
  <c r="AG110" i="19"/>
  <c r="AF110" i="19"/>
  <c r="AE110" i="19"/>
  <c r="AD110" i="19"/>
  <c r="AC110" i="19"/>
  <c r="AB110" i="19"/>
  <c r="AI109" i="19"/>
  <c r="AH109" i="19"/>
  <c r="AG109" i="19"/>
  <c r="AF109" i="19"/>
  <c r="AE109" i="19"/>
  <c r="AD109" i="19"/>
  <c r="AC109" i="19"/>
  <c r="AB109" i="19"/>
  <c r="AI108" i="19"/>
  <c r="AH108" i="19"/>
  <c r="AG108" i="19"/>
  <c r="AF108" i="19"/>
  <c r="AE108" i="19"/>
  <c r="AD108" i="19"/>
  <c r="AC108" i="19"/>
  <c r="AB108" i="19"/>
  <c r="AI107" i="19"/>
  <c r="AH107" i="19"/>
  <c r="AG107" i="19"/>
  <c r="AF107" i="19"/>
  <c r="AE107" i="19"/>
  <c r="AD107" i="19"/>
  <c r="AC107" i="19"/>
  <c r="AB107" i="19"/>
  <c r="AI106" i="19"/>
  <c r="AH106" i="19"/>
  <c r="AG106" i="19"/>
  <c r="AF106" i="19"/>
  <c r="AE106" i="19"/>
  <c r="AD106" i="19"/>
  <c r="AC106" i="19"/>
  <c r="AB106" i="19"/>
  <c r="AI105" i="19"/>
  <c r="AH105" i="19"/>
  <c r="AG105" i="19"/>
  <c r="AF105" i="19"/>
  <c r="AE105" i="19"/>
  <c r="AD105" i="19"/>
  <c r="AC105" i="19"/>
  <c r="AB105" i="19"/>
  <c r="AI104" i="19"/>
  <c r="AH104" i="19"/>
  <c r="AG104" i="19"/>
  <c r="AF104" i="19"/>
  <c r="AE104" i="19"/>
  <c r="AD104" i="19"/>
  <c r="AC104" i="19"/>
  <c r="AB104" i="19"/>
  <c r="AI103" i="19"/>
  <c r="AH103" i="19"/>
  <c r="AG103" i="19"/>
  <c r="AF103" i="19"/>
  <c r="AE103" i="19"/>
  <c r="AD103" i="19"/>
  <c r="AC103" i="19"/>
  <c r="AB103" i="19"/>
  <c r="AI102" i="19"/>
  <c r="AH102" i="19"/>
  <c r="AG102" i="19"/>
  <c r="AF102" i="19"/>
  <c r="AE102" i="19"/>
  <c r="AD102" i="19"/>
  <c r="AC102" i="19"/>
  <c r="AB102" i="19"/>
  <c r="AI101" i="19"/>
  <c r="AH101" i="19"/>
  <c r="AG101" i="19"/>
  <c r="AF101" i="19"/>
  <c r="AE101" i="19"/>
  <c r="AD101" i="19"/>
  <c r="AC101" i="19"/>
  <c r="AB101" i="19"/>
  <c r="AI100" i="19"/>
  <c r="AH100" i="19"/>
  <c r="AG100" i="19"/>
  <c r="AF100" i="19"/>
  <c r="AE100" i="19"/>
  <c r="AD100" i="19"/>
  <c r="AC100" i="19"/>
  <c r="AB100" i="19"/>
  <c r="AI99" i="19"/>
  <c r="AH99" i="19"/>
  <c r="AG99" i="19"/>
  <c r="AF99" i="19"/>
  <c r="AE99" i="19"/>
  <c r="AD99" i="19"/>
  <c r="AC99" i="19"/>
  <c r="AB99" i="19"/>
  <c r="AI98" i="19"/>
  <c r="AH98" i="19"/>
  <c r="AG98" i="19"/>
  <c r="AF98" i="19"/>
  <c r="AE98" i="19"/>
  <c r="AD98" i="19"/>
  <c r="AC98" i="19"/>
  <c r="AB98" i="19"/>
  <c r="AI97" i="19"/>
  <c r="AH97" i="19"/>
  <c r="AG97" i="19"/>
  <c r="AF97" i="19"/>
  <c r="AE97" i="19"/>
  <c r="AD97" i="19"/>
  <c r="AC97" i="19"/>
  <c r="AB97" i="19"/>
  <c r="AI96" i="19"/>
  <c r="AH96" i="19"/>
  <c r="AG96" i="19"/>
  <c r="AF96" i="19"/>
  <c r="AE96" i="19"/>
  <c r="AD96" i="19"/>
  <c r="AC96" i="19"/>
  <c r="AB96" i="19"/>
  <c r="F19" i="19"/>
  <c r="S5" i="19" s="1"/>
  <c r="AI5" i="19"/>
  <c r="B77" i="27"/>
  <c r="AI205" i="26"/>
  <c r="AH205" i="26"/>
  <c r="AG205" i="26"/>
  <c r="AF205" i="26"/>
  <c r="AE205" i="26"/>
  <c r="AD205" i="26"/>
  <c r="AC205" i="26"/>
  <c r="AB205" i="26"/>
  <c r="AI204" i="26"/>
  <c r="AH204" i="26"/>
  <c r="AG204" i="26"/>
  <c r="AF204" i="26"/>
  <c r="AE204" i="26"/>
  <c r="AD204" i="26"/>
  <c r="AC204" i="26"/>
  <c r="AB204" i="26"/>
  <c r="AI203" i="26"/>
  <c r="AH203" i="26"/>
  <c r="AG203" i="26"/>
  <c r="AF203" i="26"/>
  <c r="AE203" i="26"/>
  <c r="AD203" i="26"/>
  <c r="AC203" i="26"/>
  <c r="AB203" i="26"/>
  <c r="AI202" i="26"/>
  <c r="AH202" i="26"/>
  <c r="AG202" i="26"/>
  <c r="AF202" i="26"/>
  <c r="AE202" i="26"/>
  <c r="AD202" i="26"/>
  <c r="AC202" i="26"/>
  <c r="AB202" i="26"/>
  <c r="AI201" i="26"/>
  <c r="AH201" i="26"/>
  <c r="AG201" i="26"/>
  <c r="AF201" i="26"/>
  <c r="AE201" i="26"/>
  <c r="AD201" i="26"/>
  <c r="AC201" i="26"/>
  <c r="AB201" i="26"/>
  <c r="AI200" i="26"/>
  <c r="AH200" i="26"/>
  <c r="AG200" i="26"/>
  <c r="AF200" i="26"/>
  <c r="AE200" i="26"/>
  <c r="AD200" i="26"/>
  <c r="AC200" i="26"/>
  <c r="AB200" i="26"/>
  <c r="AI199" i="26"/>
  <c r="AH199" i="26"/>
  <c r="AG199" i="26"/>
  <c r="AF199" i="26"/>
  <c r="AE199" i="26"/>
  <c r="AD199" i="26"/>
  <c r="AC199" i="26"/>
  <c r="AB199" i="26"/>
  <c r="AI198" i="26"/>
  <c r="AH198" i="26"/>
  <c r="AG198" i="26"/>
  <c r="AF198" i="26"/>
  <c r="AE198" i="26"/>
  <c r="AD198" i="26"/>
  <c r="AC198" i="26"/>
  <c r="AB198" i="26"/>
  <c r="AI197" i="26"/>
  <c r="AH197" i="26"/>
  <c r="AG197" i="26"/>
  <c r="AF197" i="26"/>
  <c r="AE197" i="26"/>
  <c r="AD197" i="26"/>
  <c r="AC197" i="26"/>
  <c r="AB197" i="26"/>
  <c r="AI196" i="26"/>
  <c r="AH196" i="26"/>
  <c r="AG196" i="26"/>
  <c r="AF196" i="26"/>
  <c r="AE196" i="26"/>
  <c r="AD196" i="26"/>
  <c r="AC196" i="26"/>
  <c r="AB196" i="26"/>
  <c r="AI195" i="26"/>
  <c r="AH195" i="26"/>
  <c r="AG195" i="26"/>
  <c r="AF195" i="26"/>
  <c r="AE195" i="26"/>
  <c r="AD195" i="26"/>
  <c r="AC195" i="26"/>
  <c r="AB195" i="26"/>
  <c r="AI194" i="26"/>
  <c r="AH194" i="26"/>
  <c r="AG194" i="26"/>
  <c r="AF194" i="26"/>
  <c r="AE194" i="26"/>
  <c r="AD194" i="26"/>
  <c r="AC194" i="26"/>
  <c r="AB194" i="26"/>
  <c r="AI193" i="26"/>
  <c r="AH193" i="26"/>
  <c r="AG193" i="26"/>
  <c r="AF193" i="26"/>
  <c r="AE193" i="26"/>
  <c r="AD193" i="26"/>
  <c r="AC193" i="26"/>
  <c r="AB193" i="26"/>
  <c r="AI192" i="26"/>
  <c r="AH192" i="26"/>
  <c r="AG192" i="26"/>
  <c r="AF192" i="26"/>
  <c r="AE192" i="26"/>
  <c r="AD192" i="26"/>
  <c r="AC192" i="26"/>
  <c r="AB192" i="26"/>
  <c r="AI191" i="26"/>
  <c r="AH191" i="26"/>
  <c r="AG191" i="26"/>
  <c r="AF191" i="26"/>
  <c r="AE191" i="26"/>
  <c r="AD191" i="26"/>
  <c r="AC191" i="26"/>
  <c r="AB191" i="26"/>
  <c r="AI190" i="26"/>
  <c r="AH190" i="26"/>
  <c r="AG190" i="26"/>
  <c r="AF190" i="26"/>
  <c r="AE190" i="26"/>
  <c r="AD190" i="26"/>
  <c r="AC190" i="26"/>
  <c r="AB190" i="26"/>
  <c r="AI189" i="26"/>
  <c r="AH189" i="26"/>
  <c r="AG189" i="26"/>
  <c r="AF189" i="26"/>
  <c r="AE189" i="26"/>
  <c r="AD189" i="26"/>
  <c r="AC189" i="26"/>
  <c r="AB189" i="26"/>
  <c r="AI188" i="26"/>
  <c r="AH188" i="26"/>
  <c r="AG188" i="26"/>
  <c r="AF188" i="26"/>
  <c r="AE188" i="26"/>
  <c r="AD188" i="26"/>
  <c r="AC188" i="26"/>
  <c r="AB188" i="26"/>
  <c r="AI187" i="26"/>
  <c r="AH187" i="26"/>
  <c r="AG187" i="26"/>
  <c r="AF187" i="26"/>
  <c r="AE187" i="26"/>
  <c r="AD187" i="26"/>
  <c r="AC187" i="26"/>
  <c r="AB187" i="26"/>
  <c r="AI186" i="26"/>
  <c r="AH186" i="26"/>
  <c r="AG186" i="26"/>
  <c r="AF186" i="26"/>
  <c r="AE186" i="26"/>
  <c r="AD186" i="26"/>
  <c r="AC186" i="26"/>
  <c r="AB186" i="26"/>
  <c r="AI185" i="26"/>
  <c r="AH185" i="26"/>
  <c r="AG185" i="26"/>
  <c r="AF185" i="26"/>
  <c r="AE185" i="26"/>
  <c r="AD185" i="26"/>
  <c r="AC185" i="26"/>
  <c r="AB185" i="26"/>
  <c r="AI184" i="26"/>
  <c r="AH184" i="26"/>
  <c r="AG184" i="26"/>
  <c r="AF184" i="26"/>
  <c r="AE184" i="26"/>
  <c r="AD184" i="26"/>
  <c r="AC184" i="26"/>
  <c r="AB184" i="26"/>
  <c r="AI183" i="26"/>
  <c r="AH183" i="26"/>
  <c r="AG183" i="26"/>
  <c r="AF183" i="26"/>
  <c r="AE183" i="26"/>
  <c r="AD183" i="26"/>
  <c r="AC183" i="26"/>
  <c r="AB183" i="26"/>
  <c r="AI182" i="26"/>
  <c r="AH182" i="26"/>
  <c r="AG182" i="26"/>
  <c r="AF182" i="26"/>
  <c r="AE182" i="26"/>
  <c r="AD182" i="26"/>
  <c r="AC182" i="26"/>
  <c r="AB182" i="26"/>
  <c r="AI181" i="26"/>
  <c r="AH181" i="26"/>
  <c r="AG181" i="26"/>
  <c r="AF181" i="26"/>
  <c r="AE181" i="26"/>
  <c r="AD181" i="26"/>
  <c r="AC181" i="26"/>
  <c r="AB181" i="26"/>
  <c r="AI180" i="26"/>
  <c r="AH180" i="26"/>
  <c r="AG180" i="26"/>
  <c r="AF180" i="26"/>
  <c r="AE180" i="26"/>
  <c r="AD180" i="26"/>
  <c r="AC180" i="26"/>
  <c r="AB180" i="26"/>
  <c r="AI179" i="26"/>
  <c r="AH179" i="26"/>
  <c r="AG179" i="26"/>
  <c r="AF179" i="26"/>
  <c r="AE179" i="26"/>
  <c r="AD179" i="26"/>
  <c r="AC179" i="26"/>
  <c r="AB179" i="26"/>
  <c r="AI178" i="26"/>
  <c r="AH178" i="26"/>
  <c r="AG178" i="26"/>
  <c r="AF178" i="26"/>
  <c r="AE178" i="26"/>
  <c r="AD178" i="26"/>
  <c r="AC178" i="26"/>
  <c r="AB178" i="26"/>
  <c r="AI177" i="26"/>
  <c r="AH177" i="26"/>
  <c r="AG177" i="26"/>
  <c r="AF177" i="26"/>
  <c r="AE177" i="26"/>
  <c r="AD177" i="26"/>
  <c r="AC177" i="26"/>
  <c r="AB177" i="26"/>
  <c r="AI176" i="26"/>
  <c r="AH176" i="26"/>
  <c r="AG176" i="26"/>
  <c r="AF176" i="26"/>
  <c r="AE176" i="26"/>
  <c r="AD176" i="26"/>
  <c r="AC176" i="26"/>
  <c r="AB176" i="26"/>
  <c r="AI175" i="26"/>
  <c r="AH175" i="26"/>
  <c r="AG175" i="26"/>
  <c r="AF175" i="26"/>
  <c r="AE175" i="26"/>
  <c r="AD175" i="26"/>
  <c r="AC175" i="26"/>
  <c r="AB175" i="26"/>
  <c r="AI174" i="26"/>
  <c r="AH174" i="26"/>
  <c r="AG174" i="26"/>
  <c r="AF174" i="26"/>
  <c r="AE174" i="26"/>
  <c r="AD174" i="26"/>
  <c r="AC174" i="26"/>
  <c r="AB174" i="26"/>
  <c r="AI173" i="26"/>
  <c r="AH173" i="26"/>
  <c r="AG173" i="26"/>
  <c r="AF173" i="26"/>
  <c r="AE173" i="26"/>
  <c r="AD173" i="26"/>
  <c r="AC173" i="26"/>
  <c r="AB173" i="26"/>
  <c r="AI172" i="26"/>
  <c r="AH172" i="26"/>
  <c r="AG172" i="26"/>
  <c r="AF172" i="26"/>
  <c r="AE172" i="26"/>
  <c r="AD172" i="26"/>
  <c r="AC172" i="26"/>
  <c r="AB172" i="26"/>
  <c r="AI171" i="26"/>
  <c r="AH171" i="26"/>
  <c r="AG171" i="26"/>
  <c r="AF171" i="26"/>
  <c r="AE171" i="26"/>
  <c r="AD171" i="26"/>
  <c r="AC171" i="26"/>
  <c r="AB171" i="26"/>
  <c r="AI170" i="26"/>
  <c r="AH170" i="26"/>
  <c r="AG170" i="26"/>
  <c r="AF170" i="26"/>
  <c r="AE170" i="26"/>
  <c r="AD170" i="26"/>
  <c r="AC170" i="26"/>
  <c r="AB170" i="26"/>
  <c r="AI169" i="26"/>
  <c r="AH169" i="26"/>
  <c r="AG169" i="26"/>
  <c r="AF169" i="26"/>
  <c r="AE169" i="26"/>
  <c r="AD169" i="26"/>
  <c r="AC169" i="26"/>
  <c r="AB169" i="26"/>
  <c r="AI168" i="26"/>
  <c r="AH168" i="26"/>
  <c r="AG168" i="26"/>
  <c r="AF168" i="26"/>
  <c r="AE168" i="26"/>
  <c r="AD168" i="26"/>
  <c r="AC168" i="26"/>
  <c r="AB168" i="26"/>
  <c r="AI167" i="26"/>
  <c r="AH167" i="26"/>
  <c r="AG167" i="26"/>
  <c r="AF167" i="26"/>
  <c r="AE167" i="26"/>
  <c r="AD167" i="26"/>
  <c r="AC167" i="26"/>
  <c r="AB167" i="26"/>
  <c r="AI166" i="26"/>
  <c r="AH166" i="26"/>
  <c r="AG166" i="26"/>
  <c r="AF166" i="26"/>
  <c r="AE166" i="26"/>
  <c r="AD166" i="26"/>
  <c r="AC166" i="26"/>
  <c r="AB166" i="26"/>
  <c r="AI165" i="26"/>
  <c r="AH165" i="26"/>
  <c r="AG165" i="26"/>
  <c r="AF165" i="26"/>
  <c r="AE165" i="26"/>
  <c r="AD165" i="26"/>
  <c r="AC165" i="26"/>
  <c r="AB165" i="26"/>
  <c r="AI164" i="26"/>
  <c r="AH164" i="26"/>
  <c r="AG164" i="26"/>
  <c r="AF164" i="26"/>
  <c r="AE164" i="26"/>
  <c r="AD164" i="26"/>
  <c r="AC164" i="26"/>
  <c r="AB164" i="26"/>
  <c r="AI163" i="26"/>
  <c r="AH163" i="26"/>
  <c r="AG163" i="26"/>
  <c r="AF163" i="26"/>
  <c r="AE163" i="26"/>
  <c r="AD163" i="26"/>
  <c r="AC163" i="26"/>
  <c r="AB163" i="26"/>
  <c r="AI162" i="26"/>
  <c r="AH162" i="26"/>
  <c r="AG162" i="26"/>
  <c r="AF162" i="26"/>
  <c r="AE162" i="26"/>
  <c r="AD162" i="26"/>
  <c r="AC162" i="26"/>
  <c r="AB162" i="26"/>
  <c r="AI161" i="26"/>
  <c r="AH161" i="26"/>
  <c r="AG161" i="26"/>
  <c r="AF161" i="26"/>
  <c r="AE161" i="26"/>
  <c r="AD161" i="26"/>
  <c r="AC161" i="26"/>
  <c r="AB161" i="26"/>
  <c r="AI160" i="26"/>
  <c r="AH160" i="26"/>
  <c r="AG160" i="26"/>
  <c r="AF160" i="26"/>
  <c r="AE160" i="26"/>
  <c r="AD160" i="26"/>
  <c r="AC160" i="26"/>
  <c r="AB160" i="26"/>
  <c r="AI159" i="26"/>
  <c r="AH159" i="26"/>
  <c r="AG159" i="26"/>
  <c r="AF159" i="26"/>
  <c r="AE159" i="26"/>
  <c r="AD159" i="26"/>
  <c r="AC159" i="26"/>
  <c r="AB159" i="26"/>
  <c r="AI158" i="26"/>
  <c r="AH158" i="26"/>
  <c r="AG158" i="26"/>
  <c r="AF158" i="26"/>
  <c r="AE158" i="26"/>
  <c r="AD158" i="26"/>
  <c r="AC158" i="26"/>
  <c r="AB158" i="26"/>
  <c r="AI157" i="26"/>
  <c r="AH157" i="26"/>
  <c r="AG157" i="26"/>
  <c r="AF157" i="26"/>
  <c r="AE157" i="26"/>
  <c r="AD157" i="26"/>
  <c r="AC157" i="26"/>
  <c r="AB157" i="26"/>
  <c r="AI156" i="26"/>
  <c r="AH156" i="26"/>
  <c r="AG156" i="26"/>
  <c r="AF156" i="26"/>
  <c r="AE156" i="26"/>
  <c r="AD156" i="26"/>
  <c r="AC156" i="26"/>
  <c r="AB156" i="26"/>
  <c r="AB23" i="26"/>
  <c r="AC23" i="26"/>
  <c r="AB26" i="26"/>
  <c r="AC26" i="26"/>
  <c r="AB29" i="26"/>
  <c r="AC29" i="26"/>
  <c r="AB35" i="26"/>
  <c r="AC35" i="26"/>
  <c r="AB41" i="26"/>
  <c r="AC41" i="26"/>
  <c r="AB47" i="26"/>
  <c r="AC47" i="26"/>
  <c r="AB53" i="26"/>
  <c r="AC53" i="26"/>
  <c r="AB65" i="26"/>
  <c r="AC65" i="26"/>
  <c r="AB66" i="26"/>
  <c r="AC66" i="26"/>
  <c r="AB67" i="26"/>
  <c r="AC67" i="26"/>
  <c r="AB68" i="26"/>
  <c r="AC68" i="26"/>
  <c r="AB69" i="26"/>
  <c r="AC69" i="26"/>
  <c r="AB70" i="26"/>
  <c r="AC70" i="26"/>
  <c r="AB71" i="26"/>
  <c r="AC71" i="26"/>
  <c r="AB72" i="26"/>
  <c r="AC72" i="26"/>
  <c r="AB73" i="26"/>
  <c r="AC73" i="26"/>
  <c r="AB74" i="26"/>
  <c r="AC74" i="26"/>
  <c r="AB75" i="26"/>
  <c r="AC75" i="26"/>
  <c r="AB76" i="26"/>
  <c r="AC76" i="26"/>
  <c r="AB77" i="26"/>
  <c r="AC77" i="26"/>
  <c r="AB78" i="26"/>
  <c r="AC78" i="26"/>
  <c r="AB79" i="26"/>
  <c r="AC79" i="26"/>
  <c r="AB80" i="26"/>
  <c r="AC80" i="26"/>
  <c r="AB81" i="26"/>
  <c r="AC81" i="26"/>
  <c r="AB82" i="26"/>
  <c r="AC82" i="26"/>
  <c r="AB83" i="26"/>
  <c r="AC83" i="26"/>
  <c r="AB84" i="26"/>
  <c r="AC84" i="26"/>
  <c r="AB85" i="26"/>
  <c r="AC85" i="26"/>
  <c r="AB86" i="26"/>
  <c r="AC86" i="26"/>
  <c r="AB87" i="26"/>
  <c r="AC87" i="26"/>
  <c r="AB88" i="26"/>
  <c r="AC88" i="26"/>
  <c r="AB89" i="26"/>
  <c r="AC89" i="26"/>
  <c r="AB90" i="26"/>
  <c r="AC90" i="26"/>
  <c r="AB91" i="26"/>
  <c r="AC91" i="26"/>
  <c r="AB92" i="26"/>
  <c r="AC92" i="26"/>
  <c r="AB93" i="26"/>
  <c r="AC93" i="26"/>
  <c r="AB94" i="26"/>
  <c r="AC94" i="26"/>
  <c r="AB95" i="26"/>
  <c r="AC95" i="26"/>
  <c r="AB96" i="26"/>
  <c r="AC96" i="26"/>
  <c r="AF96" i="26"/>
  <c r="AB97" i="26"/>
  <c r="AC97" i="26"/>
  <c r="AF97" i="26"/>
  <c r="AB98" i="26"/>
  <c r="AC98" i="26"/>
  <c r="AF98" i="26"/>
  <c r="AB99" i="26"/>
  <c r="AC99" i="26"/>
  <c r="AF99" i="26"/>
  <c r="AB100" i="26"/>
  <c r="AC100" i="26"/>
  <c r="AF100" i="26"/>
  <c r="AB101" i="26"/>
  <c r="AC101" i="26"/>
  <c r="AF101" i="26"/>
  <c r="AB102" i="26"/>
  <c r="AC102" i="26"/>
  <c r="AF102" i="26"/>
  <c r="AB103" i="26"/>
  <c r="AC103" i="26"/>
  <c r="AF103" i="26"/>
  <c r="AB104" i="26"/>
  <c r="AC104" i="26"/>
  <c r="AF104" i="26"/>
  <c r="AB105" i="26"/>
  <c r="AC105" i="26"/>
  <c r="AF105" i="26"/>
  <c r="AB106" i="26"/>
  <c r="AC106" i="26"/>
  <c r="AF106" i="26"/>
  <c r="AB107" i="26"/>
  <c r="AC107" i="26"/>
  <c r="AF107" i="26"/>
  <c r="AB108" i="26"/>
  <c r="AC108" i="26"/>
  <c r="AF108" i="26"/>
  <c r="AB109" i="26"/>
  <c r="AC109" i="26"/>
  <c r="AF109" i="26"/>
  <c r="AB110" i="26"/>
  <c r="AC110" i="26"/>
  <c r="AF110" i="26"/>
  <c r="AB111" i="26"/>
  <c r="AC111" i="26"/>
  <c r="AF111" i="26"/>
  <c r="AB112" i="26"/>
  <c r="AC112" i="26"/>
  <c r="AF112" i="26"/>
  <c r="AB113" i="26"/>
  <c r="AC113" i="26"/>
  <c r="AF113" i="26"/>
  <c r="AB114" i="26"/>
  <c r="AC114" i="26"/>
  <c r="AF114" i="26"/>
  <c r="AB115" i="26"/>
  <c r="AC115" i="26"/>
  <c r="AF115" i="26"/>
  <c r="AB116" i="26"/>
  <c r="AC116" i="26"/>
  <c r="AF116" i="26"/>
  <c r="AB117" i="26"/>
  <c r="AC117" i="26"/>
  <c r="AF117" i="26"/>
  <c r="AB118" i="26"/>
  <c r="AC118" i="26"/>
  <c r="AF118" i="26"/>
  <c r="AB119" i="26"/>
  <c r="AC119" i="26"/>
  <c r="AF119" i="26"/>
  <c r="AB120" i="26"/>
  <c r="AC120" i="26"/>
  <c r="AF120" i="26"/>
  <c r="AB121" i="26"/>
  <c r="AC121" i="26"/>
  <c r="AF121" i="26"/>
  <c r="AB122" i="26"/>
  <c r="AC122" i="26"/>
  <c r="AF122" i="26"/>
  <c r="AB123" i="26"/>
  <c r="AC123" i="26"/>
  <c r="AF123" i="26"/>
  <c r="AB124" i="26"/>
  <c r="AC124" i="26"/>
  <c r="AF124" i="26"/>
  <c r="AB125" i="26"/>
  <c r="AC125" i="26"/>
  <c r="AF125" i="26"/>
  <c r="AB126" i="26"/>
  <c r="AC126" i="26"/>
  <c r="AF126" i="26"/>
  <c r="AB127" i="26"/>
  <c r="AC127" i="26"/>
  <c r="AF127" i="26"/>
  <c r="AB128" i="26"/>
  <c r="AC128" i="26"/>
  <c r="AF128" i="26"/>
  <c r="AB129" i="26"/>
  <c r="AC129" i="26"/>
  <c r="AF129" i="26"/>
  <c r="AB130" i="26"/>
  <c r="AC130" i="26"/>
  <c r="AF130" i="26"/>
  <c r="AB131" i="26"/>
  <c r="AC131" i="26"/>
  <c r="AF131" i="26"/>
  <c r="AB132" i="26"/>
  <c r="AC132" i="26"/>
  <c r="AF132" i="26"/>
  <c r="AB133" i="26"/>
  <c r="AC133" i="26"/>
  <c r="AF133" i="26"/>
  <c r="AB134" i="26"/>
  <c r="AC134" i="26"/>
  <c r="AF134" i="26"/>
  <c r="AB135" i="26"/>
  <c r="AC135" i="26"/>
  <c r="AF135" i="26"/>
  <c r="AB136" i="26"/>
  <c r="AC136" i="26"/>
  <c r="AF136" i="26"/>
  <c r="AB137" i="26"/>
  <c r="AC137" i="26"/>
  <c r="AF137" i="26"/>
  <c r="AB138" i="26"/>
  <c r="AC138" i="26"/>
  <c r="AF138" i="26"/>
  <c r="AB139" i="26"/>
  <c r="AC139" i="26"/>
  <c r="AF139" i="26"/>
  <c r="AB140" i="26"/>
  <c r="AC140" i="26"/>
  <c r="AF140" i="26"/>
  <c r="AB141" i="26"/>
  <c r="AC141" i="26"/>
  <c r="AF141" i="26"/>
  <c r="AB142" i="26"/>
  <c r="AC142" i="26"/>
  <c r="AF142" i="26"/>
  <c r="AB143" i="26"/>
  <c r="AC143" i="26"/>
  <c r="AF143" i="26"/>
  <c r="AB144" i="26"/>
  <c r="AC144" i="26"/>
  <c r="AF144" i="26"/>
  <c r="AB145" i="26"/>
  <c r="AC145" i="26"/>
  <c r="AF145" i="26"/>
  <c r="AB146" i="26"/>
  <c r="AC146" i="26"/>
  <c r="AF146" i="26"/>
  <c r="AB147" i="26"/>
  <c r="AC147" i="26"/>
  <c r="AF147" i="26"/>
  <c r="AB148" i="26"/>
  <c r="AC148" i="26"/>
  <c r="AF148" i="26"/>
  <c r="AB149" i="26"/>
  <c r="AC149" i="26"/>
  <c r="AF149" i="26"/>
  <c r="AB150" i="26"/>
  <c r="AC150" i="26"/>
  <c r="AF150" i="26"/>
  <c r="AB151" i="26"/>
  <c r="AC151" i="26"/>
  <c r="AF151" i="26"/>
  <c r="AB152" i="26"/>
  <c r="AC152" i="26"/>
  <c r="AF152" i="26"/>
  <c r="AB153" i="26"/>
  <c r="AC153" i="26"/>
  <c r="AF153" i="26"/>
  <c r="AB154" i="26"/>
  <c r="AC154" i="26"/>
  <c r="AF154" i="26"/>
  <c r="AB155" i="26"/>
  <c r="AC155" i="26"/>
  <c r="AF155" i="26"/>
  <c r="AD47" i="26"/>
  <c r="AD53" i="26"/>
  <c r="AD65" i="26"/>
  <c r="AD66" i="26"/>
  <c r="AD67" i="26"/>
  <c r="AD68" i="26"/>
  <c r="AD69" i="26"/>
  <c r="AD70" i="26"/>
  <c r="AD71" i="26"/>
  <c r="AD72" i="26"/>
  <c r="AD73" i="26"/>
  <c r="AD74" i="26"/>
  <c r="AD75" i="26"/>
  <c r="AD76" i="26"/>
  <c r="AD77" i="26"/>
  <c r="AD78" i="26"/>
  <c r="AD79" i="26"/>
  <c r="AD80" i="26"/>
  <c r="AD81" i="26"/>
  <c r="AD82" i="26"/>
  <c r="AD83" i="26"/>
  <c r="AD84" i="26"/>
  <c r="AD85" i="26"/>
  <c r="AD86" i="26"/>
  <c r="AD87" i="26"/>
  <c r="AD88" i="26"/>
  <c r="AD89" i="26"/>
  <c r="AD90" i="26"/>
  <c r="AD91" i="26"/>
  <c r="AD92" i="26"/>
  <c r="AD93" i="26"/>
  <c r="AD94" i="26"/>
  <c r="AD95" i="26"/>
  <c r="AD96" i="26"/>
  <c r="AG96" i="26"/>
  <c r="AD97" i="26"/>
  <c r="AG97" i="26"/>
  <c r="AD98" i="26"/>
  <c r="AG98" i="26"/>
  <c r="AD99" i="26"/>
  <c r="AG99" i="26"/>
  <c r="AD100" i="26"/>
  <c r="AG100" i="26"/>
  <c r="AD101" i="26"/>
  <c r="AG101" i="26"/>
  <c r="AD102" i="26"/>
  <c r="AG102" i="26"/>
  <c r="AD103" i="26"/>
  <c r="AG103" i="26"/>
  <c r="AD104" i="26"/>
  <c r="AG104" i="26"/>
  <c r="AD105" i="26"/>
  <c r="AG105" i="26"/>
  <c r="AD106" i="26"/>
  <c r="AG106" i="26"/>
  <c r="AD107" i="26"/>
  <c r="AG107" i="26"/>
  <c r="AD108" i="26"/>
  <c r="AG108" i="26"/>
  <c r="AD109" i="26"/>
  <c r="AG109" i="26"/>
  <c r="AD110" i="26"/>
  <c r="AG110" i="26"/>
  <c r="AD111" i="26"/>
  <c r="AG111" i="26"/>
  <c r="AD112" i="26"/>
  <c r="AG112" i="26"/>
  <c r="AD113" i="26"/>
  <c r="AG113" i="26"/>
  <c r="AD114" i="26"/>
  <c r="AG114" i="26"/>
  <c r="AD115" i="26"/>
  <c r="AG115" i="26"/>
  <c r="AD116" i="26"/>
  <c r="AG116" i="26"/>
  <c r="AD117" i="26"/>
  <c r="AG117" i="26"/>
  <c r="AD118" i="26"/>
  <c r="AG118" i="26"/>
  <c r="AD119" i="26"/>
  <c r="AG119" i="26"/>
  <c r="AD120" i="26"/>
  <c r="AG120" i="26"/>
  <c r="AD121" i="26"/>
  <c r="AG121" i="26"/>
  <c r="AD122" i="26"/>
  <c r="AG122" i="26"/>
  <c r="AD123" i="26"/>
  <c r="AG123" i="26"/>
  <c r="AD124" i="26"/>
  <c r="AG124" i="26"/>
  <c r="AD125" i="26"/>
  <c r="AG125" i="26"/>
  <c r="AD126" i="26"/>
  <c r="AG126" i="26"/>
  <c r="AD127" i="26"/>
  <c r="AG127" i="26"/>
  <c r="AD128" i="26"/>
  <c r="AG128" i="26"/>
  <c r="AD129" i="26"/>
  <c r="AG129" i="26"/>
  <c r="AD130" i="26"/>
  <c r="AG130" i="26"/>
  <c r="AD131" i="26"/>
  <c r="AG131" i="26"/>
  <c r="AD132" i="26"/>
  <c r="AG132" i="26"/>
  <c r="AD133" i="26"/>
  <c r="AG133" i="26"/>
  <c r="AD134" i="26"/>
  <c r="AG134" i="26"/>
  <c r="AD135" i="26"/>
  <c r="AG135" i="26"/>
  <c r="AD136" i="26"/>
  <c r="AG136" i="26"/>
  <c r="AD137" i="26"/>
  <c r="AG137" i="26"/>
  <c r="AD138" i="26"/>
  <c r="AG138" i="26"/>
  <c r="AD139" i="26"/>
  <c r="AG139" i="26"/>
  <c r="AD140" i="26"/>
  <c r="AG140" i="26"/>
  <c r="AD141" i="26"/>
  <c r="AG141" i="26"/>
  <c r="AD142" i="26"/>
  <c r="AG142" i="26"/>
  <c r="AD143" i="26"/>
  <c r="AG143" i="26"/>
  <c r="AD144" i="26"/>
  <c r="AG144" i="26"/>
  <c r="AD145" i="26"/>
  <c r="AG145" i="26"/>
  <c r="AD146" i="26"/>
  <c r="AG146" i="26"/>
  <c r="AD147" i="26"/>
  <c r="AG147" i="26"/>
  <c r="AD148" i="26"/>
  <c r="AG148" i="26"/>
  <c r="AD149" i="26"/>
  <c r="AG149" i="26"/>
  <c r="AD150" i="26"/>
  <c r="AG150" i="26"/>
  <c r="AD151" i="26"/>
  <c r="AG151" i="26"/>
  <c r="AD152" i="26"/>
  <c r="AG152" i="26"/>
  <c r="AD153" i="26"/>
  <c r="AG153" i="26"/>
  <c r="AD154" i="26"/>
  <c r="AG154" i="26"/>
  <c r="AD155" i="26"/>
  <c r="AG155" i="26"/>
  <c r="AE47" i="26"/>
  <c r="AE53" i="26"/>
  <c r="AE65" i="26"/>
  <c r="AE66" i="26"/>
  <c r="AE67" i="26"/>
  <c r="AE68" i="26"/>
  <c r="AE69" i="26"/>
  <c r="AE70" i="26"/>
  <c r="AE71" i="26"/>
  <c r="AE72" i="26"/>
  <c r="AE73" i="26"/>
  <c r="AE74" i="26"/>
  <c r="AE75" i="26"/>
  <c r="AE76" i="26"/>
  <c r="AE77" i="26"/>
  <c r="AE78" i="26"/>
  <c r="AE79" i="26"/>
  <c r="AE80" i="26"/>
  <c r="AE81" i="26"/>
  <c r="AE82" i="26"/>
  <c r="AE83" i="26"/>
  <c r="AE84" i="26"/>
  <c r="AE85" i="26"/>
  <c r="AE86" i="26"/>
  <c r="AE87" i="26"/>
  <c r="AE88" i="26"/>
  <c r="AE89" i="26"/>
  <c r="AE90" i="26"/>
  <c r="AE91" i="26"/>
  <c r="AE92" i="26"/>
  <c r="AE93" i="26"/>
  <c r="AE94" i="26"/>
  <c r="AE95" i="26"/>
  <c r="AE96" i="26"/>
  <c r="AH96" i="26"/>
  <c r="AE97" i="26"/>
  <c r="AH97" i="26"/>
  <c r="AE98" i="26"/>
  <c r="AH98" i="26"/>
  <c r="AE99" i="26"/>
  <c r="AH99" i="26"/>
  <c r="AE100" i="26"/>
  <c r="AH100" i="26"/>
  <c r="AE101" i="26"/>
  <c r="AH101" i="26"/>
  <c r="AE102" i="26"/>
  <c r="AH102" i="26"/>
  <c r="AE103" i="26"/>
  <c r="AH103" i="26"/>
  <c r="AE104" i="26"/>
  <c r="AH104" i="26"/>
  <c r="AE105" i="26"/>
  <c r="AH105" i="26"/>
  <c r="AE106" i="26"/>
  <c r="AH106" i="26"/>
  <c r="AE107" i="26"/>
  <c r="AH107" i="26"/>
  <c r="AE108" i="26"/>
  <c r="AH108" i="26"/>
  <c r="AE109" i="26"/>
  <c r="AH109" i="26"/>
  <c r="AE110" i="26"/>
  <c r="AH110" i="26"/>
  <c r="AE111" i="26"/>
  <c r="AH111" i="26"/>
  <c r="AE112" i="26"/>
  <c r="AH112" i="26"/>
  <c r="AE113" i="26"/>
  <c r="AH113" i="26"/>
  <c r="AE114" i="26"/>
  <c r="AH114" i="26"/>
  <c r="AE115" i="26"/>
  <c r="AH115" i="26"/>
  <c r="AE116" i="26"/>
  <c r="AH116" i="26"/>
  <c r="AE117" i="26"/>
  <c r="AH117" i="26"/>
  <c r="AE118" i="26"/>
  <c r="AH118" i="26"/>
  <c r="AE119" i="26"/>
  <c r="AH119" i="26"/>
  <c r="AE120" i="26"/>
  <c r="AH120" i="26"/>
  <c r="AE121" i="26"/>
  <c r="AH121" i="26"/>
  <c r="AE122" i="26"/>
  <c r="AH122" i="26"/>
  <c r="AE123" i="26"/>
  <c r="AH123" i="26"/>
  <c r="AE124" i="26"/>
  <c r="AH124" i="26"/>
  <c r="AE125" i="26"/>
  <c r="AH125" i="26"/>
  <c r="AE126" i="26"/>
  <c r="AH126" i="26"/>
  <c r="AE127" i="26"/>
  <c r="AH127" i="26"/>
  <c r="AE128" i="26"/>
  <c r="AH128" i="26"/>
  <c r="AE129" i="26"/>
  <c r="AH129" i="26"/>
  <c r="AE130" i="26"/>
  <c r="AH130" i="26"/>
  <c r="AE131" i="26"/>
  <c r="AH131" i="26"/>
  <c r="AE132" i="26"/>
  <c r="AH132" i="26"/>
  <c r="AE133" i="26"/>
  <c r="AH133" i="26"/>
  <c r="AE134" i="26"/>
  <c r="AH134" i="26"/>
  <c r="AE135" i="26"/>
  <c r="AH135" i="26"/>
  <c r="AE136" i="26"/>
  <c r="AH136" i="26"/>
  <c r="AE137" i="26"/>
  <c r="AH137" i="26"/>
  <c r="AE138" i="26"/>
  <c r="AH138" i="26"/>
  <c r="AE139" i="26"/>
  <c r="AH139" i="26"/>
  <c r="AE140" i="26"/>
  <c r="AH140" i="26"/>
  <c r="AE141" i="26"/>
  <c r="AH141" i="26"/>
  <c r="AE142" i="26"/>
  <c r="AH142" i="26"/>
  <c r="AE143" i="26"/>
  <c r="AH143" i="26"/>
  <c r="AE144" i="26"/>
  <c r="AH144" i="26"/>
  <c r="AE145" i="26"/>
  <c r="AH145" i="26"/>
  <c r="AE146" i="26"/>
  <c r="AH146" i="26"/>
  <c r="AE147" i="26"/>
  <c r="AH147" i="26"/>
  <c r="AE148" i="26"/>
  <c r="AH148" i="26"/>
  <c r="AE149" i="26"/>
  <c r="AH149" i="26"/>
  <c r="AE150" i="26"/>
  <c r="AH150" i="26"/>
  <c r="AE151" i="26"/>
  <c r="AH151" i="26"/>
  <c r="AE152" i="26"/>
  <c r="AH152" i="26"/>
  <c r="AE153" i="26"/>
  <c r="AH153" i="26"/>
  <c r="AE154" i="26"/>
  <c r="AH154" i="26"/>
  <c r="AE155" i="26"/>
  <c r="AH155" i="26"/>
  <c r="AI155" i="26"/>
  <c r="AI154" i="26"/>
  <c r="AI153" i="26"/>
  <c r="AI152" i="26"/>
  <c r="AI151" i="26"/>
  <c r="AI150" i="26"/>
  <c r="AI149" i="26"/>
  <c r="AI148" i="26"/>
  <c r="AI147" i="26"/>
  <c r="AI146" i="26"/>
  <c r="AI145" i="26"/>
  <c r="AI144" i="26"/>
  <c r="AI143" i="26"/>
  <c r="AI142" i="26"/>
  <c r="AI141" i="26"/>
  <c r="AI140" i="26"/>
  <c r="AI139" i="26"/>
  <c r="AI138" i="26"/>
  <c r="AI137" i="26"/>
  <c r="AI136" i="26"/>
  <c r="AI135" i="26"/>
  <c r="AI134" i="26"/>
  <c r="AI133" i="26"/>
  <c r="AI132" i="26"/>
  <c r="AI131" i="26"/>
  <c r="AI130" i="26"/>
  <c r="AI129" i="26"/>
  <c r="AI128" i="26"/>
  <c r="AI127" i="26"/>
  <c r="AI126" i="26"/>
  <c r="AI125" i="26"/>
  <c r="AI124" i="26"/>
  <c r="AI123" i="26"/>
  <c r="AI122" i="26"/>
  <c r="AI121" i="26"/>
  <c r="AI120" i="26"/>
  <c r="AI119" i="26"/>
  <c r="AI118" i="26"/>
  <c r="AI117" i="26"/>
  <c r="AI116" i="26"/>
  <c r="AI115" i="26"/>
  <c r="AI114" i="26"/>
  <c r="AI113" i="26"/>
  <c r="AI112" i="26"/>
  <c r="AI111" i="26"/>
  <c r="AI110" i="26"/>
  <c r="AI109" i="26"/>
  <c r="AI108" i="26"/>
  <c r="AI107" i="26"/>
  <c r="AI106" i="26"/>
  <c r="AI105" i="26"/>
  <c r="AI104" i="26"/>
  <c r="AI103" i="26"/>
  <c r="AI102" i="26"/>
  <c r="AI101" i="26"/>
  <c r="AI100" i="26"/>
  <c r="AI99" i="26"/>
  <c r="AI98" i="26"/>
  <c r="AI97" i="26"/>
  <c r="AI96" i="26"/>
  <c r="AI5" i="26"/>
  <c r="F11" i="19"/>
  <c r="F11" i="13"/>
  <c r="N3" i="27"/>
  <c r="R4" i="27"/>
  <c r="B37" i="27"/>
  <c r="B38" i="27"/>
  <c r="B40" i="27"/>
  <c r="H40" i="27" s="1"/>
  <c r="B41" i="27"/>
  <c r="J41" i="27" s="1"/>
  <c r="B42" i="27"/>
  <c r="K42" i="27" s="1"/>
  <c r="B44" i="27"/>
  <c r="H44" i="27" s="1"/>
  <c r="B46" i="27"/>
  <c r="I46" i="27" s="1"/>
  <c r="B48" i="27"/>
  <c r="B50" i="27"/>
  <c r="J50" i="27" s="1"/>
  <c r="B54" i="27"/>
  <c r="B55" i="27"/>
  <c r="B56" i="27"/>
  <c r="B66" i="27"/>
  <c r="B70" i="27"/>
  <c r="B86" i="27"/>
  <c r="B102" i="27"/>
  <c r="B103" i="27"/>
  <c r="B104" i="27"/>
  <c r="B105" i="27"/>
  <c r="B106" i="27"/>
  <c r="B107" i="27"/>
  <c r="B108" i="27"/>
  <c r="B109" i="27"/>
  <c r="B110" i="27"/>
  <c r="B111" i="27"/>
  <c r="B112" i="27"/>
  <c r="B113" i="27"/>
  <c r="B114" i="27"/>
  <c r="B115" i="27"/>
  <c r="D23" i="27"/>
  <c r="B21" i="27"/>
  <c r="E82" i="13"/>
  <c r="E23" i="27" s="1"/>
  <c r="F133" i="27"/>
  <c r="F82" i="13"/>
  <c r="F23" i="27" s="1"/>
  <c r="G23" i="27"/>
  <c r="D24" i="27"/>
  <c r="E83" i="13"/>
  <c r="E24" i="27" s="1"/>
  <c r="F83" i="13"/>
  <c r="F24" i="27" s="1"/>
  <c r="G24" i="27"/>
  <c r="D25" i="27"/>
  <c r="E84" i="13"/>
  <c r="E25" i="27" s="1"/>
  <c r="F84" i="13"/>
  <c r="F25" i="27" s="1"/>
  <c r="G25" i="27"/>
  <c r="D26" i="27"/>
  <c r="E85" i="13"/>
  <c r="E26" i="27" s="1"/>
  <c r="F85" i="13"/>
  <c r="F26" i="27" s="1"/>
  <c r="G26" i="27"/>
  <c r="D27" i="27"/>
  <c r="E86" i="13"/>
  <c r="E27" i="27" s="1"/>
  <c r="F86" i="13"/>
  <c r="F27" i="27" s="1"/>
  <c r="G27" i="27"/>
  <c r="D28" i="27"/>
  <c r="E87" i="13"/>
  <c r="E28" i="27" s="1"/>
  <c r="F87" i="13"/>
  <c r="F28" i="27" s="1"/>
  <c r="G28" i="27"/>
  <c r="D29" i="27"/>
  <c r="E88" i="13"/>
  <c r="E29" i="27" s="1"/>
  <c r="F88" i="13"/>
  <c r="F29" i="27" s="1"/>
  <c r="G29" i="27"/>
  <c r="D30" i="27"/>
  <c r="E89" i="13"/>
  <c r="E30" i="27" s="1"/>
  <c r="F89" i="13"/>
  <c r="F30" i="27" s="1"/>
  <c r="G30" i="27"/>
  <c r="D31" i="27"/>
  <c r="E90" i="13"/>
  <c r="E31" i="27" s="1"/>
  <c r="F90" i="13"/>
  <c r="F31" i="27" s="1"/>
  <c r="G31" i="27"/>
  <c r="D32" i="27"/>
  <c r="E91" i="13"/>
  <c r="E32" i="27" s="1"/>
  <c r="F91" i="13"/>
  <c r="F32" i="27" s="1"/>
  <c r="G32" i="27"/>
  <c r="D33" i="27"/>
  <c r="E92" i="13"/>
  <c r="E33" i="27" s="1"/>
  <c r="F92" i="13"/>
  <c r="F33" i="27" s="1"/>
  <c r="G33" i="27"/>
  <c r="D34" i="27"/>
  <c r="E93" i="13"/>
  <c r="E34" i="27" s="1"/>
  <c r="F93" i="13"/>
  <c r="F34" i="27" s="1"/>
  <c r="G34" i="27"/>
  <c r="D35" i="27"/>
  <c r="E95" i="13"/>
  <c r="E35" i="27" s="1"/>
  <c r="F95" i="13"/>
  <c r="F35" i="27" s="1"/>
  <c r="G35" i="27"/>
  <c r="C39" i="27"/>
  <c r="D39" i="27"/>
  <c r="E39" i="27"/>
  <c r="F183" i="27"/>
  <c r="G39" i="27"/>
  <c r="C40" i="27"/>
  <c r="D40" i="27"/>
  <c r="F40" i="27"/>
  <c r="G40" i="27"/>
  <c r="C41" i="27"/>
  <c r="D41" i="27"/>
  <c r="F41" i="27"/>
  <c r="G41" i="27"/>
  <c r="C42" i="27"/>
  <c r="D42" i="27"/>
  <c r="G42" i="27"/>
  <c r="C43" i="27"/>
  <c r="D43" i="27"/>
  <c r="G43" i="27"/>
  <c r="C44" i="27"/>
  <c r="D44" i="27"/>
  <c r="F44" i="27"/>
  <c r="G44" i="27"/>
  <c r="C45" i="27"/>
  <c r="D45" i="27"/>
  <c r="F45" i="27"/>
  <c r="G45" i="27"/>
  <c r="C46" i="27"/>
  <c r="D46" i="27"/>
  <c r="E46" i="27"/>
  <c r="G46" i="27"/>
  <c r="C47" i="27"/>
  <c r="D47" i="27"/>
  <c r="G47" i="27"/>
  <c r="C48" i="27"/>
  <c r="D48" i="27"/>
  <c r="F48" i="27"/>
  <c r="G48" i="27"/>
  <c r="C49" i="27"/>
  <c r="D49" i="27"/>
  <c r="F49" i="27"/>
  <c r="G49" i="27"/>
  <c r="C50" i="27"/>
  <c r="D50" i="27"/>
  <c r="E50" i="27"/>
  <c r="G50" i="27"/>
  <c r="D51" i="27"/>
  <c r="E51" i="27"/>
  <c r="G51" i="27"/>
  <c r="C55" i="27"/>
  <c r="D55" i="27"/>
  <c r="E82" i="19"/>
  <c r="E55" i="27" s="1"/>
  <c r="F140" i="27"/>
  <c r="F82" i="19"/>
  <c r="F55" i="27" s="1"/>
  <c r="G55" i="27"/>
  <c r="C56" i="27"/>
  <c r="D56" i="27"/>
  <c r="E83" i="19"/>
  <c r="E56" i="27" s="1"/>
  <c r="F83" i="19"/>
  <c r="F56" i="27" s="1"/>
  <c r="G56" i="27"/>
  <c r="C57" i="27"/>
  <c r="D57" i="27"/>
  <c r="E84" i="19"/>
  <c r="E57" i="27" s="1"/>
  <c r="F84" i="19"/>
  <c r="F57" i="27" s="1"/>
  <c r="G57" i="27"/>
  <c r="C58" i="27"/>
  <c r="D58" i="27"/>
  <c r="E85" i="19"/>
  <c r="F85" i="19"/>
  <c r="F58" i="27" s="1"/>
  <c r="G58" i="27"/>
  <c r="C59" i="27"/>
  <c r="D59" i="27"/>
  <c r="E86" i="19"/>
  <c r="E59" i="27" s="1"/>
  <c r="F86" i="19"/>
  <c r="F59" i="27" s="1"/>
  <c r="G59" i="27"/>
  <c r="C60" i="27"/>
  <c r="D60" i="27"/>
  <c r="E87" i="19"/>
  <c r="E60" i="27" s="1"/>
  <c r="F87" i="19"/>
  <c r="F60" i="27" s="1"/>
  <c r="G60" i="27"/>
  <c r="C61" i="27"/>
  <c r="D61" i="27"/>
  <c r="E88" i="19"/>
  <c r="F88" i="19"/>
  <c r="F61" i="27" s="1"/>
  <c r="G61" i="27"/>
  <c r="C62" i="27"/>
  <c r="D62" i="27"/>
  <c r="E89" i="19"/>
  <c r="E62" i="27" s="1"/>
  <c r="F89" i="19"/>
  <c r="F62" i="27" s="1"/>
  <c r="G62" i="27"/>
  <c r="C63" i="27"/>
  <c r="D63" i="27"/>
  <c r="E90" i="19"/>
  <c r="E63" i="27"/>
  <c r="F90" i="19"/>
  <c r="F63" i="27" s="1"/>
  <c r="G63" i="27"/>
  <c r="C64" i="27"/>
  <c r="D64" i="27"/>
  <c r="E91" i="19"/>
  <c r="E64" i="27" s="1"/>
  <c r="F91" i="19"/>
  <c r="F64" i="27" s="1"/>
  <c r="G64" i="27"/>
  <c r="C65" i="27"/>
  <c r="D65" i="27"/>
  <c r="E65" i="27"/>
  <c r="F65" i="27"/>
  <c r="G65" i="27"/>
  <c r="C66" i="27"/>
  <c r="D66" i="27"/>
  <c r="E66" i="27"/>
  <c r="G66" i="27"/>
  <c r="D67" i="27"/>
  <c r="E94" i="19"/>
  <c r="E67" i="27" s="1"/>
  <c r="F94" i="19"/>
  <c r="F67" i="27" s="1"/>
  <c r="G67" i="27"/>
  <c r="C71" i="27"/>
  <c r="D71" i="27"/>
  <c r="E71" i="27"/>
  <c r="F151" i="27"/>
  <c r="F71" i="27"/>
  <c r="G71" i="27"/>
  <c r="C72" i="27"/>
  <c r="D72" i="27"/>
  <c r="E72" i="27"/>
  <c r="F72" i="27"/>
  <c r="G72" i="27"/>
  <c r="C73" i="27"/>
  <c r="D73" i="27"/>
  <c r="E73" i="27"/>
  <c r="F73" i="27"/>
  <c r="G73" i="27"/>
  <c r="C74" i="27"/>
  <c r="D74" i="27"/>
  <c r="E74" i="27"/>
  <c r="F74" i="27"/>
  <c r="G74" i="27"/>
  <c r="C75" i="27"/>
  <c r="D75" i="27"/>
  <c r="E75" i="27"/>
  <c r="F75" i="27"/>
  <c r="G75" i="27"/>
  <c r="C76" i="27"/>
  <c r="D76" i="27"/>
  <c r="E76" i="27"/>
  <c r="F76" i="27"/>
  <c r="G76" i="27"/>
  <c r="C77" i="27"/>
  <c r="D77" i="27"/>
  <c r="E77" i="27"/>
  <c r="F77" i="27"/>
  <c r="G77" i="27"/>
  <c r="C78" i="27"/>
  <c r="D78" i="27"/>
  <c r="E78" i="27"/>
  <c r="F78" i="27"/>
  <c r="G78" i="27"/>
  <c r="C79" i="27"/>
  <c r="D79" i="27"/>
  <c r="E79" i="27"/>
  <c r="F79" i="27"/>
  <c r="G79" i="27"/>
  <c r="C80" i="27"/>
  <c r="D80" i="27"/>
  <c r="E80" i="27"/>
  <c r="F80" i="27"/>
  <c r="G80" i="27"/>
  <c r="C81" i="27"/>
  <c r="D81" i="27"/>
  <c r="E81" i="27"/>
  <c r="F81" i="27"/>
  <c r="G81" i="27"/>
  <c r="C82" i="27"/>
  <c r="D82" i="27"/>
  <c r="E82" i="27"/>
  <c r="F82" i="27"/>
  <c r="G82" i="27"/>
  <c r="D83" i="27"/>
  <c r="E83" i="27"/>
  <c r="F83" i="27"/>
  <c r="G83" i="27"/>
  <c r="C87" i="27"/>
  <c r="D87" i="27"/>
  <c r="E87" i="27"/>
  <c r="F87" i="27"/>
  <c r="G87" i="27"/>
  <c r="C88" i="27"/>
  <c r="D88" i="27"/>
  <c r="AD26" i="26"/>
  <c r="F88" i="27"/>
  <c r="G88" i="27"/>
  <c r="C89" i="27"/>
  <c r="D89" i="27"/>
  <c r="AD29" i="26"/>
  <c r="E89" i="27"/>
  <c r="F89" i="27"/>
  <c r="G89" i="27"/>
  <c r="C90" i="27"/>
  <c r="D90" i="27"/>
  <c r="E90" i="27"/>
  <c r="F90" i="27"/>
  <c r="G90" i="27"/>
  <c r="C91" i="27"/>
  <c r="D91" i="27"/>
  <c r="AD41" i="26"/>
  <c r="AE41" i="26"/>
  <c r="F91" i="27"/>
  <c r="G91" i="27"/>
  <c r="C92" i="27"/>
  <c r="D92" i="27"/>
  <c r="E92" i="27"/>
  <c r="F92" i="27"/>
  <c r="G92" i="27"/>
  <c r="C93" i="27"/>
  <c r="D93" i="27"/>
  <c r="E93" i="27"/>
  <c r="F93" i="27"/>
  <c r="G93" i="27"/>
  <c r="C94" i="27"/>
  <c r="D94" i="27"/>
  <c r="E94" i="27"/>
  <c r="F94" i="27"/>
  <c r="G94" i="27"/>
  <c r="C95" i="27"/>
  <c r="D95" i="27"/>
  <c r="E95" i="27"/>
  <c r="F95" i="27"/>
  <c r="G95" i="27"/>
  <c r="C96" i="27"/>
  <c r="D96" i="27"/>
  <c r="E96" i="27"/>
  <c r="F96" i="27"/>
  <c r="G96" i="27"/>
  <c r="C97" i="27"/>
  <c r="D97" i="27"/>
  <c r="E97" i="27"/>
  <c r="F97" i="27"/>
  <c r="G97" i="27"/>
  <c r="C98" i="27"/>
  <c r="D98" i="27"/>
  <c r="E98" i="27"/>
  <c r="F98" i="27"/>
  <c r="G98" i="27"/>
  <c r="D99" i="27"/>
  <c r="E99" i="27"/>
  <c r="F99" i="27"/>
  <c r="G99" i="27"/>
  <c r="C103" i="27"/>
  <c r="D103" i="27"/>
  <c r="E103" i="27"/>
  <c r="F160" i="27"/>
  <c r="F103" i="27"/>
  <c r="G103" i="27"/>
  <c r="C104" i="27"/>
  <c r="D104" i="27"/>
  <c r="E104" i="27"/>
  <c r="F104" i="27"/>
  <c r="G104" i="27"/>
  <c r="C105" i="27"/>
  <c r="D105" i="27"/>
  <c r="E105" i="27"/>
  <c r="F105" i="27"/>
  <c r="G105" i="27"/>
  <c r="C106" i="27"/>
  <c r="D106" i="27"/>
  <c r="E106" i="27"/>
  <c r="F106" i="27"/>
  <c r="G106" i="27"/>
  <c r="C107" i="27"/>
  <c r="D107" i="27"/>
  <c r="E107" i="27"/>
  <c r="F107" i="27"/>
  <c r="G107" i="27"/>
  <c r="C108" i="27"/>
  <c r="D108" i="27"/>
  <c r="E108" i="27"/>
  <c r="F108" i="27"/>
  <c r="G108" i="27"/>
  <c r="C109" i="27"/>
  <c r="D109" i="27"/>
  <c r="E109" i="27"/>
  <c r="F109" i="27"/>
  <c r="G109" i="27"/>
  <c r="C110" i="27"/>
  <c r="D110" i="27"/>
  <c r="E110" i="27"/>
  <c r="F110" i="27"/>
  <c r="G110" i="27"/>
  <c r="C111" i="27"/>
  <c r="D111" i="27"/>
  <c r="E111" i="27"/>
  <c r="F111" i="27"/>
  <c r="G111" i="27"/>
  <c r="C112" i="27"/>
  <c r="D112" i="27"/>
  <c r="E112" i="27"/>
  <c r="F112" i="27"/>
  <c r="G112" i="27"/>
  <c r="C113" i="27"/>
  <c r="D113" i="27"/>
  <c r="E113" i="27"/>
  <c r="F113" i="27"/>
  <c r="G113" i="27"/>
  <c r="C114" i="27"/>
  <c r="D114" i="27"/>
  <c r="E114" i="27"/>
  <c r="F114" i="27"/>
  <c r="G114" i="27"/>
  <c r="C115" i="27"/>
  <c r="D115" i="27"/>
  <c r="E115" i="27"/>
  <c r="F115" i="27"/>
  <c r="G115" i="27"/>
  <c r="Q24" i="24"/>
  <c r="R11" i="27"/>
  <c r="U11" i="27" s="1"/>
  <c r="X11" i="27" s="1"/>
  <c r="AA11" i="27" s="1"/>
  <c r="R13" i="27"/>
  <c r="U13" i="27" s="1"/>
  <c r="X13" i="27" s="1"/>
  <c r="AA13" i="27" s="1"/>
  <c r="G108" i="26"/>
  <c r="G108" i="19"/>
  <c r="G108" i="13"/>
  <c r="G108" i="18"/>
  <c r="G22" i="27"/>
  <c r="F22" i="27"/>
  <c r="E22" i="27"/>
  <c r="D22" i="27"/>
  <c r="C37" i="27"/>
  <c r="C38" i="27"/>
  <c r="C53" i="27"/>
  <c r="C54" i="27"/>
  <c r="C69" i="27"/>
  <c r="C70" i="27"/>
  <c r="C85" i="27"/>
  <c r="C86" i="27"/>
  <c r="C101" i="27"/>
  <c r="C102" i="27"/>
  <c r="AC3" i="27"/>
  <c r="Z3" i="27"/>
  <c r="W3" i="27"/>
  <c r="T3" i="27"/>
  <c r="Q3" i="27"/>
  <c r="F120" i="27"/>
  <c r="F121" i="27"/>
  <c r="F122" i="27"/>
  <c r="F123" i="27"/>
  <c r="F124" i="27"/>
  <c r="F125" i="27"/>
  <c r="F126" i="27"/>
  <c r="F127" i="27"/>
  <c r="F128" i="27"/>
  <c r="F129" i="27"/>
  <c r="F130" i="27"/>
  <c r="F131" i="27"/>
  <c r="F132" i="27"/>
  <c r="F134" i="27"/>
  <c r="F135" i="27"/>
  <c r="F136" i="27"/>
  <c r="F137" i="27"/>
  <c r="F138" i="27"/>
  <c r="F139" i="27"/>
  <c r="F141" i="27"/>
  <c r="F142" i="27"/>
  <c r="F143" i="27"/>
  <c r="F144" i="27"/>
  <c r="F145" i="27"/>
  <c r="F146" i="27"/>
  <c r="F147" i="27"/>
  <c r="F148" i="27"/>
  <c r="F149" i="27"/>
  <c r="F150" i="27"/>
  <c r="F152" i="27"/>
  <c r="F153" i="27"/>
  <c r="F154" i="27"/>
  <c r="F155" i="27"/>
  <c r="F156" i="27"/>
  <c r="F157" i="27"/>
  <c r="F158" i="27"/>
  <c r="F159" i="27"/>
  <c r="F161" i="27"/>
  <c r="F162" i="27"/>
  <c r="F163" i="27"/>
  <c r="F164" i="27"/>
  <c r="F165" i="27"/>
  <c r="F166" i="27"/>
  <c r="F167" i="27"/>
  <c r="F168" i="27"/>
  <c r="F169" i="27"/>
  <c r="F170" i="27"/>
  <c r="F171" i="27"/>
  <c r="F172" i="27"/>
  <c r="F173" i="27"/>
  <c r="F174" i="27"/>
  <c r="F175" i="27"/>
  <c r="F176" i="27"/>
  <c r="F177" i="27"/>
  <c r="F178" i="27"/>
  <c r="F179" i="27"/>
  <c r="F180" i="27"/>
  <c r="F181" i="27"/>
  <c r="F182" i="27"/>
  <c r="F119" i="27"/>
  <c r="Q6" i="26"/>
  <c r="R6" i="26" s="1"/>
  <c r="S6" i="26" s="1"/>
  <c r="U6" i="26"/>
  <c r="V6" i="26"/>
  <c r="Q7" i="26"/>
  <c r="U7" i="26"/>
  <c r="V7" i="26"/>
  <c r="Q8" i="26"/>
  <c r="U8" i="26"/>
  <c r="V8" i="26"/>
  <c r="Q9" i="26"/>
  <c r="U9" i="26"/>
  <c r="V9" i="26"/>
  <c r="Q10" i="26"/>
  <c r="U10" i="26"/>
  <c r="V10" i="26"/>
  <c r="Q11" i="26"/>
  <c r="U11" i="26"/>
  <c r="V11" i="26"/>
  <c r="Q12" i="26"/>
  <c r="U12" i="26"/>
  <c r="V12" i="26"/>
  <c r="Q13" i="26"/>
  <c r="U13" i="26"/>
  <c r="V13" i="26"/>
  <c r="Q14" i="26"/>
  <c r="U14" i="26"/>
  <c r="V14" i="26"/>
  <c r="Q15" i="26"/>
  <c r="U15" i="26"/>
  <c r="V15" i="26"/>
  <c r="Q16" i="26"/>
  <c r="U16" i="26"/>
  <c r="V16" i="26"/>
  <c r="Q17" i="26"/>
  <c r="U17" i="26"/>
  <c r="V17" i="26"/>
  <c r="Q18" i="26"/>
  <c r="U18" i="26"/>
  <c r="V18" i="26"/>
  <c r="Q19" i="26"/>
  <c r="U19" i="26"/>
  <c r="V19" i="26"/>
  <c r="Q20" i="26"/>
  <c r="U20" i="26"/>
  <c r="V20" i="26"/>
  <c r="Q21" i="26"/>
  <c r="U21" i="26"/>
  <c r="V21" i="26"/>
  <c r="Q22" i="26"/>
  <c r="U22" i="26"/>
  <c r="V22" i="26"/>
  <c r="Q23" i="26"/>
  <c r="U23" i="26"/>
  <c r="V23" i="26"/>
  <c r="Q24" i="26"/>
  <c r="U24" i="26"/>
  <c r="V24" i="26"/>
  <c r="Q25" i="26"/>
  <c r="U25" i="26"/>
  <c r="V25" i="26"/>
  <c r="Q26" i="26"/>
  <c r="U26" i="26"/>
  <c r="V26" i="26"/>
  <c r="Q27" i="26"/>
  <c r="U27" i="26"/>
  <c r="V27" i="26"/>
  <c r="Q28" i="26"/>
  <c r="U28" i="26"/>
  <c r="V28" i="26"/>
  <c r="Q29" i="26"/>
  <c r="U29" i="26"/>
  <c r="V29" i="26"/>
  <c r="Q30" i="26"/>
  <c r="U30" i="26"/>
  <c r="V30" i="26"/>
  <c r="Q31" i="26"/>
  <c r="U31" i="26"/>
  <c r="V31" i="26"/>
  <c r="Q32" i="26"/>
  <c r="U32" i="26"/>
  <c r="V32" i="26"/>
  <c r="Q33" i="26"/>
  <c r="U33" i="26"/>
  <c r="V33" i="26"/>
  <c r="Q34" i="26"/>
  <c r="U34" i="26"/>
  <c r="V34" i="26"/>
  <c r="Q35" i="26"/>
  <c r="U35" i="26"/>
  <c r="V35" i="26"/>
  <c r="Q36" i="26"/>
  <c r="U36" i="26"/>
  <c r="V36" i="26"/>
  <c r="Q37" i="26"/>
  <c r="U37" i="26"/>
  <c r="V37" i="26"/>
  <c r="Q38" i="26"/>
  <c r="U38" i="26"/>
  <c r="V38" i="26"/>
  <c r="Q39" i="26"/>
  <c r="U39" i="26"/>
  <c r="V39" i="26"/>
  <c r="Q40" i="26"/>
  <c r="U40" i="26"/>
  <c r="V40" i="26"/>
  <c r="Q41" i="26"/>
  <c r="U41" i="26"/>
  <c r="V41" i="26"/>
  <c r="Q42" i="26"/>
  <c r="U42" i="26"/>
  <c r="V42" i="26"/>
  <c r="Q43" i="26"/>
  <c r="U43" i="26"/>
  <c r="V43" i="26"/>
  <c r="Q44" i="26"/>
  <c r="U44" i="26"/>
  <c r="V44" i="26"/>
  <c r="Q45" i="26"/>
  <c r="U45" i="26"/>
  <c r="V45" i="26"/>
  <c r="Q46" i="26"/>
  <c r="U46" i="26"/>
  <c r="V46" i="26"/>
  <c r="Q47" i="26"/>
  <c r="U47" i="26"/>
  <c r="V47" i="26"/>
  <c r="Q48" i="26"/>
  <c r="U48" i="26"/>
  <c r="V48" i="26"/>
  <c r="Q49" i="26"/>
  <c r="U49" i="26"/>
  <c r="V49" i="26"/>
  <c r="Q50" i="26"/>
  <c r="U50" i="26"/>
  <c r="V50" i="26"/>
  <c r="Q51" i="26"/>
  <c r="U51" i="26"/>
  <c r="V51" i="26"/>
  <c r="Q52" i="26"/>
  <c r="U52" i="26"/>
  <c r="V52" i="26"/>
  <c r="Q53" i="26"/>
  <c r="U53" i="26"/>
  <c r="V53" i="26"/>
  <c r="Q54" i="26"/>
  <c r="U54" i="26"/>
  <c r="V54" i="26"/>
  <c r="Q55" i="26"/>
  <c r="U55" i="26"/>
  <c r="V55" i="26"/>
  <c r="Q56" i="26"/>
  <c r="U56" i="26"/>
  <c r="V56" i="26"/>
  <c r="Q57" i="26"/>
  <c r="U57" i="26"/>
  <c r="V57" i="26"/>
  <c r="Q58" i="26"/>
  <c r="U58" i="26"/>
  <c r="V58" i="26"/>
  <c r="Q59" i="26"/>
  <c r="U59" i="26"/>
  <c r="V59" i="26"/>
  <c r="Q60" i="26"/>
  <c r="U60" i="26"/>
  <c r="V60" i="26"/>
  <c r="Q61" i="26"/>
  <c r="U61" i="26"/>
  <c r="V61" i="26"/>
  <c r="Q62" i="26"/>
  <c r="U62" i="26"/>
  <c r="V62" i="26"/>
  <c r="Q63" i="26"/>
  <c r="U63" i="26"/>
  <c r="V63" i="26"/>
  <c r="Q64" i="26"/>
  <c r="U64" i="26"/>
  <c r="V64" i="26"/>
  <c r="Q65" i="26"/>
  <c r="U65" i="26"/>
  <c r="V65" i="26"/>
  <c r="Q66" i="26"/>
  <c r="U66" i="26"/>
  <c r="V66" i="26"/>
  <c r="Q67" i="26"/>
  <c r="U67" i="26"/>
  <c r="V67" i="26"/>
  <c r="Q68" i="26"/>
  <c r="U68" i="26"/>
  <c r="V68" i="26"/>
  <c r="Q69" i="26"/>
  <c r="U69" i="26"/>
  <c r="V69" i="26"/>
  <c r="Q70" i="26"/>
  <c r="U70" i="26"/>
  <c r="V70" i="26"/>
  <c r="Q71" i="26"/>
  <c r="U71" i="26"/>
  <c r="V71" i="26"/>
  <c r="Q72" i="26"/>
  <c r="U72" i="26"/>
  <c r="V72" i="26"/>
  <c r="Q73" i="26"/>
  <c r="U73" i="26"/>
  <c r="V73" i="26"/>
  <c r="Q74" i="26"/>
  <c r="U74" i="26"/>
  <c r="V74" i="26"/>
  <c r="Q75" i="26"/>
  <c r="U75" i="26"/>
  <c r="V75" i="26"/>
  <c r="Q76" i="26"/>
  <c r="U76" i="26"/>
  <c r="V76" i="26"/>
  <c r="Q77" i="26"/>
  <c r="U77" i="26"/>
  <c r="V77" i="26"/>
  <c r="Q78" i="26"/>
  <c r="U78" i="26"/>
  <c r="V78" i="26"/>
  <c r="Q79" i="26"/>
  <c r="U79" i="26"/>
  <c r="V79" i="26"/>
  <c r="Q80" i="26"/>
  <c r="U80" i="26"/>
  <c r="V80" i="26"/>
  <c r="Q81" i="26"/>
  <c r="U81" i="26"/>
  <c r="V81" i="26"/>
  <c r="Q82" i="26"/>
  <c r="U82" i="26"/>
  <c r="V82" i="26"/>
  <c r="Q83" i="26"/>
  <c r="U83" i="26"/>
  <c r="V83" i="26"/>
  <c r="Q84" i="26"/>
  <c r="U84" i="26"/>
  <c r="V84" i="26"/>
  <c r="Q85" i="26"/>
  <c r="U85" i="26"/>
  <c r="V85" i="26"/>
  <c r="Q86" i="26"/>
  <c r="U86" i="26"/>
  <c r="V86" i="26"/>
  <c r="Q87" i="26"/>
  <c r="U87" i="26"/>
  <c r="V87" i="26"/>
  <c r="Q88" i="26"/>
  <c r="U88" i="26"/>
  <c r="V88" i="26"/>
  <c r="Q89" i="26"/>
  <c r="U89" i="26"/>
  <c r="V89" i="26"/>
  <c r="Q90" i="26"/>
  <c r="U90" i="26"/>
  <c r="V90" i="26"/>
  <c r="Q91" i="26"/>
  <c r="U91" i="26"/>
  <c r="V91" i="26"/>
  <c r="Q92" i="26"/>
  <c r="U92" i="26"/>
  <c r="V92" i="26"/>
  <c r="Q93" i="26"/>
  <c r="U93" i="26"/>
  <c r="V93" i="26"/>
  <c r="Q94" i="26"/>
  <c r="U94" i="26"/>
  <c r="V94" i="26"/>
  <c r="Q95" i="26"/>
  <c r="U95" i="26"/>
  <c r="V95" i="26"/>
  <c r="Q96" i="26"/>
  <c r="U96" i="26"/>
  <c r="V96" i="26"/>
  <c r="Q97" i="26"/>
  <c r="U97" i="26"/>
  <c r="V97" i="26"/>
  <c r="Q98" i="26"/>
  <c r="U98" i="26"/>
  <c r="V98" i="26"/>
  <c r="Q99" i="26"/>
  <c r="U99" i="26"/>
  <c r="V99" i="26"/>
  <c r="Q100" i="26"/>
  <c r="U100" i="26"/>
  <c r="V100" i="26"/>
  <c r="Q101" i="26"/>
  <c r="U101" i="26"/>
  <c r="V101" i="26"/>
  <c r="Q102" i="26"/>
  <c r="U102" i="26"/>
  <c r="V102" i="26"/>
  <c r="Q103" i="26"/>
  <c r="U103" i="26"/>
  <c r="V103" i="26"/>
  <c r="Q104" i="26"/>
  <c r="U104" i="26"/>
  <c r="V104" i="26"/>
  <c r="Q105" i="26"/>
  <c r="U105" i="26"/>
  <c r="V105" i="26"/>
  <c r="Q106" i="26"/>
  <c r="U106" i="26"/>
  <c r="V106" i="26"/>
  <c r="Q107" i="26"/>
  <c r="U107" i="26"/>
  <c r="V107" i="26"/>
  <c r="Q108" i="26"/>
  <c r="U108" i="26"/>
  <c r="V108" i="26"/>
  <c r="Q109" i="26"/>
  <c r="U109" i="26"/>
  <c r="V109" i="26"/>
  <c r="Q110" i="26"/>
  <c r="U110" i="26"/>
  <c r="V110" i="26"/>
  <c r="Q111" i="26"/>
  <c r="U111" i="26"/>
  <c r="V111" i="26"/>
  <c r="Q112" i="26"/>
  <c r="U112" i="26"/>
  <c r="V112" i="26"/>
  <c r="Q113" i="26"/>
  <c r="U113" i="26"/>
  <c r="V113" i="26"/>
  <c r="Q114" i="26"/>
  <c r="U114" i="26"/>
  <c r="V114" i="26"/>
  <c r="Q115" i="26"/>
  <c r="U115" i="26"/>
  <c r="V115" i="26"/>
  <c r="Q116" i="26"/>
  <c r="U116" i="26"/>
  <c r="V116" i="26"/>
  <c r="Q117" i="26"/>
  <c r="U117" i="26"/>
  <c r="V117" i="26"/>
  <c r="Q118" i="26"/>
  <c r="U118" i="26"/>
  <c r="V118" i="26"/>
  <c r="Q119" i="26"/>
  <c r="U119" i="26"/>
  <c r="V119" i="26"/>
  <c r="Q120" i="26"/>
  <c r="U120" i="26"/>
  <c r="V120" i="26"/>
  <c r="Q121" i="26"/>
  <c r="U121" i="26"/>
  <c r="V121" i="26"/>
  <c r="Q122" i="26"/>
  <c r="U122" i="26"/>
  <c r="V122" i="26"/>
  <c r="Q123" i="26"/>
  <c r="U123" i="26"/>
  <c r="V123" i="26"/>
  <c r="Q124" i="26"/>
  <c r="U124" i="26"/>
  <c r="V124" i="26"/>
  <c r="Q125" i="26"/>
  <c r="U125" i="26"/>
  <c r="V125" i="26"/>
  <c r="Q126" i="26"/>
  <c r="U126" i="26"/>
  <c r="V126" i="26"/>
  <c r="Q127" i="26"/>
  <c r="U127" i="26"/>
  <c r="V127" i="26"/>
  <c r="Q128" i="26"/>
  <c r="U128" i="26"/>
  <c r="V128" i="26"/>
  <c r="Q129" i="26"/>
  <c r="U129" i="26"/>
  <c r="V129" i="26"/>
  <c r="Q130" i="26"/>
  <c r="U130" i="26"/>
  <c r="V130" i="26"/>
  <c r="Q131" i="26"/>
  <c r="U131" i="26"/>
  <c r="V131" i="26"/>
  <c r="Q132" i="26"/>
  <c r="U132" i="26"/>
  <c r="V132" i="26"/>
  <c r="Q133" i="26"/>
  <c r="U133" i="26"/>
  <c r="V133" i="26"/>
  <c r="Q134" i="26"/>
  <c r="U134" i="26"/>
  <c r="V134" i="26"/>
  <c r="Q135" i="26"/>
  <c r="U135" i="26"/>
  <c r="V135" i="26"/>
  <c r="Q136" i="26"/>
  <c r="U136" i="26"/>
  <c r="V136" i="26"/>
  <c r="Q137" i="26"/>
  <c r="U137" i="26"/>
  <c r="V137" i="26"/>
  <c r="Q138" i="26"/>
  <c r="U138" i="26"/>
  <c r="V138" i="26"/>
  <c r="Q139" i="26"/>
  <c r="U139" i="26"/>
  <c r="V139" i="26"/>
  <c r="Q140" i="26"/>
  <c r="U140" i="26"/>
  <c r="V140" i="26"/>
  <c r="Q141" i="26"/>
  <c r="U141" i="26"/>
  <c r="V141" i="26"/>
  <c r="Q142" i="26"/>
  <c r="U142" i="26"/>
  <c r="V142" i="26"/>
  <c r="Q143" i="26"/>
  <c r="U143" i="26"/>
  <c r="V143" i="26"/>
  <c r="Q144" i="26"/>
  <c r="U144" i="26"/>
  <c r="V144" i="26"/>
  <c r="Q145" i="26"/>
  <c r="U145" i="26"/>
  <c r="V145" i="26"/>
  <c r="Q146" i="26"/>
  <c r="U146" i="26"/>
  <c r="V146" i="26"/>
  <c r="Q147" i="26"/>
  <c r="U147" i="26"/>
  <c r="V147" i="26"/>
  <c r="Q148" i="26"/>
  <c r="U148" i="26"/>
  <c r="V148" i="26"/>
  <c r="Q149" i="26"/>
  <c r="U149" i="26"/>
  <c r="V149" i="26"/>
  <c r="Q150" i="26"/>
  <c r="U150" i="26"/>
  <c r="V150" i="26"/>
  <c r="Q151" i="26"/>
  <c r="U151" i="26"/>
  <c r="V151" i="26"/>
  <c r="Q152" i="26"/>
  <c r="U152" i="26"/>
  <c r="V152" i="26"/>
  <c r="Q153" i="26"/>
  <c r="U153" i="26"/>
  <c r="V153" i="26"/>
  <c r="Q154" i="26"/>
  <c r="U154" i="26"/>
  <c r="V154" i="26"/>
  <c r="Q155" i="26"/>
  <c r="U155" i="26"/>
  <c r="V155" i="26"/>
  <c r="R156" i="26"/>
  <c r="S156" i="26" s="1"/>
  <c r="U156" i="26"/>
  <c r="V156" i="26"/>
  <c r="R157" i="26"/>
  <c r="S157" i="26" s="1"/>
  <c r="U157" i="26"/>
  <c r="V157" i="26"/>
  <c r="R158" i="26"/>
  <c r="S158" i="26" s="1"/>
  <c r="U158" i="26"/>
  <c r="V158" i="26"/>
  <c r="R159" i="26"/>
  <c r="S159" i="26" s="1"/>
  <c r="U159" i="26"/>
  <c r="V159" i="26"/>
  <c r="R160" i="26"/>
  <c r="S160" i="26" s="1"/>
  <c r="U160" i="26"/>
  <c r="V160" i="26"/>
  <c r="R161" i="26"/>
  <c r="S161" i="26" s="1"/>
  <c r="U161" i="26"/>
  <c r="V161" i="26"/>
  <c r="R162" i="26"/>
  <c r="S162" i="26" s="1"/>
  <c r="U162" i="26"/>
  <c r="V162" i="26"/>
  <c r="R163" i="26"/>
  <c r="S163" i="26" s="1"/>
  <c r="T163" i="26" s="1"/>
  <c r="U163" i="26"/>
  <c r="V163" i="26"/>
  <c r="R164" i="26"/>
  <c r="S164" i="26" s="1"/>
  <c r="T164" i="26" s="1"/>
  <c r="U164" i="26"/>
  <c r="V164" i="26"/>
  <c r="R165" i="26"/>
  <c r="S165" i="26" s="1"/>
  <c r="U165" i="26"/>
  <c r="V165" i="26"/>
  <c r="R166" i="26"/>
  <c r="S166" i="26" s="1"/>
  <c r="T166" i="26" s="1"/>
  <c r="U166" i="26"/>
  <c r="V166" i="26"/>
  <c r="R167" i="26"/>
  <c r="S167" i="26" s="1"/>
  <c r="U167" i="26"/>
  <c r="V167" i="26"/>
  <c r="R168" i="26"/>
  <c r="S168" i="26" s="1"/>
  <c r="U168" i="26"/>
  <c r="V168" i="26"/>
  <c r="R169" i="26"/>
  <c r="S169" i="26" s="1"/>
  <c r="T169" i="26" s="1"/>
  <c r="U169" i="26"/>
  <c r="V169" i="26"/>
  <c r="R170" i="26"/>
  <c r="S170" i="26" s="1"/>
  <c r="U170" i="26"/>
  <c r="V170" i="26"/>
  <c r="R171" i="26"/>
  <c r="S171" i="26" s="1"/>
  <c r="T171" i="26" s="1"/>
  <c r="U171" i="26"/>
  <c r="V171" i="26"/>
  <c r="R172" i="26"/>
  <c r="S172" i="26" s="1"/>
  <c r="U172" i="26"/>
  <c r="V172" i="26"/>
  <c r="R173" i="26"/>
  <c r="S173" i="26" s="1"/>
  <c r="U173" i="26"/>
  <c r="V173" i="26"/>
  <c r="R174" i="26"/>
  <c r="S174" i="26" s="1"/>
  <c r="U174" i="26"/>
  <c r="V174" i="26"/>
  <c r="R175" i="26"/>
  <c r="S175" i="26" s="1"/>
  <c r="U175" i="26"/>
  <c r="V175" i="26"/>
  <c r="R176" i="26"/>
  <c r="S176" i="26" s="1"/>
  <c r="U176" i="26"/>
  <c r="V176" i="26"/>
  <c r="R177" i="26"/>
  <c r="S177" i="26" s="1"/>
  <c r="U177" i="26"/>
  <c r="V177" i="26"/>
  <c r="R178" i="26"/>
  <c r="S178" i="26" s="1"/>
  <c r="U178" i="26"/>
  <c r="V178" i="26"/>
  <c r="R179" i="26"/>
  <c r="S179" i="26" s="1"/>
  <c r="T179" i="26" s="1"/>
  <c r="U179" i="26"/>
  <c r="V179" i="26"/>
  <c r="R180" i="26"/>
  <c r="S180" i="26" s="1"/>
  <c r="U180" i="26"/>
  <c r="V180" i="26"/>
  <c r="R181" i="26"/>
  <c r="S181" i="26" s="1"/>
  <c r="T181" i="26" s="1"/>
  <c r="U181" i="26"/>
  <c r="V181" i="26"/>
  <c r="R182" i="26"/>
  <c r="S182" i="26" s="1"/>
  <c r="T182" i="26" s="1"/>
  <c r="U182" i="26"/>
  <c r="V182" i="26"/>
  <c r="R183" i="26"/>
  <c r="S183" i="26" s="1"/>
  <c r="T183" i="26" s="1"/>
  <c r="U183" i="26"/>
  <c r="V183" i="26"/>
  <c r="R184" i="26"/>
  <c r="S184" i="26" s="1"/>
  <c r="U184" i="26"/>
  <c r="V184" i="26"/>
  <c r="R185" i="26"/>
  <c r="S185" i="26" s="1"/>
  <c r="T185" i="26" s="1"/>
  <c r="U185" i="26"/>
  <c r="V185" i="26"/>
  <c r="R186" i="26"/>
  <c r="S186" i="26" s="1"/>
  <c r="U186" i="26"/>
  <c r="V186" i="26"/>
  <c r="R187" i="26"/>
  <c r="S187" i="26" s="1"/>
  <c r="T187" i="26" s="1"/>
  <c r="U187" i="26"/>
  <c r="V187" i="26"/>
  <c r="R188" i="26"/>
  <c r="S188" i="26" s="1"/>
  <c r="U188" i="26"/>
  <c r="V188" i="26"/>
  <c r="R189" i="26"/>
  <c r="S189" i="26" s="1"/>
  <c r="U189" i="26"/>
  <c r="V189" i="26"/>
  <c r="R190" i="26"/>
  <c r="S190" i="26" s="1"/>
  <c r="T190" i="26" s="1"/>
  <c r="U190" i="26"/>
  <c r="V190" i="26"/>
  <c r="R191" i="26"/>
  <c r="S191" i="26" s="1"/>
  <c r="T191" i="26" s="1"/>
  <c r="U191" i="26"/>
  <c r="V191" i="26"/>
  <c r="R192" i="26"/>
  <c r="S192" i="26" s="1"/>
  <c r="U192" i="26"/>
  <c r="V192" i="26"/>
  <c r="R193" i="26"/>
  <c r="S193" i="26" s="1"/>
  <c r="U193" i="26"/>
  <c r="V193" i="26"/>
  <c r="R194" i="26"/>
  <c r="S194" i="26" s="1"/>
  <c r="U194" i="26"/>
  <c r="V194" i="26"/>
  <c r="R195" i="26"/>
  <c r="S195" i="26" s="1"/>
  <c r="T195" i="26" s="1"/>
  <c r="U195" i="26"/>
  <c r="V195" i="26"/>
  <c r="R196" i="26"/>
  <c r="S196" i="26" s="1"/>
  <c r="U196" i="26"/>
  <c r="V196" i="26"/>
  <c r="R197" i="26"/>
  <c r="S197" i="26" s="1"/>
  <c r="U197" i="26"/>
  <c r="V197" i="26"/>
  <c r="R198" i="26"/>
  <c r="S198" i="26" s="1"/>
  <c r="U198" i="26"/>
  <c r="V198" i="26"/>
  <c r="R199" i="26"/>
  <c r="S199" i="26" s="1"/>
  <c r="U199" i="26"/>
  <c r="V199" i="26"/>
  <c r="R200" i="26"/>
  <c r="S200" i="26" s="1"/>
  <c r="T200" i="26" s="1"/>
  <c r="U200" i="26"/>
  <c r="V200" i="26"/>
  <c r="R201" i="26"/>
  <c r="S201" i="26" s="1"/>
  <c r="U201" i="26"/>
  <c r="V201" i="26"/>
  <c r="R202" i="26"/>
  <c r="S202" i="26" s="1"/>
  <c r="T202" i="26" s="1"/>
  <c r="U202" i="26"/>
  <c r="V202" i="26"/>
  <c r="R203" i="26"/>
  <c r="S203" i="26" s="1"/>
  <c r="U203" i="26"/>
  <c r="V203" i="26"/>
  <c r="R204" i="26"/>
  <c r="S204" i="26" s="1"/>
  <c r="T204" i="26" s="1"/>
  <c r="U204" i="26"/>
  <c r="V204" i="26"/>
  <c r="R205" i="26"/>
  <c r="S205" i="26" s="1"/>
  <c r="T205" i="26" s="1"/>
  <c r="U205" i="26"/>
  <c r="V205" i="26"/>
  <c r="L6" i="26"/>
  <c r="N6" i="26"/>
  <c r="N7" i="26"/>
  <c r="M8" i="26"/>
  <c r="N8" i="26"/>
  <c r="N9" i="26"/>
  <c r="N10" i="26"/>
  <c r="L11" i="26"/>
  <c r="N11" i="26"/>
  <c r="N12" i="26"/>
  <c r="N13" i="26"/>
  <c r="N14" i="26"/>
  <c r="N15" i="26"/>
  <c r="M16" i="26"/>
  <c r="N16" i="26"/>
  <c r="N17" i="26"/>
  <c r="N18" i="26"/>
  <c r="L19" i="26"/>
  <c r="N19" i="26"/>
  <c r="N20" i="26"/>
  <c r="N21" i="26"/>
  <c r="N22" i="26"/>
  <c r="N23" i="26"/>
  <c r="M24" i="26"/>
  <c r="N24" i="26"/>
  <c r="N25" i="26"/>
  <c r="N26" i="26"/>
  <c r="L27" i="26"/>
  <c r="N27" i="26"/>
  <c r="N28" i="26"/>
  <c r="N29" i="26"/>
  <c r="N30" i="26"/>
  <c r="N31" i="26"/>
  <c r="M32" i="26"/>
  <c r="N32" i="26"/>
  <c r="N33" i="26"/>
  <c r="N34" i="26"/>
  <c r="L35" i="26"/>
  <c r="N35" i="26"/>
  <c r="N36" i="26"/>
  <c r="N37" i="26"/>
  <c r="N38" i="26"/>
  <c r="N39" i="26"/>
  <c r="M40" i="26"/>
  <c r="N40" i="26"/>
  <c r="N41" i="26"/>
  <c r="N42" i="26"/>
  <c r="L43" i="26"/>
  <c r="N43" i="26"/>
  <c r="N44" i="26"/>
  <c r="N45" i="26"/>
  <c r="N46" i="26"/>
  <c r="N47" i="26"/>
  <c r="M48" i="26"/>
  <c r="N48" i="26"/>
  <c r="N49" i="26"/>
  <c r="N50" i="26"/>
  <c r="L51" i="26"/>
  <c r="N51" i="26"/>
  <c r="N52" i="26"/>
  <c r="N53" i="26"/>
  <c r="N54" i="26"/>
  <c r="N55" i="26"/>
  <c r="M56" i="26"/>
  <c r="N56" i="26"/>
  <c r="N57" i="26"/>
  <c r="N58" i="26"/>
  <c r="L59" i="26"/>
  <c r="N59" i="26"/>
  <c r="N60" i="26"/>
  <c r="N61" i="26"/>
  <c r="N62" i="26"/>
  <c r="N63" i="26"/>
  <c r="M64" i="26"/>
  <c r="N64" i="26"/>
  <c r="N65" i="26"/>
  <c r="N66" i="26"/>
  <c r="N67" i="26"/>
  <c r="N68" i="26"/>
  <c r="N69" i="26"/>
  <c r="N70" i="26"/>
  <c r="N71" i="26"/>
  <c r="N72" i="26"/>
  <c r="N73" i="26"/>
  <c r="N74" i="26"/>
  <c r="N75" i="26"/>
  <c r="N76" i="26"/>
  <c r="N77" i="26"/>
  <c r="N78" i="26"/>
  <c r="N79" i="26"/>
  <c r="N80" i="26"/>
  <c r="N81" i="26"/>
  <c r="N82" i="26"/>
  <c r="N83" i="26"/>
  <c r="N84" i="26"/>
  <c r="N85" i="26"/>
  <c r="N86" i="26"/>
  <c r="N87" i="26"/>
  <c r="N88" i="26"/>
  <c r="N89" i="26"/>
  <c r="N90" i="26"/>
  <c r="N91" i="26"/>
  <c r="N92" i="26"/>
  <c r="N93" i="26"/>
  <c r="N94" i="26"/>
  <c r="N95" i="26"/>
  <c r="N96" i="26"/>
  <c r="N97" i="26"/>
  <c r="N98" i="26"/>
  <c r="N99" i="26"/>
  <c r="N100" i="26"/>
  <c r="N101" i="26"/>
  <c r="M102" i="26"/>
  <c r="N102" i="26"/>
  <c r="N103" i="26"/>
  <c r="M104" i="26"/>
  <c r="N104" i="26"/>
  <c r="N105" i="26"/>
  <c r="M106" i="26"/>
  <c r="N106" i="26"/>
  <c r="N107" i="26"/>
  <c r="M108" i="26"/>
  <c r="N108" i="26"/>
  <c r="N109" i="26"/>
  <c r="M110" i="26"/>
  <c r="N110" i="26"/>
  <c r="N111" i="26"/>
  <c r="M112" i="26"/>
  <c r="N112" i="26"/>
  <c r="N113" i="26"/>
  <c r="M114" i="26"/>
  <c r="N114" i="26"/>
  <c r="N115" i="26"/>
  <c r="M116" i="26"/>
  <c r="N116" i="26"/>
  <c r="N117" i="26"/>
  <c r="M118" i="26"/>
  <c r="N118" i="26"/>
  <c r="N119" i="26"/>
  <c r="M120" i="26"/>
  <c r="N120" i="26"/>
  <c r="N121" i="26"/>
  <c r="M122" i="26"/>
  <c r="N122" i="26"/>
  <c r="N123" i="26"/>
  <c r="M124" i="26"/>
  <c r="N124" i="26"/>
  <c r="N125" i="26"/>
  <c r="M126" i="26"/>
  <c r="N126" i="26"/>
  <c r="N127" i="26"/>
  <c r="M128" i="26"/>
  <c r="N128" i="26"/>
  <c r="N129" i="26"/>
  <c r="M130" i="26"/>
  <c r="N130" i="26"/>
  <c r="N131" i="26"/>
  <c r="L132" i="26"/>
  <c r="N132" i="26"/>
  <c r="N133" i="26"/>
  <c r="L134" i="26"/>
  <c r="N134" i="26"/>
  <c r="N135" i="26"/>
  <c r="L136" i="26"/>
  <c r="N136" i="26"/>
  <c r="N137" i="26"/>
  <c r="L138" i="26"/>
  <c r="N138" i="26"/>
  <c r="N139" i="26"/>
  <c r="L140" i="26"/>
  <c r="N140" i="26"/>
  <c r="N141" i="26"/>
  <c r="L142" i="26"/>
  <c r="N142" i="26"/>
  <c r="N143" i="26"/>
  <c r="L144" i="26"/>
  <c r="N144" i="26"/>
  <c r="N145" i="26"/>
  <c r="L146" i="26"/>
  <c r="N146" i="26"/>
  <c r="N147" i="26"/>
  <c r="L148" i="26"/>
  <c r="N148" i="26"/>
  <c r="N149" i="26"/>
  <c r="L150" i="26"/>
  <c r="N150" i="26"/>
  <c r="N151" i="26"/>
  <c r="J152" i="26"/>
  <c r="K152" i="26" s="1"/>
  <c r="N152" i="26"/>
  <c r="N153" i="26"/>
  <c r="J154" i="26"/>
  <c r="N154" i="26"/>
  <c r="N155" i="26"/>
  <c r="J156" i="26"/>
  <c r="K156" i="26" s="1"/>
  <c r="N156" i="26"/>
  <c r="N157" i="26"/>
  <c r="J158" i="26"/>
  <c r="N158" i="26"/>
  <c r="N159" i="26"/>
  <c r="J160" i="26"/>
  <c r="K160" i="26" s="1"/>
  <c r="N160" i="26"/>
  <c r="N161" i="26"/>
  <c r="J162" i="26"/>
  <c r="N162" i="26"/>
  <c r="N163" i="26"/>
  <c r="J164" i="26"/>
  <c r="K164" i="26" s="1"/>
  <c r="N164" i="26"/>
  <c r="N165" i="26"/>
  <c r="J166" i="26"/>
  <c r="N166" i="26"/>
  <c r="N167" i="26"/>
  <c r="J168" i="26"/>
  <c r="K168" i="26" s="1"/>
  <c r="N168" i="26"/>
  <c r="N169" i="26"/>
  <c r="J170" i="26"/>
  <c r="N170" i="26"/>
  <c r="N171" i="26"/>
  <c r="J172" i="26"/>
  <c r="K172" i="26" s="1"/>
  <c r="N172" i="26"/>
  <c r="N173" i="26"/>
  <c r="J174" i="26"/>
  <c r="N174" i="26"/>
  <c r="N175" i="26"/>
  <c r="N176" i="26"/>
  <c r="N177" i="26"/>
  <c r="N178" i="26"/>
  <c r="N179" i="26"/>
  <c r="N180" i="26"/>
  <c r="N181" i="26"/>
  <c r="N182" i="26"/>
  <c r="M183" i="26"/>
  <c r="N183" i="26"/>
  <c r="N184" i="26"/>
  <c r="M185" i="26"/>
  <c r="N185" i="26"/>
  <c r="N186" i="26"/>
  <c r="M187" i="26"/>
  <c r="N187" i="26"/>
  <c r="N188" i="26"/>
  <c r="M189" i="26"/>
  <c r="N189" i="26"/>
  <c r="N190" i="26"/>
  <c r="M191" i="26"/>
  <c r="N191" i="26"/>
  <c r="N192" i="26"/>
  <c r="M193" i="26"/>
  <c r="N193" i="26"/>
  <c r="N194" i="26"/>
  <c r="M195" i="26"/>
  <c r="N195" i="26"/>
  <c r="N196" i="26"/>
  <c r="M197" i="26"/>
  <c r="N197" i="26"/>
  <c r="N198" i="26"/>
  <c r="M199" i="26"/>
  <c r="N199" i="26"/>
  <c r="N200" i="26"/>
  <c r="M201" i="26"/>
  <c r="N201" i="26"/>
  <c r="N202" i="26"/>
  <c r="M203" i="26"/>
  <c r="N203" i="26"/>
  <c r="N204" i="26"/>
  <c r="M205" i="26"/>
  <c r="N205" i="26"/>
  <c r="F5" i="19"/>
  <c r="U7" i="19" s="1"/>
  <c r="F15" i="19"/>
  <c r="F6" i="19"/>
  <c r="V6" i="19" s="1"/>
  <c r="U86" i="19"/>
  <c r="V86" i="19"/>
  <c r="U87" i="19"/>
  <c r="V87" i="19"/>
  <c r="U88" i="19"/>
  <c r="V88" i="19"/>
  <c r="U89" i="19"/>
  <c r="V89" i="19"/>
  <c r="U90" i="19"/>
  <c r="V90" i="19"/>
  <c r="U91" i="19"/>
  <c r="V91" i="19"/>
  <c r="U92" i="19"/>
  <c r="V92" i="19"/>
  <c r="U93" i="19"/>
  <c r="V93" i="19"/>
  <c r="U94" i="19"/>
  <c r="V94" i="19"/>
  <c r="U95" i="19"/>
  <c r="V95" i="19"/>
  <c r="R96" i="19"/>
  <c r="U96" i="19"/>
  <c r="V96" i="19"/>
  <c r="R97" i="19"/>
  <c r="U97" i="19"/>
  <c r="V97" i="19"/>
  <c r="R98" i="19"/>
  <c r="U98" i="19"/>
  <c r="V98" i="19"/>
  <c r="R99" i="19"/>
  <c r="U99" i="19"/>
  <c r="V99" i="19"/>
  <c r="R100" i="19"/>
  <c r="U100" i="19"/>
  <c r="V100" i="19"/>
  <c r="R101" i="19"/>
  <c r="U101" i="19"/>
  <c r="V101" i="19"/>
  <c r="R102" i="19"/>
  <c r="S102" i="19" s="1"/>
  <c r="T102" i="19" s="1"/>
  <c r="U102" i="19"/>
  <c r="V102" i="19"/>
  <c r="R103" i="19"/>
  <c r="U103" i="19"/>
  <c r="V103" i="19"/>
  <c r="R104" i="19"/>
  <c r="U104" i="19"/>
  <c r="V104" i="19"/>
  <c r="R105" i="19"/>
  <c r="U105" i="19"/>
  <c r="V105" i="19"/>
  <c r="R106" i="19"/>
  <c r="U106" i="19"/>
  <c r="V106" i="19"/>
  <c r="R107" i="19"/>
  <c r="U107" i="19"/>
  <c r="V107" i="19"/>
  <c r="R108" i="19"/>
  <c r="U108" i="19"/>
  <c r="V108" i="19"/>
  <c r="R109" i="19"/>
  <c r="U109" i="19"/>
  <c r="V109" i="19"/>
  <c r="R110" i="19"/>
  <c r="S110" i="19" s="1"/>
  <c r="T110" i="19" s="1"/>
  <c r="U110" i="19"/>
  <c r="V110" i="19"/>
  <c r="R111" i="19"/>
  <c r="U111" i="19"/>
  <c r="V111" i="19"/>
  <c r="R112" i="19"/>
  <c r="U112" i="19"/>
  <c r="V112" i="19"/>
  <c r="R113" i="19"/>
  <c r="U113" i="19"/>
  <c r="V113" i="19"/>
  <c r="R114" i="19"/>
  <c r="U114" i="19"/>
  <c r="V114" i="19"/>
  <c r="R115" i="19"/>
  <c r="U115" i="19"/>
  <c r="V115" i="19"/>
  <c r="R116" i="19"/>
  <c r="U116" i="19"/>
  <c r="V116" i="19"/>
  <c r="R117" i="19"/>
  <c r="U117" i="19"/>
  <c r="V117" i="19"/>
  <c r="R118" i="19"/>
  <c r="S118" i="19" s="1"/>
  <c r="T118" i="19" s="1"/>
  <c r="U118" i="19"/>
  <c r="V118" i="19"/>
  <c r="R119" i="19"/>
  <c r="U119" i="19"/>
  <c r="V119" i="19"/>
  <c r="R120" i="19"/>
  <c r="U120" i="19"/>
  <c r="V120" i="19"/>
  <c r="R121" i="19"/>
  <c r="U121" i="19"/>
  <c r="V121" i="19"/>
  <c r="R122" i="19"/>
  <c r="U122" i="19"/>
  <c r="V122" i="19"/>
  <c r="R123" i="19"/>
  <c r="U123" i="19"/>
  <c r="V123" i="19"/>
  <c r="R124" i="19"/>
  <c r="U124" i="19"/>
  <c r="V124" i="19"/>
  <c r="R125" i="19"/>
  <c r="U125" i="19"/>
  <c r="V125" i="19"/>
  <c r="R126" i="19"/>
  <c r="S126" i="19" s="1"/>
  <c r="T126" i="19" s="1"/>
  <c r="U126" i="19"/>
  <c r="V126" i="19"/>
  <c r="R127" i="19"/>
  <c r="U127" i="19"/>
  <c r="V127" i="19"/>
  <c r="R128" i="19"/>
  <c r="U128" i="19"/>
  <c r="V128" i="19"/>
  <c r="R129" i="19"/>
  <c r="U129" i="19"/>
  <c r="V129" i="19"/>
  <c r="R130" i="19"/>
  <c r="U130" i="19"/>
  <c r="V130" i="19"/>
  <c r="R131" i="19"/>
  <c r="U131" i="19"/>
  <c r="V131" i="19"/>
  <c r="R132" i="19"/>
  <c r="U132" i="19"/>
  <c r="V132" i="19"/>
  <c r="R133" i="19"/>
  <c r="U133" i="19"/>
  <c r="V133" i="19"/>
  <c r="R134" i="19"/>
  <c r="S134" i="19" s="1"/>
  <c r="T134" i="19" s="1"/>
  <c r="U134" i="19"/>
  <c r="V134" i="19"/>
  <c r="R135" i="19"/>
  <c r="U135" i="19"/>
  <c r="V135" i="19"/>
  <c r="R136" i="19"/>
  <c r="U136" i="19"/>
  <c r="V136" i="19"/>
  <c r="R137" i="19"/>
  <c r="U137" i="19"/>
  <c r="V137" i="19"/>
  <c r="R138" i="19"/>
  <c r="U138" i="19"/>
  <c r="V138" i="19"/>
  <c r="R139" i="19"/>
  <c r="U139" i="19"/>
  <c r="V139" i="19"/>
  <c r="R140" i="19"/>
  <c r="U140" i="19"/>
  <c r="V140" i="19"/>
  <c r="R141" i="19"/>
  <c r="U141" i="19"/>
  <c r="V141" i="19"/>
  <c r="R142" i="19"/>
  <c r="S142" i="19" s="1"/>
  <c r="T142" i="19" s="1"/>
  <c r="U142" i="19"/>
  <c r="V142" i="19"/>
  <c r="R143" i="19"/>
  <c r="U143" i="19"/>
  <c r="V143" i="19"/>
  <c r="R144" i="19"/>
  <c r="U144" i="19"/>
  <c r="V144" i="19"/>
  <c r="R145" i="19"/>
  <c r="U145" i="19"/>
  <c r="V145" i="19"/>
  <c r="R146" i="19"/>
  <c r="U146" i="19"/>
  <c r="V146" i="19"/>
  <c r="R147" i="19"/>
  <c r="U147" i="19"/>
  <c r="V147" i="19"/>
  <c r="R148" i="19"/>
  <c r="U148" i="19"/>
  <c r="V148" i="19"/>
  <c r="R149" i="19"/>
  <c r="U149" i="19"/>
  <c r="V149" i="19"/>
  <c r="R150" i="19"/>
  <c r="S150" i="19" s="1"/>
  <c r="T150" i="19" s="1"/>
  <c r="U150" i="19"/>
  <c r="V150" i="19"/>
  <c r="R151" i="19"/>
  <c r="U151" i="19"/>
  <c r="V151" i="19"/>
  <c r="R152" i="19"/>
  <c r="U152" i="19"/>
  <c r="V152" i="19"/>
  <c r="R153" i="19"/>
  <c r="U153" i="19"/>
  <c r="V153" i="19"/>
  <c r="R154" i="19"/>
  <c r="U154" i="19"/>
  <c r="V154" i="19"/>
  <c r="R155" i="19"/>
  <c r="U155" i="19"/>
  <c r="V155" i="19"/>
  <c r="R156" i="19"/>
  <c r="U156" i="19"/>
  <c r="V156" i="19"/>
  <c r="R157" i="19"/>
  <c r="U157" i="19"/>
  <c r="V157" i="19"/>
  <c r="R158" i="19"/>
  <c r="S158" i="19" s="1"/>
  <c r="T158" i="19" s="1"/>
  <c r="U158" i="19"/>
  <c r="V158" i="19"/>
  <c r="R159" i="19"/>
  <c r="U159" i="19"/>
  <c r="V159" i="19"/>
  <c r="R160" i="19"/>
  <c r="U160" i="19"/>
  <c r="V160" i="19"/>
  <c r="R161" i="19"/>
  <c r="U161" i="19"/>
  <c r="V161" i="19"/>
  <c r="R162" i="19"/>
  <c r="U162" i="19"/>
  <c r="V162" i="19"/>
  <c r="R163" i="19"/>
  <c r="U163" i="19"/>
  <c r="V163" i="19"/>
  <c r="R164" i="19"/>
  <c r="U164" i="19"/>
  <c r="V164" i="19"/>
  <c r="R165" i="19"/>
  <c r="U165" i="19"/>
  <c r="V165" i="19"/>
  <c r="R166" i="19"/>
  <c r="S166" i="19" s="1"/>
  <c r="T166" i="19" s="1"/>
  <c r="U166" i="19"/>
  <c r="V166" i="19"/>
  <c r="R167" i="19"/>
  <c r="U167" i="19"/>
  <c r="V167" i="19"/>
  <c r="R168" i="19"/>
  <c r="U168" i="19"/>
  <c r="V168" i="19"/>
  <c r="R169" i="19"/>
  <c r="U169" i="19"/>
  <c r="V169" i="19"/>
  <c r="R170" i="19"/>
  <c r="U170" i="19"/>
  <c r="V170" i="19"/>
  <c r="R171" i="19"/>
  <c r="U171" i="19"/>
  <c r="V171" i="19"/>
  <c r="R172" i="19"/>
  <c r="U172" i="19"/>
  <c r="V172" i="19"/>
  <c r="R173" i="19"/>
  <c r="U173" i="19"/>
  <c r="V173" i="19"/>
  <c r="R174" i="19"/>
  <c r="S174" i="19" s="1"/>
  <c r="T174" i="19" s="1"/>
  <c r="U174" i="19"/>
  <c r="V174" i="19"/>
  <c r="R175" i="19"/>
  <c r="U175" i="19"/>
  <c r="V175" i="19"/>
  <c r="R176" i="19"/>
  <c r="U176" i="19"/>
  <c r="V176" i="19"/>
  <c r="R177" i="19"/>
  <c r="U177" i="19"/>
  <c r="V177" i="19"/>
  <c r="R178" i="19"/>
  <c r="U178" i="19"/>
  <c r="V178" i="19"/>
  <c r="R179" i="19"/>
  <c r="U179" i="19"/>
  <c r="V179" i="19"/>
  <c r="R180" i="19"/>
  <c r="U180" i="19"/>
  <c r="V180" i="19"/>
  <c r="R181" i="19"/>
  <c r="U181" i="19"/>
  <c r="V181" i="19"/>
  <c r="R182" i="19"/>
  <c r="S182" i="19" s="1"/>
  <c r="T182" i="19" s="1"/>
  <c r="U182" i="19"/>
  <c r="V182" i="19"/>
  <c r="R183" i="19"/>
  <c r="U183" i="19"/>
  <c r="V183" i="19"/>
  <c r="R184" i="19"/>
  <c r="U184" i="19"/>
  <c r="V184" i="19"/>
  <c r="R185" i="19"/>
  <c r="U185" i="19"/>
  <c r="V185" i="19"/>
  <c r="R186" i="19"/>
  <c r="U186" i="19"/>
  <c r="V186" i="19"/>
  <c r="R187" i="19"/>
  <c r="U187" i="19"/>
  <c r="V187" i="19"/>
  <c r="R188" i="19"/>
  <c r="U188" i="19"/>
  <c r="V188" i="19"/>
  <c r="R189" i="19"/>
  <c r="U189" i="19"/>
  <c r="V189" i="19"/>
  <c r="R190" i="19"/>
  <c r="S190" i="19" s="1"/>
  <c r="T190" i="19" s="1"/>
  <c r="U190" i="19"/>
  <c r="V190" i="19"/>
  <c r="R191" i="19"/>
  <c r="U191" i="19"/>
  <c r="V191" i="19"/>
  <c r="R192" i="19"/>
  <c r="U192" i="19"/>
  <c r="V192" i="19"/>
  <c r="R193" i="19"/>
  <c r="U193" i="19"/>
  <c r="V193" i="19"/>
  <c r="R194" i="19"/>
  <c r="U194" i="19"/>
  <c r="V194" i="19"/>
  <c r="R195" i="19"/>
  <c r="U195" i="19"/>
  <c r="V195" i="19"/>
  <c r="R196" i="19"/>
  <c r="U196" i="19"/>
  <c r="V196" i="19"/>
  <c r="R197" i="19"/>
  <c r="U197" i="19"/>
  <c r="V197" i="19"/>
  <c r="R198" i="19"/>
  <c r="S198" i="19" s="1"/>
  <c r="T198" i="19" s="1"/>
  <c r="U198" i="19"/>
  <c r="V198" i="19"/>
  <c r="R199" i="19"/>
  <c r="U199" i="19"/>
  <c r="V199" i="19"/>
  <c r="R200" i="19"/>
  <c r="U200" i="19"/>
  <c r="V200" i="19"/>
  <c r="R201" i="19"/>
  <c r="U201" i="19"/>
  <c r="V201" i="19"/>
  <c r="R202" i="19"/>
  <c r="U202" i="19"/>
  <c r="V202" i="19"/>
  <c r="R203" i="19"/>
  <c r="U203" i="19"/>
  <c r="V203" i="19"/>
  <c r="R204" i="19"/>
  <c r="U204" i="19"/>
  <c r="V204" i="19"/>
  <c r="R205" i="19"/>
  <c r="U205" i="19"/>
  <c r="V205" i="19"/>
  <c r="F8" i="19"/>
  <c r="F9" i="19"/>
  <c r="N6" i="19"/>
  <c r="N7" i="19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N25" i="19"/>
  <c r="N26" i="19"/>
  <c r="N27" i="19"/>
  <c r="N28" i="19"/>
  <c r="N29" i="19"/>
  <c r="N30" i="19"/>
  <c r="N31" i="19"/>
  <c r="N32" i="19"/>
  <c r="N33" i="19"/>
  <c r="N34" i="19"/>
  <c r="N35" i="19"/>
  <c r="N36" i="19"/>
  <c r="N37" i="19"/>
  <c r="N38" i="19"/>
  <c r="N39" i="19"/>
  <c r="N40" i="19"/>
  <c r="N41" i="19"/>
  <c r="N42" i="19"/>
  <c r="N43" i="19"/>
  <c r="N44" i="19"/>
  <c r="N45" i="19"/>
  <c r="N46" i="19"/>
  <c r="N47" i="19"/>
  <c r="N48" i="19"/>
  <c r="N49" i="19"/>
  <c r="N50" i="19"/>
  <c r="N51" i="19"/>
  <c r="N52" i="19"/>
  <c r="N53" i="19"/>
  <c r="N54" i="19"/>
  <c r="N55" i="19"/>
  <c r="N56" i="19"/>
  <c r="N57" i="19"/>
  <c r="N58" i="19"/>
  <c r="L59" i="19"/>
  <c r="N59" i="19"/>
  <c r="N60" i="19"/>
  <c r="N61" i="19"/>
  <c r="N62" i="19"/>
  <c r="N63" i="19"/>
  <c r="N64" i="19"/>
  <c r="N65" i="19"/>
  <c r="N66" i="19"/>
  <c r="N67" i="19"/>
  <c r="N68" i="19"/>
  <c r="N69" i="19"/>
  <c r="N70" i="19"/>
  <c r="N71" i="19"/>
  <c r="N72" i="19"/>
  <c r="N73" i="19"/>
  <c r="N74" i="19"/>
  <c r="N75" i="19"/>
  <c r="N76" i="19"/>
  <c r="N77" i="19"/>
  <c r="N78" i="19"/>
  <c r="N79" i="19"/>
  <c r="N80" i="19"/>
  <c r="N81" i="19"/>
  <c r="N82" i="19"/>
  <c r="N83" i="19"/>
  <c r="N84" i="19"/>
  <c r="N85" i="19"/>
  <c r="L86" i="19"/>
  <c r="N86" i="19"/>
  <c r="N87" i="19"/>
  <c r="N88" i="19"/>
  <c r="N89" i="19"/>
  <c r="N90" i="19"/>
  <c r="M91" i="19"/>
  <c r="N91" i="19"/>
  <c r="N92" i="19"/>
  <c r="N93" i="19"/>
  <c r="L94" i="19"/>
  <c r="N94" i="19"/>
  <c r="N95" i="19"/>
  <c r="M96" i="19"/>
  <c r="N96" i="19"/>
  <c r="N97" i="19"/>
  <c r="M98" i="19"/>
  <c r="N98" i="19"/>
  <c r="N99" i="19"/>
  <c r="M100" i="19"/>
  <c r="N100" i="19"/>
  <c r="N101" i="19"/>
  <c r="M102" i="19"/>
  <c r="N102" i="19"/>
  <c r="N103" i="19"/>
  <c r="M104" i="19"/>
  <c r="N104" i="19"/>
  <c r="N105" i="19"/>
  <c r="M106" i="19"/>
  <c r="N106" i="19"/>
  <c r="N107" i="19"/>
  <c r="M108" i="19"/>
  <c r="N108" i="19"/>
  <c r="N109" i="19"/>
  <c r="M110" i="19"/>
  <c r="N110" i="19"/>
  <c r="N111" i="19"/>
  <c r="M112" i="19"/>
  <c r="N112" i="19"/>
  <c r="N113" i="19"/>
  <c r="M114" i="19"/>
  <c r="N114" i="19"/>
  <c r="N115" i="19"/>
  <c r="M116" i="19"/>
  <c r="N116" i="19"/>
  <c r="N117" i="19"/>
  <c r="M118" i="19"/>
  <c r="N118" i="19"/>
  <c r="N119" i="19"/>
  <c r="M120" i="19"/>
  <c r="N120" i="19"/>
  <c r="N121" i="19"/>
  <c r="M122" i="19"/>
  <c r="N122" i="19"/>
  <c r="N123" i="19"/>
  <c r="M124" i="19"/>
  <c r="N124" i="19"/>
  <c r="N125" i="19"/>
  <c r="M126" i="19"/>
  <c r="N126" i="19"/>
  <c r="N127" i="19"/>
  <c r="M128" i="19"/>
  <c r="N128" i="19"/>
  <c r="N129" i="19"/>
  <c r="M130" i="19"/>
  <c r="N130" i="19"/>
  <c r="N131" i="19"/>
  <c r="M132" i="19"/>
  <c r="N132" i="19"/>
  <c r="N133" i="19"/>
  <c r="M134" i="19"/>
  <c r="N134" i="19"/>
  <c r="N135" i="19"/>
  <c r="M136" i="19"/>
  <c r="N136" i="19"/>
  <c r="N137" i="19"/>
  <c r="M138" i="19"/>
  <c r="N138" i="19"/>
  <c r="N139" i="19"/>
  <c r="M140" i="19"/>
  <c r="N140" i="19"/>
  <c r="N141" i="19"/>
  <c r="M142" i="19"/>
  <c r="N142" i="19"/>
  <c r="N143" i="19"/>
  <c r="M144" i="19"/>
  <c r="N144" i="19"/>
  <c r="N145" i="19"/>
  <c r="M146" i="19"/>
  <c r="N146" i="19"/>
  <c r="N147" i="19"/>
  <c r="M148" i="19"/>
  <c r="N148" i="19"/>
  <c r="N149" i="19"/>
  <c r="M150" i="19"/>
  <c r="N150" i="19"/>
  <c r="N151" i="19"/>
  <c r="M152" i="19"/>
  <c r="N152" i="19"/>
  <c r="N153" i="19"/>
  <c r="M154" i="19"/>
  <c r="N154" i="19"/>
  <c r="N155" i="19"/>
  <c r="M156" i="19"/>
  <c r="N156" i="19"/>
  <c r="N157" i="19"/>
  <c r="M158" i="19"/>
  <c r="N158" i="19"/>
  <c r="N159" i="19"/>
  <c r="M160" i="19"/>
  <c r="N160" i="19"/>
  <c r="N161" i="19"/>
  <c r="M162" i="19"/>
  <c r="N162" i="19"/>
  <c r="N163" i="19"/>
  <c r="M164" i="19"/>
  <c r="N164" i="19"/>
  <c r="N165" i="19"/>
  <c r="M166" i="19"/>
  <c r="N166" i="19"/>
  <c r="N167" i="19"/>
  <c r="M168" i="19"/>
  <c r="N168" i="19"/>
  <c r="N169" i="19"/>
  <c r="M170" i="19"/>
  <c r="N170" i="19"/>
  <c r="N171" i="19"/>
  <c r="M172" i="19"/>
  <c r="N172" i="19"/>
  <c r="N173" i="19"/>
  <c r="M174" i="19"/>
  <c r="N174" i="19"/>
  <c r="N175" i="19"/>
  <c r="M176" i="19"/>
  <c r="N176" i="19"/>
  <c r="N177" i="19"/>
  <c r="M178" i="19"/>
  <c r="N178" i="19"/>
  <c r="N179" i="19"/>
  <c r="M180" i="19"/>
  <c r="N180" i="19"/>
  <c r="N181" i="19"/>
  <c r="M182" i="19"/>
  <c r="N182" i="19"/>
  <c r="N183" i="19"/>
  <c r="M184" i="19"/>
  <c r="N184" i="19"/>
  <c r="N185" i="19"/>
  <c r="M186" i="19"/>
  <c r="N186" i="19"/>
  <c r="N187" i="19"/>
  <c r="M188" i="19"/>
  <c r="N188" i="19"/>
  <c r="N189" i="19"/>
  <c r="M190" i="19"/>
  <c r="N190" i="19"/>
  <c r="N191" i="19"/>
  <c r="M192" i="19"/>
  <c r="N192" i="19"/>
  <c r="N193" i="19"/>
  <c r="M194" i="19"/>
  <c r="N194" i="19"/>
  <c r="N195" i="19"/>
  <c r="M196" i="19"/>
  <c r="N196" i="19"/>
  <c r="N197" i="19"/>
  <c r="M198" i="19"/>
  <c r="N198" i="19"/>
  <c r="N199" i="19"/>
  <c r="M200" i="19"/>
  <c r="N200" i="19"/>
  <c r="N201" i="19"/>
  <c r="M202" i="19"/>
  <c r="N202" i="19"/>
  <c r="N203" i="19"/>
  <c r="M204" i="19"/>
  <c r="N204" i="19"/>
  <c r="N205" i="19"/>
  <c r="F19" i="18"/>
  <c r="E25" i="18"/>
  <c r="F25" i="18" s="1"/>
  <c r="G25" i="18" s="1"/>
  <c r="E26" i="18"/>
  <c r="F26" i="18" s="1"/>
  <c r="E27" i="18"/>
  <c r="F27" i="18" s="1"/>
  <c r="E28" i="18"/>
  <c r="F28" i="18" s="1"/>
  <c r="E29" i="18"/>
  <c r="F29" i="18" s="1"/>
  <c r="E30" i="18"/>
  <c r="F30" i="18" s="1"/>
  <c r="E31" i="18"/>
  <c r="F31" i="18" s="1"/>
  <c r="E32" i="18"/>
  <c r="F32" i="18"/>
  <c r="E33" i="18"/>
  <c r="F33" i="18" s="1"/>
  <c r="E34" i="18"/>
  <c r="F34" i="18" s="1"/>
  <c r="E35" i="18"/>
  <c r="F35" i="18" s="1"/>
  <c r="E36" i="18"/>
  <c r="F36" i="18" s="1"/>
  <c r="E37" i="18"/>
  <c r="F37" i="18" s="1"/>
  <c r="E38" i="18"/>
  <c r="F38" i="18" s="1"/>
  <c r="E39" i="18"/>
  <c r="F39" i="18" s="1"/>
  <c r="E40" i="18"/>
  <c r="F40" i="18" s="1"/>
  <c r="E41" i="18"/>
  <c r="F41" i="18" s="1"/>
  <c r="E42" i="18"/>
  <c r="F42" i="18" s="1"/>
  <c r="G43" i="18" s="1"/>
  <c r="F5" i="18"/>
  <c r="F15" i="18"/>
  <c r="F6" i="18"/>
  <c r="V7" i="18" s="1"/>
  <c r="Q67" i="18"/>
  <c r="Q68" i="18"/>
  <c r="Q69" i="18"/>
  <c r="Q70" i="18"/>
  <c r="Q71" i="18"/>
  <c r="Q72" i="18"/>
  <c r="Q73" i="18"/>
  <c r="Q74" i="18"/>
  <c r="Q75" i="18"/>
  <c r="Q76" i="18"/>
  <c r="Q77" i="18"/>
  <c r="Q78" i="18"/>
  <c r="Q79" i="18"/>
  <c r="V79" i="18"/>
  <c r="Q80" i="18"/>
  <c r="Q81" i="18"/>
  <c r="V81" i="18"/>
  <c r="Q82" i="18"/>
  <c r="Q83" i="18"/>
  <c r="Q84" i="18"/>
  <c r="Q85" i="18"/>
  <c r="Q86" i="18"/>
  <c r="U86" i="18"/>
  <c r="V86" i="18"/>
  <c r="Q87" i="18"/>
  <c r="U87" i="18"/>
  <c r="V87" i="18"/>
  <c r="Q88" i="18"/>
  <c r="U88" i="18"/>
  <c r="V88" i="18"/>
  <c r="Q89" i="18"/>
  <c r="U89" i="18"/>
  <c r="V89" i="18"/>
  <c r="Q90" i="18"/>
  <c r="U90" i="18"/>
  <c r="V90" i="18"/>
  <c r="Q91" i="18"/>
  <c r="U91" i="18"/>
  <c r="V91" i="18"/>
  <c r="Q92" i="18"/>
  <c r="U92" i="18"/>
  <c r="V92" i="18"/>
  <c r="Q93" i="18"/>
  <c r="U93" i="18"/>
  <c r="V93" i="18"/>
  <c r="Q94" i="18"/>
  <c r="U94" i="18"/>
  <c r="V94" i="18"/>
  <c r="Q95" i="18"/>
  <c r="U95" i="18"/>
  <c r="V95" i="18"/>
  <c r="U96" i="18"/>
  <c r="V96" i="18"/>
  <c r="U97" i="18"/>
  <c r="V97" i="18"/>
  <c r="U98" i="18"/>
  <c r="V98" i="18"/>
  <c r="U99" i="18"/>
  <c r="V99" i="18"/>
  <c r="U100" i="18"/>
  <c r="V100" i="18"/>
  <c r="U101" i="18"/>
  <c r="V101" i="18"/>
  <c r="U102" i="18"/>
  <c r="V102" i="18"/>
  <c r="U103" i="18"/>
  <c r="V103" i="18"/>
  <c r="U104" i="18"/>
  <c r="V104" i="18"/>
  <c r="U105" i="18"/>
  <c r="V105" i="18"/>
  <c r="U106" i="18"/>
  <c r="V106" i="18"/>
  <c r="U107" i="18"/>
  <c r="V107" i="18"/>
  <c r="U108" i="18"/>
  <c r="V108" i="18"/>
  <c r="U109" i="18"/>
  <c r="V109" i="18"/>
  <c r="U110" i="18"/>
  <c r="V110" i="18"/>
  <c r="U111" i="18"/>
  <c r="V111" i="18"/>
  <c r="U112" i="18"/>
  <c r="V112" i="18"/>
  <c r="U113" i="18"/>
  <c r="V113" i="18"/>
  <c r="U114" i="18"/>
  <c r="V114" i="18"/>
  <c r="U115" i="18"/>
  <c r="V115" i="18"/>
  <c r="U116" i="18"/>
  <c r="V116" i="18"/>
  <c r="U117" i="18"/>
  <c r="V117" i="18"/>
  <c r="U118" i="18"/>
  <c r="V118" i="18"/>
  <c r="U119" i="18"/>
  <c r="V119" i="18"/>
  <c r="U120" i="18"/>
  <c r="V120" i="18"/>
  <c r="U121" i="18"/>
  <c r="V121" i="18"/>
  <c r="U122" i="18"/>
  <c r="V122" i="18"/>
  <c r="U123" i="18"/>
  <c r="V123" i="18"/>
  <c r="U124" i="18"/>
  <c r="V124" i="18"/>
  <c r="U125" i="18"/>
  <c r="V125" i="18"/>
  <c r="U126" i="18"/>
  <c r="V126" i="18"/>
  <c r="U127" i="18"/>
  <c r="V127" i="18"/>
  <c r="U128" i="18"/>
  <c r="V128" i="18"/>
  <c r="U129" i="18"/>
  <c r="V129" i="18"/>
  <c r="U130" i="18"/>
  <c r="V130" i="18"/>
  <c r="U131" i="18"/>
  <c r="V131" i="18"/>
  <c r="U132" i="18"/>
  <c r="V132" i="18"/>
  <c r="U133" i="18"/>
  <c r="V133" i="18"/>
  <c r="U134" i="18"/>
  <c r="V134" i="18"/>
  <c r="U135" i="18"/>
  <c r="V135" i="18"/>
  <c r="U136" i="18"/>
  <c r="V136" i="18"/>
  <c r="U137" i="18"/>
  <c r="V137" i="18"/>
  <c r="U138" i="18"/>
  <c r="V138" i="18"/>
  <c r="U139" i="18"/>
  <c r="V139" i="18"/>
  <c r="U140" i="18"/>
  <c r="V140" i="18"/>
  <c r="U141" i="18"/>
  <c r="V141" i="18"/>
  <c r="U142" i="18"/>
  <c r="V142" i="18"/>
  <c r="U143" i="18"/>
  <c r="V143" i="18"/>
  <c r="U144" i="18"/>
  <c r="V144" i="18"/>
  <c r="U145" i="18"/>
  <c r="V145" i="18"/>
  <c r="U146" i="18"/>
  <c r="V146" i="18"/>
  <c r="U147" i="18"/>
  <c r="V147" i="18"/>
  <c r="U148" i="18"/>
  <c r="V148" i="18"/>
  <c r="U149" i="18"/>
  <c r="V149" i="18"/>
  <c r="U150" i="18"/>
  <c r="V150" i="18"/>
  <c r="U151" i="18"/>
  <c r="V151" i="18"/>
  <c r="U152" i="18"/>
  <c r="V152" i="18"/>
  <c r="U153" i="18"/>
  <c r="V153" i="18"/>
  <c r="U154" i="18"/>
  <c r="V154" i="18"/>
  <c r="U155" i="18"/>
  <c r="V155" i="18"/>
  <c r="U156" i="18"/>
  <c r="V156" i="18"/>
  <c r="U157" i="18"/>
  <c r="V157" i="18"/>
  <c r="U158" i="18"/>
  <c r="V158" i="18"/>
  <c r="U159" i="18"/>
  <c r="V159" i="18"/>
  <c r="U160" i="18"/>
  <c r="V160" i="18"/>
  <c r="U161" i="18"/>
  <c r="V161" i="18"/>
  <c r="U162" i="18"/>
  <c r="V162" i="18"/>
  <c r="U163" i="18"/>
  <c r="V163" i="18"/>
  <c r="U164" i="18"/>
  <c r="V164" i="18"/>
  <c r="U165" i="18"/>
  <c r="V165" i="18"/>
  <c r="U166" i="18"/>
  <c r="V166" i="18"/>
  <c r="U167" i="18"/>
  <c r="V167" i="18"/>
  <c r="U168" i="18"/>
  <c r="V168" i="18"/>
  <c r="U169" i="18"/>
  <c r="V169" i="18"/>
  <c r="U170" i="18"/>
  <c r="V170" i="18"/>
  <c r="U171" i="18"/>
  <c r="V171" i="18"/>
  <c r="U172" i="18"/>
  <c r="V172" i="18"/>
  <c r="U173" i="18"/>
  <c r="V173" i="18"/>
  <c r="U174" i="18"/>
  <c r="V174" i="18"/>
  <c r="U175" i="18"/>
  <c r="V175" i="18"/>
  <c r="U176" i="18"/>
  <c r="V176" i="18"/>
  <c r="U177" i="18"/>
  <c r="V177" i="18"/>
  <c r="U178" i="18"/>
  <c r="V178" i="18"/>
  <c r="U179" i="18"/>
  <c r="V179" i="18"/>
  <c r="U180" i="18"/>
  <c r="V180" i="18"/>
  <c r="U181" i="18"/>
  <c r="V181" i="18"/>
  <c r="U182" i="18"/>
  <c r="V182" i="18"/>
  <c r="U183" i="18"/>
  <c r="V183" i="18"/>
  <c r="U184" i="18"/>
  <c r="V184" i="18"/>
  <c r="U185" i="18"/>
  <c r="V185" i="18"/>
  <c r="U186" i="18"/>
  <c r="V186" i="18"/>
  <c r="U187" i="18"/>
  <c r="V187" i="18"/>
  <c r="U188" i="18"/>
  <c r="V188" i="18"/>
  <c r="U189" i="18"/>
  <c r="V189" i="18"/>
  <c r="U190" i="18"/>
  <c r="V190" i="18"/>
  <c r="U191" i="18"/>
  <c r="V191" i="18"/>
  <c r="U192" i="18"/>
  <c r="V192" i="18"/>
  <c r="U193" i="18"/>
  <c r="V193" i="18"/>
  <c r="U194" i="18"/>
  <c r="V194" i="18"/>
  <c r="U195" i="18"/>
  <c r="V195" i="18"/>
  <c r="U196" i="18"/>
  <c r="V196" i="18"/>
  <c r="U197" i="18"/>
  <c r="V197" i="18"/>
  <c r="U198" i="18"/>
  <c r="V198" i="18"/>
  <c r="U199" i="18"/>
  <c r="V199" i="18"/>
  <c r="U200" i="18"/>
  <c r="V200" i="18"/>
  <c r="U201" i="18"/>
  <c r="V201" i="18"/>
  <c r="U202" i="18"/>
  <c r="V202" i="18"/>
  <c r="U203" i="18"/>
  <c r="V203" i="18"/>
  <c r="U204" i="18"/>
  <c r="V204" i="18"/>
  <c r="U205" i="18"/>
  <c r="V205" i="18"/>
  <c r="F10" i="18"/>
  <c r="L97" i="18" s="1"/>
  <c r="F11" i="18"/>
  <c r="F13" i="18"/>
  <c r="F8" i="18"/>
  <c r="F9" i="18"/>
  <c r="N6" i="18"/>
  <c r="N7" i="18"/>
  <c r="N8" i="18"/>
  <c r="N9" i="18"/>
  <c r="N10" i="18"/>
  <c r="N11" i="18"/>
  <c r="N12" i="18"/>
  <c r="N13" i="18"/>
  <c r="N14" i="18"/>
  <c r="N15" i="18"/>
  <c r="N16" i="18"/>
  <c r="N17" i="18"/>
  <c r="N18" i="18"/>
  <c r="N19" i="18"/>
  <c r="N20" i="18"/>
  <c r="N21" i="18"/>
  <c r="N22" i="18"/>
  <c r="N23" i="18"/>
  <c r="N24" i="18"/>
  <c r="N25" i="18"/>
  <c r="N26" i="18"/>
  <c r="N27" i="18"/>
  <c r="N28" i="18"/>
  <c r="N29" i="18"/>
  <c r="N30" i="18"/>
  <c r="N31" i="18"/>
  <c r="N32" i="18"/>
  <c r="N33" i="18"/>
  <c r="N34" i="18"/>
  <c r="N35" i="18"/>
  <c r="N36" i="18"/>
  <c r="N37" i="18"/>
  <c r="N38" i="18"/>
  <c r="N39" i="18"/>
  <c r="N40" i="18"/>
  <c r="N41" i="18"/>
  <c r="N42" i="18"/>
  <c r="N43" i="18"/>
  <c r="N44" i="18"/>
  <c r="N45" i="18"/>
  <c r="N46" i="18"/>
  <c r="N47" i="18"/>
  <c r="N48" i="18"/>
  <c r="N49" i="18"/>
  <c r="N50" i="18"/>
  <c r="N51" i="18"/>
  <c r="N52" i="18"/>
  <c r="N53" i="18"/>
  <c r="N54" i="18"/>
  <c r="N55" i="18"/>
  <c r="N56" i="18"/>
  <c r="N57" i="18"/>
  <c r="N58" i="18"/>
  <c r="N59" i="18"/>
  <c r="N60" i="18"/>
  <c r="N61" i="18"/>
  <c r="N62" i="18"/>
  <c r="N63" i="18"/>
  <c r="N64" i="18"/>
  <c r="N65" i="18"/>
  <c r="N66" i="18"/>
  <c r="N67" i="18"/>
  <c r="N68" i="18"/>
  <c r="N69" i="18"/>
  <c r="N70" i="18"/>
  <c r="N71" i="18"/>
  <c r="N72" i="18"/>
  <c r="N73" i="18"/>
  <c r="N74" i="18"/>
  <c r="N75" i="18"/>
  <c r="N76" i="18"/>
  <c r="N77" i="18"/>
  <c r="N78" i="18"/>
  <c r="N79" i="18"/>
  <c r="N80" i="18"/>
  <c r="N81" i="18"/>
  <c r="N82" i="18"/>
  <c r="N83" i="18"/>
  <c r="N84" i="18"/>
  <c r="N85" i="18"/>
  <c r="N86" i="18"/>
  <c r="N87" i="18"/>
  <c r="N88" i="18"/>
  <c r="N89" i="18"/>
  <c r="N90" i="18"/>
  <c r="N91" i="18"/>
  <c r="N92" i="18"/>
  <c r="N93" i="18"/>
  <c r="N94" i="18"/>
  <c r="N95" i="18"/>
  <c r="N96" i="18"/>
  <c r="N97" i="18"/>
  <c r="N98" i="18"/>
  <c r="N99" i="18"/>
  <c r="N100" i="18"/>
  <c r="N101" i="18"/>
  <c r="N102" i="18"/>
  <c r="N103" i="18"/>
  <c r="N104" i="18"/>
  <c r="N105" i="18"/>
  <c r="N106" i="18"/>
  <c r="N107" i="18"/>
  <c r="N108" i="18"/>
  <c r="N109" i="18"/>
  <c r="N110" i="18"/>
  <c r="N111" i="18"/>
  <c r="N112" i="18"/>
  <c r="N113" i="18"/>
  <c r="N114" i="18"/>
  <c r="N115" i="18"/>
  <c r="N116" i="18"/>
  <c r="N117" i="18"/>
  <c r="N118" i="18"/>
  <c r="N119" i="18"/>
  <c r="N120" i="18"/>
  <c r="N121" i="18"/>
  <c r="N122" i="18"/>
  <c r="N123" i="18"/>
  <c r="N124" i="18"/>
  <c r="N125" i="18"/>
  <c r="N126" i="18"/>
  <c r="N127" i="18"/>
  <c r="N128" i="18"/>
  <c r="N129" i="18"/>
  <c r="N130" i="18"/>
  <c r="N131" i="18"/>
  <c r="N132" i="18"/>
  <c r="N133" i="18"/>
  <c r="N134" i="18"/>
  <c r="N135" i="18"/>
  <c r="N136" i="18"/>
  <c r="N137" i="18"/>
  <c r="N138" i="18"/>
  <c r="N139" i="18"/>
  <c r="N140" i="18"/>
  <c r="N141" i="18"/>
  <c r="N142" i="18"/>
  <c r="N143" i="18"/>
  <c r="N144" i="18"/>
  <c r="N145" i="18"/>
  <c r="N146" i="18"/>
  <c r="N147" i="18"/>
  <c r="N148" i="18"/>
  <c r="N149" i="18"/>
  <c r="N150" i="18"/>
  <c r="N151" i="18"/>
  <c r="N152" i="18"/>
  <c r="N153" i="18"/>
  <c r="N154" i="18"/>
  <c r="N155" i="18"/>
  <c r="N156" i="18"/>
  <c r="N157" i="18"/>
  <c r="N158" i="18"/>
  <c r="N159" i="18"/>
  <c r="N160" i="18"/>
  <c r="N161" i="18"/>
  <c r="N162" i="18"/>
  <c r="N163" i="18"/>
  <c r="N164" i="18"/>
  <c r="N165" i="18"/>
  <c r="N166" i="18"/>
  <c r="N167" i="18"/>
  <c r="N168" i="18"/>
  <c r="N169" i="18"/>
  <c r="N170" i="18"/>
  <c r="N171" i="18"/>
  <c r="N172" i="18"/>
  <c r="N173" i="18"/>
  <c r="N174" i="18"/>
  <c r="N175" i="18"/>
  <c r="N176" i="18"/>
  <c r="N177" i="18"/>
  <c r="N178" i="18"/>
  <c r="N179" i="18"/>
  <c r="N180" i="18"/>
  <c r="N181" i="18"/>
  <c r="N182" i="18"/>
  <c r="N183" i="18"/>
  <c r="N184" i="18"/>
  <c r="N185" i="18"/>
  <c r="N186" i="18"/>
  <c r="N187" i="18"/>
  <c r="N188" i="18"/>
  <c r="N189" i="18"/>
  <c r="N190" i="18"/>
  <c r="N191" i="18"/>
  <c r="N192" i="18"/>
  <c r="N193" i="18"/>
  <c r="N194" i="18"/>
  <c r="N195" i="18"/>
  <c r="N196" i="18"/>
  <c r="N197" i="18"/>
  <c r="N198" i="18"/>
  <c r="N199" i="18"/>
  <c r="N200" i="18"/>
  <c r="N201" i="18"/>
  <c r="N202" i="18"/>
  <c r="N203" i="18"/>
  <c r="N204" i="18"/>
  <c r="N205" i="18"/>
  <c r="F19" i="13"/>
  <c r="S5" i="13" s="1"/>
  <c r="T5" i="13" s="1"/>
  <c r="E25" i="13"/>
  <c r="F25" i="13" s="1"/>
  <c r="G25" i="13" s="1"/>
  <c r="E26" i="13"/>
  <c r="F26" i="13" s="1"/>
  <c r="E27" i="13"/>
  <c r="F27" i="13" s="1"/>
  <c r="E28" i="13"/>
  <c r="F28" i="13" s="1"/>
  <c r="E29" i="13"/>
  <c r="F29" i="13" s="1"/>
  <c r="E30" i="13"/>
  <c r="F30" i="13" s="1"/>
  <c r="E31" i="13"/>
  <c r="F31" i="13" s="1"/>
  <c r="E32" i="13"/>
  <c r="F32" i="13" s="1"/>
  <c r="E33" i="13"/>
  <c r="F33" i="13" s="1"/>
  <c r="E34" i="13"/>
  <c r="F34" i="13" s="1"/>
  <c r="E35" i="13"/>
  <c r="F35" i="13" s="1"/>
  <c r="E36" i="13"/>
  <c r="F36" i="13" s="1"/>
  <c r="E37" i="13"/>
  <c r="F37" i="13" s="1"/>
  <c r="E38" i="13"/>
  <c r="F38" i="13" s="1"/>
  <c r="E39" i="13"/>
  <c r="F39" i="13" s="1"/>
  <c r="E40" i="13"/>
  <c r="F40" i="13" s="1"/>
  <c r="E41" i="13"/>
  <c r="F41" i="13" s="1"/>
  <c r="E42" i="13"/>
  <c r="F42" i="13" s="1"/>
  <c r="E43" i="13"/>
  <c r="F43" i="13" s="1"/>
  <c r="E44" i="13"/>
  <c r="F44" i="13" s="1"/>
  <c r="E45" i="13"/>
  <c r="F45" i="13" s="1"/>
  <c r="E46" i="13"/>
  <c r="F46" i="13" s="1"/>
  <c r="G47" i="13" s="1"/>
  <c r="F5" i="13"/>
  <c r="F15" i="13"/>
  <c r="F6" i="13"/>
  <c r="V9" i="13" s="1"/>
  <c r="U87" i="13"/>
  <c r="U91" i="13"/>
  <c r="U94" i="13"/>
  <c r="U103" i="13"/>
  <c r="U107" i="13"/>
  <c r="U110" i="13"/>
  <c r="U119" i="13"/>
  <c r="U123" i="13"/>
  <c r="U126" i="13"/>
  <c r="U135" i="13"/>
  <c r="V138" i="13"/>
  <c r="U139" i="13"/>
  <c r="V142" i="13"/>
  <c r="V143" i="13"/>
  <c r="V144" i="13"/>
  <c r="V147" i="13"/>
  <c r="U149" i="13"/>
  <c r="V149" i="13"/>
  <c r="U152" i="13"/>
  <c r="U153" i="13"/>
  <c r="V153" i="13"/>
  <c r="U156" i="13"/>
  <c r="V156" i="13"/>
  <c r="U157" i="13"/>
  <c r="V157" i="13"/>
  <c r="U158" i="13"/>
  <c r="V158" i="13"/>
  <c r="U159" i="13"/>
  <c r="V159" i="13"/>
  <c r="U160" i="13"/>
  <c r="V160" i="13"/>
  <c r="U161" i="13"/>
  <c r="V161" i="13"/>
  <c r="U162" i="13"/>
  <c r="V162" i="13"/>
  <c r="U163" i="13"/>
  <c r="V163" i="13"/>
  <c r="U164" i="13"/>
  <c r="V164" i="13"/>
  <c r="U165" i="13"/>
  <c r="V165" i="13"/>
  <c r="R166" i="13"/>
  <c r="U166" i="13"/>
  <c r="V166" i="13"/>
  <c r="R167" i="13"/>
  <c r="U167" i="13"/>
  <c r="V167" i="13"/>
  <c r="R168" i="13"/>
  <c r="U168" i="13"/>
  <c r="V168" i="13"/>
  <c r="R169" i="13"/>
  <c r="U169" i="13"/>
  <c r="V169" i="13"/>
  <c r="R170" i="13"/>
  <c r="U170" i="13"/>
  <c r="V170" i="13"/>
  <c r="R171" i="13"/>
  <c r="U171" i="13"/>
  <c r="V171" i="13"/>
  <c r="R172" i="13"/>
  <c r="U172" i="13"/>
  <c r="V172" i="13"/>
  <c r="R173" i="13"/>
  <c r="U173" i="13"/>
  <c r="V173" i="13"/>
  <c r="R174" i="13"/>
  <c r="U174" i="13"/>
  <c r="V174" i="13"/>
  <c r="R175" i="13"/>
  <c r="U175" i="13"/>
  <c r="V175" i="13"/>
  <c r="R176" i="13"/>
  <c r="U176" i="13"/>
  <c r="V176" i="13"/>
  <c r="R177" i="13"/>
  <c r="U177" i="13"/>
  <c r="V177" i="13"/>
  <c r="R178" i="13"/>
  <c r="U178" i="13"/>
  <c r="V178" i="13"/>
  <c r="R179" i="13"/>
  <c r="U179" i="13"/>
  <c r="V179" i="13"/>
  <c r="R180" i="13"/>
  <c r="U180" i="13"/>
  <c r="V180" i="13"/>
  <c r="R181" i="13"/>
  <c r="U181" i="13"/>
  <c r="V181" i="13"/>
  <c r="R182" i="13"/>
  <c r="U182" i="13"/>
  <c r="V182" i="13"/>
  <c r="R183" i="13"/>
  <c r="U183" i="13"/>
  <c r="V183" i="13"/>
  <c r="R184" i="13"/>
  <c r="U184" i="13"/>
  <c r="V184" i="13"/>
  <c r="R185" i="13"/>
  <c r="U185" i="13"/>
  <c r="V185" i="13"/>
  <c r="R186" i="13"/>
  <c r="U186" i="13"/>
  <c r="V186" i="13"/>
  <c r="R187" i="13"/>
  <c r="U187" i="13"/>
  <c r="V187" i="13"/>
  <c r="R188" i="13"/>
  <c r="U188" i="13"/>
  <c r="V188" i="13"/>
  <c r="R189" i="13"/>
  <c r="U189" i="13"/>
  <c r="V189" i="13"/>
  <c r="R190" i="13"/>
  <c r="U190" i="13"/>
  <c r="V190" i="13"/>
  <c r="R191" i="13"/>
  <c r="U191" i="13"/>
  <c r="V191" i="13"/>
  <c r="R192" i="13"/>
  <c r="U192" i="13"/>
  <c r="V192" i="13"/>
  <c r="R193" i="13"/>
  <c r="U193" i="13"/>
  <c r="V193" i="13"/>
  <c r="R194" i="13"/>
  <c r="U194" i="13"/>
  <c r="V194" i="13"/>
  <c r="R195" i="13"/>
  <c r="U195" i="13"/>
  <c r="V195" i="13"/>
  <c r="R196" i="13"/>
  <c r="U196" i="13"/>
  <c r="V196" i="13"/>
  <c r="R197" i="13"/>
  <c r="U197" i="13"/>
  <c r="V197" i="13"/>
  <c r="R198" i="13"/>
  <c r="U198" i="13"/>
  <c r="V198" i="13"/>
  <c r="R199" i="13"/>
  <c r="U199" i="13"/>
  <c r="V199" i="13"/>
  <c r="R200" i="13"/>
  <c r="U200" i="13"/>
  <c r="V200" i="13"/>
  <c r="R201" i="13"/>
  <c r="U201" i="13"/>
  <c r="V201" i="13"/>
  <c r="R202" i="13"/>
  <c r="U202" i="13"/>
  <c r="V202" i="13"/>
  <c r="R203" i="13"/>
  <c r="U203" i="13"/>
  <c r="V203" i="13"/>
  <c r="R204" i="13"/>
  <c r="U204" i="13"/>
  <c r="V204" i="13"/>
  <c r="R205" i="13"/>
  <c r="U205" i="13"/>
  <c r="V205" i="13"/>
  <c r="F13" i="13"/>
  <c r="F8" i="13"/>
  <c r="L42" i="13" s="1"/>
  <c r="F9" i="13"/>
  <c r="N6" i="13"/>
  <c r="N7" i="13"/>
  <c r="N8" i="13"/>
  <c r="N9" i="13"/>
  <c r="N10" i="13"/>
  <c r="N11" i="13"/>
  <c r="N12" i="13"/>
  <c r="N13" i="13"/>
  <c r="N14" i="13"/>
  <c r="N15" i="13"/>
  <c r="N16" i="13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N60" i="13"/>
  <c r="N61" i="13"/>
  <c r="N62" i="13"/>
  <c r="N63" i="13"/>
  <c r="N64" i="13"/>
  <c r="N65" i="13"/>
  <c r="N66" i="13"/>
  <c r="N67" i="13"/>
  <c r="N68" i="13"/>
  <c r="N69" i="13"/>
  <c r="N70" i="13"/>
  <c r="N71" i="13"/>
  <c r="N72" i="13"/>
  <c r="N73" i="13"/>
  <c r="N74" i="13"/>
  <c r="N75" i="13"/>
  <c r="N76" i="13"/>
  <c r="N77" i="13"/>
  <c r="N78" i="13"/>
  <c r="N79" i="13"/>
  <c r="N80" i="13"/>
  <c r="N81" i="13"/>
  <c r="N82" i="13"/>
  <c r="N83" i="13"/>
  <c r="N84" i="13"/>
  <c r="N85" i="13"/>
  <c r="N86" i="13"/>
  <c r="N87" i="13"/>
  <c r="N88" i="13"/>
  <c r="N89" i="13"/>
  <c r="N90" i="13"/>
  <c r="N91" i="13"/>
  <c r="N92" i="13"/>
  <c r="N93" i="13"/>
  <c r="N94" i="13"/>
  <c r="N95" i="13"/>
  <c r="N96" i="13"/>
  <c r="N97" i="13"/>
  <c r="N98" i="13"/>
  <c r="N99" i="13"/>
  <c r="N100" i="13"/>
  <c r="N101" i="13"/>
  <c r="N102" i="13"/>
  <c r="N103" i="13"/>
  <c r="N104" i="13"/>
  <c r="N105" i="13"/>
  <c r="N106" i="13"/>
  <c r="N107" i="13"/>
  <c r="N108" i="13"/>
  <c r="N109" i="13"/>
  <c r="N110" i="13"/>
  <c r="N111" i="13"/>
  <c r="N112" i="13"/>
  <c r="N113" i="13"/>
  <c r="N114" i="13"/>
  <c r="N115" i="13"/>
  <c r="N116" i="13"/>
  <c r="N117" i="13"/>
  <c r="N118" i="13"/>
  <c r="N119" i="13"/>
  <c r="N120" i="13"/>
  <c r="N121" i="13"/>
  <c r="N122" i="13"/>
  <c r="N123" i="13"/>
  <c r="N124" i="13"/>
  <c r="N125" i="13"/>
  <c r="N126" i="13"/>
  <c r="N127" i="13"/>
  <c r="L128" i="13"/>
  <c r="N128" i="13"/>
  <c r="N129" i="13"/>
  <c r="N130" i="13"/>
  <c r="N131" i="13"/>
  <c r="N132" i="13"/>
  <c r="N133" i="13"/>
  <c r="L134" i="13"/>
  <c r="N134" i="13"/>
  <c r="N135" i="13"/>
  <c r="N136" i="13"/>
  <c r="N137" i="13"/>
  <c r="N138" i="13"/>
  <c r="L139" i="13"/>
  <c r="N139" i="13"/>
  <c r="N140" i="13"/>
  <c r="N141" i="13"/>
  <c r="N142" i="13"/>
  <c r="L143" i="13"/>
  <c r="N143" i="13"/>
  <c r="N144" i="13"/>
  <c r="N145" i="13"/>
  <c r="N146" i="13"/>
  <c r="N147" i="13"/>
  <c r="N148" i="13"/>
  <c r="L149" i="13"/>
  <c r="N149" i="13"/>
  <c r="N150" i="13"/>
  <c r="N151" i="13"/>
  <c r="N152" i="13"/>
  <c r="L153" i="13"/>
  <c r="N153" i="13"/>
  <c r="N154" i="13"/>
  <c r="N155" i="13"/>
  <c r="N156" i="13"/>
  <c r="L157" i="13"/>
  <c r="N157" i="13"/>
  <c r="N158" i="13"/>
  <c r="M159" i="13"/>
  <c r="N159" i="13"/>
  <c r="N160" i="13"/>
  <c r="N161" i="13"/>
  <c r="L162" i="13"/>
  <c r="M162" i="13"/>
  <c r="N162" i="13"/>
  <c r="N163" i="13"/>
  <c r="N164" i="13"/>
  <c r="L165" i="13"/>
  <c r="N165" i="13"/>
  <c r="N166" i="13"/>
  <c r="J167" i="13"/>
  <c r="L167" i="13"/>
  <c r="N167" i="13"/>
  <c r="N168" i="13"/>
  <c r="J169" i="13"/>
  <c r="L169" i="13"/>
  <c r="N169" i="13"/>
  <c r="N170" i="13"/>
  <c r="J171" i="13"/>
  <c r="L171" i="13"/>
  <c r="N171" i="13"/>
  <c r="N172" i="13"/>
  <c r="J173" i="13"/>
  <c r="L173" i="13"/>
  <c r="N173" i="13"/>
  <c r="N174" i="13"/>
  <c r="J175" i="13"/>
  <c r="L175" i="13"/>
  <c r="N175" i="13"/>
  <c r="N176" i="13"/>
  <c r="J177" i="13"/>
  <c r="L177" i="13"/>
  <c r="N177" i="13"/>
  <c r="N178" i="13"/>
  <c r="J179" i="13"/>
  <c r="L179" i="13"/>
  <c r="N179" i="13"/>
  <c r="N180" i="13"/>
  <c r="J181" i="13"/>
  <c r="L181" i="13"/>
  <c r="N181" i="13"/>
  <c r="N182" i="13"/>
  <c r="J183" i="13"/>
  <c r="L183" i="13"/>
  <c r="N183" i="13"/>
  <c r="N184" i="13"/>
  <c r="J185" i="13"/>
  <c r="L185" i="13"/>
  <c r="N185" i="13"/>
  <c r="N186" i="13"/>
  <c r="J187" i="13"/>
  <c r="L187" i="13"/>
  <c r="N187" i="13"/>
  <c r="N188" i="13"/>
  <c r="J189" i="13"/>
  <c r="L189" i="13"/>
  <c r="N189" i="13"/>
  <c r="N190" i="13"/>
  <c r="J191" i="13"/>
  <c r="L191" i="13"/>
  <c r="N191" i="13"/>
  <c r="N192" i="13"/>
  <c r="J193" i="13"/>
  <c r="L193" i="13"/>
  <c r="N193" i="13"/>
  <c r="N194" i="13"/>
  <c r="J195" i="13"/>
  <c r="L195" i="13"/>
  <c r="N195" i="13"/>
  <c r="N196" i="13"/>
  <c r="J197" i="13"/>
  <c r="L197" i="13"/>
  <c r="N197" i="13"/>
  <c r="N198" i="13"/>
  <c r="J199" i="13"/>
  <c r="L199" i="13"/>
  <c r="N199" i="13"/>
  <c r="N200" i="13"/>
  <c r="J201" i="13"/>
  <c r="L201" i="13"/>
  <c r="N201" i="13"/>
  <c r="N202" i="13"/>
  <c r="J203" i="13"/>
  <c r="L203" i="13"/>
  <c r="N203" i="13"/>
  <c r="N204" i="13"/>
  <c r="J205" i="13"/>
  <c r="L205" i="13"/>
  <c r="N205" i="13"/>
  <c r="AL35" i="26"/>
  <c r="AL29" i="26"/>
  <c r="AL26" i="26"/>
  <c r="AL23" i="26"/>
  <c r="AP35" i="26"/>
  <c r="AN35" i="26"/>
  <c r="AM35" i="26"/>
  <c r="AP29" i="26"/>
  <c r="AO29" i="26"/>
  <c r="AN29" i="26"/>
  <c r="AM29" i="26"/>
  <c r="AP26" i="26"/>
  <c r="AO26" i="26"/>
  <c r="AN26" i="26"/>
  <c r="AM26" i="26"/>
  <c r="AP23" i="26"/>
  <c r="AO23" i="26"/>
  <c r="AN23" i="26"/>
  <c r="AM23" i="26"/>
  <c r="D101" i="27"/>
  <c r="E101" i="27"/>
  <c r="F101" i="27"/>
  <c r="G101" i="27"/>
  <c r="D102" i="27"/>
  <c r="E102" i="27"/>
  <c r="F102" i="27"/>
  <c r="G102" i="27"/>
  <c r="D85" i="27"/>
  <c r="E85" i="27"/>
  <c r="F85" i="27"/>
  <c r="G85" i="27"/>
  <c r="D86" i="27"/>
  <c r="E86" i="27"/>
  <c r="F86" i="27"/>
  <c r="G86" i="27"/>
  <c r="D69" i="27"/>
  <c r="E69" i="27"/>
  <c r="F69" i="27"/>
  <c r="G69" i="27"/>
  <c r="D70" i="27"/>
  <c r="E70" i="27"/>
  <c r="F70" i="27"/>
  <c r="G70" i="27"/>
  <c r="D53" i="27"/>
  <c r="E53" i="27"/>
  <c r="F53" i="27"/>
  <c r="G53" i="27"/>
  <c r="D54" i="27"/>
  <c r="E54" i="27"/>
  <c r="F54" i="27"/>
  <c r="G54" i="27"/>
  <c r="D37" i="27"/>
  <c r="E37" i="27"/>
  <c r="F37" i="27"/>
  <c r="G37" i="27"/>
  <c r="D38" i="27"/>
  <c r="E38" i="27"/>
  <c r="F38" i="27"/>
  <c r="G38" i="27"/>
  <c r="B22" i="27"/>
  <c r="C22" i="27"/>
  <c r="W172" i="27"/>
  <c r="X172" i="27"/>
  <c r="Y172" i="27"/>
  <c r="Z172" i="27"/>
  <c r="W173" i="27"/>
  <c r="X173" i="27"/>
  <c r="Y173" i="27"/>
  <c r="Z173" i="27"/>
  <c r="W174" i="27"/>
  <c r="X174" i="27"/>
  <c r="Y174" i="27"/>
  <c r="Z174" i="27"/>
  <c r="W175" i="27"/>
  <c r="X175" i="27"/>
  <c r="Y175" i="27"/>
  <c r="Z175" i="27"/>
  <c r="W176" i="27"/>
  <c r="X176" i="27"/>
  <c r="Y176" i="27"/>
  <c r="Z176" i="27"/>
  <c r="W177" i="27"/>
  <c r="X177" i="27"/>
  <c r="Y177" i="27"/>
  <c r="Z177" i="27"/>
  <c r="W178" i="27"/>
  <c r="X178" i="27"/>
  <c r="Y178" i="27"/>
  <c r="Z178" i="27"/>
  <c r="W179" i="27"/>
  <c r="X179" i="27"/>
  <c r="Y179" i="27"/>
  <c r="Z179" i="27"/>
  <c r="W180" i="27"/>
  <c r="X180" i="27"/>
  <c r="Y180" i="27"/>
  <c r="Z180" i="27"/>
  <c r="W181" i="27"/>
  <c r="X181" i="27"/>
  <c r="Y181" i="27"/>
  <c r="Z181" i="27"/>
  <c r="W182" i="27"/>
  <c r="X182" i="27"/>
  <c r="Y182" i="27"/>
  <c r="Z182" i="27"/>
  <c r="W183" i="27"/>
  <c r="X183" i="27"/>
  <c r="Y183" i="27"/>
  <c r="Z183" i="27"/>
  <c r="W184" i="27"/>
  <c r="X184" i="27"/>
  <c r="Y184" i="27"/>
  <c r="Z184" i="27"/>
  <c r="W185" i="27"/>
  <c r="X185" i="27"/>
  <c r="Y185" i="27"/>
  <c r="Z185" i="27"/>
  <c r="W186" i="27"/>
  <c r="X186" i="27"/>
  <c r="Y186" i="27"/>
  <c r="Z186" i="27"/>
  <c r="W187" i="27"/>
  <c r="X187" i="27"/>
  <c r="Y187" i="27"/>
  <c r="Z187" i="27"/>
  <c r="W188" i="27"/>
  <c r="X188" i="27"/>
  <c r="Y188" i="27"/>
  <c r="Z188" i="27"/>
  <c r="W189" i="27"/>
  <c r="X189" i="27"/>
  <c r="Y189" i="27"/>
  <c r="Z189" i="27"/>
  <c r="W190" i="27"/>
  <c r="X190" i="27"/>
  <c r="Y190" i="27"/>
  <c r="Z190" i="27"/>
  <c r="W191" i="27"/>
  <c r="X191" i="27"/>
  <c r="Y191" i="27"/>
  <c r="Z191" i="27"/>
  <c r="W192" i="27"/>
  <c r="X192" i="27"/>
  <c r="Y192" i="27"/>
  <c r="Z192" i="27"/>
  <c r="W193" i="27"/>
  <c r="X193" i="27"/>
  <c r="Y193" i="27"/>
  <c r="Z193" i="27"/>
  <c r="W194" i="27"/>
  <c r="X194" i="27"/>
  <c r="Y194" i="27"/>
  <c r="Z194" i="27"/>
  <c r="W195" i="27"/>
  <c r="X195" i="27"/>
  <c r="Y195" i="27"/>
  <c r="Z195" i="27"/>
  <c r="W196" i="27"/>
  <c r="X196" i="27"/>
  <c r="Y196" i="27"/>
  <c r="Z196" i="27"/>
  <c r="W197" i="27"/>
  <c r="X197" i="27"/>
  <c r="Y197" i="27"/>
  <c r="Z197" i="27"/>
  <c r="W198" i="27"/>
  <c r="X198" i="27"/>
  <c r="Y198" i="27"/>
  <c r="Z198" i="27"/>
  <c r="W199" i="27"/>
  <c r="X199" i="27"/>
  <c r="Y199" i="27"/>
  <c r="Z199" i="27"/>
  <c r="W200" i="27"/>
  <c r="X200" i="27"/>
  <c r="Y200" i="27"/>
  <c r="Z200" i="27"/>
  <c r="W201" i="27"/>
  <c r="X201" i="27"/>
  <c r="Y201" i="27"/>
  <c r="Z201" i="27"/>
  <c r="W202" i="27"/>
  <c r="X202" i="27"/>
  <c r="Y202" i="27"/>
  <c r="Z202" i="27"/>
  <c r="W203" i="27"/>
  <c r="X203" i="27"/>
  <c r="Y203" i="27"/>
  <c r="Z203" i="27"/>
  <c r="W204" i="27"/>
  <c r="X204" i="27"/>
  <c r="Y204" i="27"/>
  <c r="Z204" i="27"/>
  <c r="W205" i="27"/>
  <c r="X205" i="27"/>
  <c r="Y205" i="27"/>
  <c r="Z205" i="27"/>
  <c r="W206" i="27"/>
  <c r="X206" i="27"/>
  <c r="Y206" i="27"/>
  <c r="Z206" i="27"/>
  <c r="W207" i="27"/>
  <c r="X207" i="27"/>
  <c r="Y207" i="27"/>
  <c r="Z207" i="27"/>
  <c r="W208" i="27"/>
  <c r="X208" i="27"/>
  <c r="Y208" i="27"/>
  <c r="Z208" i="27"/>
  <c r="W209" i="27"/>
  <c r="X209" i="27"/>
  <c r="Y209" i="27"/>
  <c r="Z209" i="27"/>
  <c r="W210" i="27"/>
  <c r="X210" i="27"/>
  <c r="Y210" i="27"/>
  <c r="Z210" i="27"/>
  <c r="W211" i="27"/>
  <c r="X211" i="27"/>
  <c r="Y211" i="27"/>
  <c r="Z211" i="27"/>
  <c r="W212" i="27"/>
  <c r="X212" i="27"/>
  <c r="Y212" i="27"/>
  <c r="Z212" i="27"/>
  <c r="W213" i="27"/>
  <c r="X213" i="27"/>
  <c r="Y213" i="27"/>
  <c r="Z213" i="27"/>
  <c r="W214" i="27"/>
  <c r="X214" i="27"/>
  <c r="Y214" i="27"/>
  <c r="Z214" i="27"/>
  <c r="W215" i="27"/>
  <c r="X215" i="27"/>
  <c r="Y215" i="27"/>
  <c r="Z215" i="27"/>
  <c r="W216" i="27"/>
  <c r="X216" i="27"/>
  <c r="Y216" i="27"/>
  <c r="Z216" i="27"/>
  <c r="W217" i="27"/>
  <c r="X217" i="27"/>
  <c r="Y217" i="27"/>
  <c r="Z217" i="27"/>
  <c r="W218" i="27"/>
  <c r="X218" i="27"/>
  <c r="Y218" i="27"/>
  <c r="Z218" i="27"/>
  <c r="W219" i="27"/>
  <c r="X219" i="27"/>
  <c r="Y219" i="27"/>
  <c r="Z219" i="27"/>
  <c r="W220" i="27"/>
  <c r="X220" i="27"/>
  <c r="Y220" i="27"/>
  <c r="Z220" i="27"/>
  <c r="W221" i="27"/>
  <c r="X221" i="27"/>
  <c r="Y221" i="27"/>
  <c r="Z221" i="27"/>
  <c r="Q96" i="18"/>
  <c r="Q97" i="18"/>
  <c r="Q98" i="18"/>
  <c r="Q99" i="18"/>
  <c r="Q100" i="18"/>
  <c r="Q101" i="18"/>
  <c r="Q102" i="18"/>
  <c r="Q103" i="18"/>
  <c r="Q104" i="18"/>
  <c r="Q105" i="18"/>
  <c r="Q106" i="18"/>
  <c r="Q107" i="18"/>
  <c r="Q108" i="18"/>
  <c r="Q109" i="18"/>
  <c r="Q110" i="18"/>
  <c r="Q111" i="18"/>
  <c r="Q112" i="18"/>
  <c r="Q113" i="18"/>
  <c r="Q114" i="18"/>
  <c r="Q115" i="18"/>
  <c r="Q116" i="18"/>
  <c r="Q117" i="18"/>
  <c r="Q118" i="18"/>
  <c r="Q119" i="18"/>
  <c r="Q120" i="18"/>
  <c r="Q121" i="18"/>
  <c r="Q122" i="18"/>
  <c r="Q123" i="18"/>
  <c r="Q124" i="18"/>
  <c r="Q125" i="18"/>
  <c r="Q126" i="18"/>
  <c r="Q127" i="18"/>
  <c r="Q128" i="18"/>
  <c r="Q129" i="18"/>
  <c r="Q130" i="18"/>
  <c r="Q131" i="18"/>
  <c r="Q132" i="18"/>
  <c r="Q133" i="18"/>
  <c r="Q134" i="18"/>
  <c r="Q135" i="18"/>
  <c r="Q96" i="19"/>
  <c r="Q97" i="19"/>
  <c r="Q98" i="19"/>
  <c r="Q99" i="19"/>
  <c r="Q100" i="19"/>
  <c r="Q101" i="19"/>
  <c r="Q102" i="19"/>
  <c r="Q103" i="19"/>
  <c r="Q104" i="19"/>
  <c r="Q105" i="19"/>
  <c r="Q106" i="19"/>
  <c r="Q107" i="19"/>
  <c r="Q108" i="19"/>
  <c r="Q109" i="19"/>
  <c r="Q110" i="19"/>
  <c r="Q111" i="19"/>
  <c r="Q112" i="19"/>
  <c r="Q113" i="19"/>
  <c r="Q114" i="19"/>
  <c r="Q115" i="19"/>
  <c r="Q116" i="19"/>
  <c r="Q117" i="19"/>
  <c r="Q118" i="19"/>
  <c r="Q119" i="19"/>
  <c r="Q120" i="19"/>
  <c r="Q121" i="19"/>
  <c r="Q122" i="19"/>
  <c r="Q123" i="19"/>
  <c r="Q124" i="19"/>
  <c r="Q125" i="19"/>
  <c r="Q126" i="19"/>
  <c r="Q127" i="19"/>
  <c r="Q128" i="19"/>
  <c r="Q129" i="19"/>
  <c r="Q130" i="19"/>
  <c r="Q131" i="19"/>
  <c r="Q132" i="19"/>
  <c r="Q133" i="19"/>
  <c r="Q134" i="19"/>
  <c r="Q135" i="19"/>
  <c r="Y205" i="26"/>
  <c r="Q205" i="26"/>
  <c r="Y204" i="26"/>
  <c r="Q204" i="26"/>
  <c r="Y203" i="26"/>
  <c r="Q203" i="26"/>
  <c r="Y202" i="26"/>
  <c r="Q202" i="26"/>
  <c r="Y201" i="26"/>
  <c r="Q201" i="26"/>
  <c r="Y200" i="26"/>
  <c r="Q200" i="26"/>
  <c r="Y199" i="26"/>
  <c r="Q199" i="26"/>
  <c r="Y198" i="26"/>
  <c r="Q198" i="26"/>
  <c r="Y197" i="26"/>
  <c r="Q197" i="26"/>
  <c r="Y196" i="26"/>
  <c r="Q196" i="26"/>
  <c r="Y195" i="26"/>
  <c r="Q195" i="26"/>
  <c r="Y194" i="26"/>
  <c r="Q194" i="26"/>
  <c r="Y193" i="26"/>
  <c r="Q193" i="26"/>
  <c r="Y192" i="26"/>
  <c r="Q192" i="26"/>
  <c r="Y191" i="26"/>
  <c r="Q191" i="26"/>
  <c r="Y190" i="26"/>
  <c r="Q190" i="26"/>
  <c r="Y189" i="26"/>
  <c r="Q189" i="26"/>
  <c r="Y188" i="26"/>
  <c r="Q188" i="26"/>
  <c r="Y187" i="26"/>
  <c r="Q187" i="26"/>
  <c r="Y186" i="26"/>
  <c r="Q186" i="26"/>
  <c r="Y185" i="26"/>
  <c r="Q185" i="26"/>
  <c r="Y184" i="26"/>
  <c r="Q184" i="26"/>
  <c r="Y183" i="26"/>
  <c r="Q183" i="26"/>
  <c r="Y182" i="26"/>
  <c r="Q182" i="26"/>
  <c r="Y181" i="26"/>
  <c r="Q181" i="26"/>
  <c r="Y180" i="26"/>
  <c r="Q180" i="26"/>
  <c r="Y179" i="26"/>
  <c r="Q179" i="26"/>
  <c r="Y178" i="26"/>
  <c r="Q178" i="26"/>
  <c r="Y177" i="26"/>
  <c r="Q177" i="26"/>
  <c r="Y176" i="26"/>
  <c r="Q176" i="26"/>
  <c r="Y175" i="26"/>
  <c r="Q175" i="26"/>
  <c r="Y174" i="26"/>
  <c r="Q174" i="26"/>
  <c r="Y173" i="26"/>
  <c r="Q173" i="26"/>
  <c r="Y172" i="26"/>
  <c r="Q172" i="26"/>
  <c r="Y171" i="26"/>
  <c r="Q171" i="26"/>
  <c r="Y170" i="26"/>
  <c r="Q170" i="26"/>
  <c r="Y169" i="26"/>
  <c r="Q169" i="26"/>
  <c r="Y168" i="26"/>
  <c r="Q168" i="26"/>
  <c r="Y167" i="26"/>
  <c r="Q167" i="26"/>
  <c r="Y166" i="26"/>
  <c r="Q166" i="26"/>
  <c r="Y165" i="26"/>
  <c r="Q165" i="26"/>
  <c r="Y164" i="26"/>
  <c r="Q164" i="26"/>
  <c r="Y163" i="26"/>
  <c r="Q163" i="26"/>
  <c r="Y162" i="26"/>
  <c r="Q162" i="26"/>
  <c r="Y161" i="26"/>
  <c r="Q161" i="26"/>
  <c r="Y160" i="26"/>
  <c r="Q160" i="26"/>
  <c r="Y159" i="26"/>
  <c r="Q159" i="26"/>
  <c r="Y158" i="26"/>
  <c r="Q158" i="26"/>
  <c r="Y157" i="26"/>
  <c r="Q157" i="26"/>
  <c r="Y156" i="26"/>
  <c r="Q156" i="26"/>
  <c r="D107" i="26"/>
  <c r="C107" i="26"/>
  <c r="H93" i="26"/>
  <c r="H92" i="26"/>
  <c r="H91" i="26"/>
  <c r="H90" i="26"/>
  <c r="H89" i="26"/>
  <c r="H88" i="26"/>
  <c r="H87" i="26"/>
  <c r="H86" i="26"/>
  <c r="H84" i="26"/>
  <c r="H83" i="26"/>
  <c r="H82" i="26"/>
  <c r="S5" i="26"/>
  <c r="T5" i="26" s="1"/>
  <c r="V5" i="26"/>
  <c r="N5" i="26"/>
  <c r="D107" i="18"/>
  <c r="C107" i="18"/>
  <c r="D9" i="18"/>
  <c r="D107" i="13"/>
  <c r="C107" i="13"/>
  <c r="D9" i="13"/>
  <c r="Y205" i="13"/>
  <c r="Q205" i="13"/>
  <c r="Y204" i="13"/>
  <c r="Q204" i="13"/>
  <c r="Y203" i="13"/>
  <c r="Q203" i="13"/>
  <c r="Y202" i="13"/>
  <c r="Q202" i="13"/>
  <c r="Y201" i="13"/>
  <c r="Q201" i="13"/>
  <c r="Y200" i="13"/>
  <c r="Q200" i="13"/>
  <c r="Y199" i="13"/>
  <c r="Q199" i="13"/>
  <c r="Y198" i="13"/>
  <c r="Q198" i="13"/>
  <c r="Y197" i="13"/>
  <c r="Q197" i="13"/>
  <c r="Y196" i="13"/>
  <c r="Q196" i="13"/>
  <c r="Y195" i="13"/>
  <c r="Q195" i="13"/>
  <c r="Y194" i="13"/>
  <c r="Q194" i="13"/>
  <c r="Y193" i="13"/>
  <c r="Q193" i="13"/>
  <c r="Y192" i="13"/>
  <c r="Q192" i="13"/>
  <c r="Y191" i="13"/>
  <c r="Q191" i="13"/>
  <c r="Y190" i="13"/>
  <c r="Q190" i="13"/>
  <c r="Y189" i="13"/>
  <c r="Q189" i="13"/>
  <c r="Y188" i="13"/>
  <c r="Q188" i="13"/>
  <c r="Y187" i="13"/>
  <c r="Q187" i="13"/>
  <c r="Y186" i="13"/>
  <c r="Q186" i="13"/>
  <c r="Y185" i="13"/>
  <c r="Q185" i="13"/>
  <c r="Y184" i="13"/>
  <c r="Q184" i="13"/>
  <c r="Y183" i="13"/>
  <c r="Q183" i="13"/>
  <c r="Y182" i="13"/>
  <c r="Q182" i="13"/>
  <c r="Y181" i="13"/>
  <c r="Q181" i="13"/>
  <c r="Y180" i="13"/>
  <c r="Q180" i="13"/>
  <c r="Y179" i="13"/>
  <c r="Q179" i="13"/>
  <c r="Y178" i="13"/>
  <c r="Q178" i="13"/>
  <c r="Y177" i="13"/>
  <c r="Q177" i="13"/>
  <c r="Y176" i="13"/>
  <c r="Q176" i="13"/>
  <c r="Y175" i="13"/>
  <c r="Q175" i="13"/>
  <c r="Y174" i="13"/>
  <c r="Q174" i="13"/>
  <c r="Y173" i="13"/>
  <c r="Q173" i="13"/>
  <c r="Y172" i="13"/>
  <c r="Q172" i="13"/>
  <c r="Y171" i="13"/>
  <c r="Q171" i="13"/>
  <c r="Y170" i="13"/>
  <c r="Q170" i="13"/>
  <c r="Y169" i="13"/>
  <c r="Q169" i="13"/>
  <c r="Y168" i="13"/>
  <c r="Q168" i="13"/>
  <c r="Y167" i="13"/>
  <c r="Q167" i="13"/>
  <c r="Y166" i="13"/>
  <c r="Q166" i="13"/>
  <c r="V5" i="13"/>
  <c r="N5" i="13"/>
  <c r="Q205" i="18"/>
  <c r="Q204" i="18"/>
  <c r="Q203" i="18"/>
  <c r="Q202" i="18"/>
  <c r="Q201" i="18"/>
  <c r="Q200" i="18"/>
  <c r="Q199" i="18"/>
  <c r="Q198" i="18"/>
  <c r="Q197" i="18"/>
  <c r="Q196" i="18"/>
  <c r="Q195" i="18"/>
  <c r="Q194" i="18"/>
  <c r="Q193" i="18"/>
  <c r="Q192" i="18"/>
  <c r="Q191" i="18"/>
  <c r="Q190" i="18"/>
  <c r="Q189" i="18"/>
  <c r="Q188" i="18"/>
  <c r="Q187" i="18"/>
  <c r="Q186" i="18"/>
  <c r="Q185" i="18"/>
  <c r="Q184" i="18"/>
  <c r="Q183" i="18"/>
  <c r="Q182" i="18"/>
  <c r="Q181" i="18"/>
  <c r="Q180" i="18"/>
  <c r="Q179" i="18"/>
  <c r="Q178" i="18"/>
  <c r="Q177" i="18"/>
  <c r="Q176" i="18"/>
  <c r="Q175" i="18"/>
  <c r="Q174" i="18"/>
  <c r="Q173" i="18"/>
  <c r="Q172" i="18"/>
  <c r="Q171" i="18"/>
  <c r="Q170" i="18"/>
  <c r="Q169" i="18"/>
  <c r="Q168" i="18"/>
  <c r="Q167" i="18"/>
  <c r="Q166" i="18"/>
  <c r="Q165" i="18"/>
  <c r="Q164" i="18"/>
  <c r="Q163" i="18"/>
  <c r="Q162" i="18"/>
  <c r="Q161" i="18"/>
  <c r="Q160" i="18"/>
  <c r="Q159" i="18"/>
  <c r="Q158" i="18"/>
  <c r="Q157" i="18"/>
  <c r="Q156" i="18"/>
  <c r="Q155" i="18"/>
  <c r="Q154" i="18"/>
  <c r="Q153" i="18"/>
  <c r="Q152" i="18"/>
  <c r="Q151" i="18"/>
  <c r="Q150" i="18"/>
  <c r="Q149" i="18"/>
  <c r="Q148" i="18"/>
  <c r="Q147" i="18"/>
  <c r="Q146" i="18"/>
  <c r="Q145" i="18"/>
  <c r="Q144" i="18"/>
  <c r="Q143" i="18"/>
  <c r="Q142" i="18"/>
  <c r="Q141" i="18"/>
  <c r="Q140" i="18"/>
  <c r="Q139" i="18"/>
  <c r="Q138" i="18"/>
  <c r="Q137" i="18"/>
  <c r="Q136" i="18"/>
  <c r="H93" i="18"/>
  <c r="H92" i="18"/>
  <c r="H91" i="18"/>
  <c r="H87" i="18"/>
  <c r="H82" i="18"/>
  <c r="S5" i="18"/>
  <c r="T5" i="18" s="1"/>
  <c r="V5" i="18"/>
  <c r="N5" i="18"/>
  <c r="Y205" i="19"/>
  <c r="Q205" i="19"/>
  <c r="Y204" i="19"/>
  <c r="Q204" i="19"/>
  <c r="Y203" i="19"/>
  <c r="Q203" i="19"/>
  <c r="Y202" i="19"/>
  <c r="Q202" i="19"/>
  <c r="Y201" i="19"/>
  <c r="Q201" i="19"/>
  <c r="Y200" i="19"/>
  <c r="Q200" i="19"/>
  <c r="Y199" i="19"/>
  <c r="Q199" i="19"/>
  <c r="Y198" i="19"/>
  <c r="Q198" i="19"/>
  <c r="Y197" i="19"/>
  <c r="Q197" i="19"/>
  <c r="Y196" i="19"/>
  <c r="Q196" i="19"/>
  <c r="Y195" i="19"/>
  <c r="Q195" i="19"/>
  <c r="Y194" i="19"/>
  <c r="Q194" i="19"/>
  <c r="Y193" i="19"/>
  <c r="Q193" i="19"/>
  <c r="Y192" i="19"/>
  <c r="Q192" i="19"/>
  <c r="Y191" i="19"/>
  <c r="Q191" i="19"/>
  <c r="Y190" i="19"/>
  <c r="Q190" i="19"/>
  <c r="Y189" i="19"/>
  <c r="Q189" i="19"/>
  <c r="Y188" i="19"/>
  <c r="Q188" i="19"/>
  <c r="Y187" i="19"/>
  <c r="Q187" i="19"/>
  <c r="Y186" i="19"/>
  <c r="Q186" i="19"/>
  <c r="Y185" i="19"/>
  <c r="Q185" i="19"/>
  <c r="Y184" i="19"/>
  <c r="Q184" i="19"/>
  <c r="Y183" i="19"/>
  <c r="Q183" i="19"/>
  <c r="Y182" i="19"/>
  <c r="Q182" i="19"/>
  <c r="Y181" i="19"/>
  <c r="Q181" i="19"/>
  <c r="Y180" i="19"/>
  <c r="Q180" i="19"/>
  <c r="Y179" i="19"/>
  <c r="Q179" i="19"/>
  <c r="Y178" i="19"/>
  <c r="Q178" i="19"/>
  <c r="Y177" i="19"/>
  <c r="Q177" i="19"/>
  <c r="Y176" i="19"/>
  <c r="Q176" i="19"/>
  <c r="Y175" i="19"/>
  <c r="Q175" i="19"/>
  <c r="Y174" i="19"/>
  <c r="Q174" i="19"/>
  <c r="Y173" i="19"/>
  <c r="Q173" i="19"/>
  <c r="Y172" i="19"/>
  <c r="Q172" i="19"/>
  <c r="Y171" i="19"/>
  <c r="Q171" i="19"/>
  <c r="Y170" i="19"/>
  <c r="Q170" i="19"/>
  <c r="Y169" i="19"/>
  <c r="Q169" i="19"/>
  <c r="Y168" i="19"/>
  <c r="Q168" i="19"/>
  <c r="Y167" i="19"/>
  <c r="Q167" i="19"/>
  <c r="Y166" i="19"/>
  <c r="Q166" i="19"/>
  <c r="Y165" i="19"/>
  <c r="Q165" i="19"/>
  <c r="Y164" i="19"/>
  <c r="Q164" i="19"/>
  <c r="Y163" i="19"/>
  <c r="Q163" i="19"/>
  <c r="Y162" i="19"/>
  <c r="Q162" i="19"/>
  <c r="Y161" i="19"/>
  <c r="Q161" i="19"/>
  <c r="Y160" i="19"/>
  <c r="Q160" i="19"/>
  <c r="Y159" i="19"/>
  <c r="Q159" i="19"/>
  <c r="Y158" i="19"/>
  <c r="Q158" i="19"/>
  <c r="Y157" i="19"/>
  <c r="Q157" i="19"/>
  <c r="Y156" i="19"/>
  <c r="Q156" i="19"/>
  <c r="Y155" i="19"/>
  <c r="Q155" i="19"/>
  <c r="Y154" i="19"/>
  <c r="Q154" i="19"/>
  <c r="Y153" i="19"/>
  <c r="Q153" i="19"/>
  <c r="Y152" i="19"/>
  <c r="Q152" i="19"/>
  <c r="Y151" i="19"/>
  <c r="Q151" i="19"/>
  <c r="Y150" i="19"/>
  <c r="Q150" i="19"/>
  <c r="Y149" i="19"/>
  <c r="Q149" i="19"/>
  <c r="Y148" i="19"/>
  <c r="Q148" i="19"/>
  <c r="Y147" i="19"/>
  <c r="Q147" i="19"/>
  <c r="Y146" i="19"/>
  <c r="Q146" i="19"/>
  <c r="Y145" i="19"/>
  <c r="Q145" i="19"/>
  <c r="Y144" i="19"/>
  <c r="Q144" i="19"/>
  <c r="Y143" i="19"/>
  <c r="Q143" i="19"/>
  <c r="Y142" i="19"/>
  <c r="Q142" i="19"/>
  <c r="Y141" i="19"/>
  <c r="Q141" i="19"/>
  <c r="Y140" i="19"/>
  <c r="Q140" i="19"/>
  <c r="Y139" i="19"/>
  <c r="Q139" i="19"/>
  <c r="Y138" i="19"/>
  <c r="Q138" i="19"/>
  <c r="Y137" i="19"/>
  <c r="Q137" i="19"/>
  <c r="Y136" i="19"/>
  <c r="Q136" i="19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Y113" i="19"/>
  <c r="Y112" i="19"/>
  <c r="Y111" i="19"/>
  <c r="Y110" i="19"/>
  <c r="Y109" i="19"/>
  <c r="Y108" i="19"/>
  <c r="Y107" i="19"/>
  <c r="D107" i="19"/>
  <c r="C107" i="19"/>
  <c r="Y106" i="19"/>
  <c r="Y105" i="19"/>
  <c r="Y104" i="19"/>
  <c r="Y103" i="19"/>
  <c r="Y102" i="19"/>
  <c r="Y101" i="19"/>
  <c r="Y100" i="19"/>
  <c r="Y99" i="19"/>
  <c r="Y98" i="19"/>
  <c r="Y97" i="19"/>
  <c r="Y96" i="19"/>
  <c r="H93" i="19"/>
  <c r="H91" i="19"/>
  <c r="H89" i="19"/>
  <c r="H87" i="19"/>
  <c r="H82" i="19"/>
  <c r="D9" i="19"/>
  <c r="N5" i="19"/>
  <c r="K25" i="24"/>
  <c r="L25" i="24"/>
  <c r="M25" i="24"/>
  <c r="N25" i="24"/>
  <c r="O25" i="24"/>
  <c r="P25" i="24"/>
  <c r="Q25" i="24"/>
  <c r="E20" i="24"/>
  <c r="E19" i="24"/>
  <c r="K50" i="27"/>
  <c r="H93" i="13"/>
  <c r="R96" i="26"/>
  <c r="S96" i="26" s="1"/>
  <c r="T96" i="26" s="1"/>
  <c r="R97" i="26"/>
  <c r="S97" i="26" s="1"/>
  <c r="R98" i="26"/>
  <c r="S98" i="26" s="1"/>
  <c r="R99" i="26"/>
  <c r="S99" i="26" s="1"/>
  <c r="R100" i="26"/>
  <c r="S100" i="26" s="1"/>
  <c r="T100" i="26" s="1"/>
  <c r="R101" i="26"/>
  <c r="S101" i="26" s="1"/>
  <c r="R102" i="26"/>
  <c r="S102" i="26" s="1"/>
  <c r="R103" i="26"/>
  <c r="S103" i="26" s="1"/>
  <c r="R104" i="26"/>
  <c r="S104" i="26" s="1"/>
  <c r="R105" i="26"/>
  <c r="S105" i="26" s="1"/>
  <c r="R106" i="26"/>
  <c r="S106" i="26" s="1"/>
  <c r="R107" i="26"/>
  <c r="S107" i="26" s="1"/>
  <c r="R108" i="26"/>
  <c r="S108" i="26" s="1"/>
  <c r="T108" i="26" s="1"/>
  <c r="R109" i="26"/>
  <c r="S109" i="26" s="1"/>
  <c r="R110" i="26"/>
  <c r="S110" i="26" s="1"/>
  <c r="R111" i="26"/>
  <c r="S111" i="26" s="1"/>
  <c r="R112" i="26"/>
  <c r="S112" i="26" s="1"/>
  <c r="T112" i="26" s="1"/>
  <c r="R113" i="26"/>
  <c r="S113" i="26" s="1"/>
  <c r="R114" i="26"/>
  <c r="S114" i="26" s="1"/>
  <c r="R115" i="26"/>
  <c r="S115" i="26" s="1"/>
  <c r="T115" i="26" s="1"/>
  <c r="R116" i="26"/>
  <c r="S116" i="26" s="1"/>
  <c r="R117" i="26"/>
  <c r="S117" i="26" s="1"/>
  <c r="T117" i="26" s="1"/>
  <c r="R118" i="26"/>
  <c r="S118" i="26" s="1"/>
  <c r="R119" i="26"/>
  <c r="S119" i="26" s="1"/>
  <c r="T119" i="26" s="1"/>
  <c r="R120" i="26"/>
  <c r="S120" i="26" s="1"/>
  <c r="R121" i="26"/>
  <c r="S121" i="26" s="1"/>
  <c r="T121" i="26" s="1"/>
  <c r="R122" i="26"/>
  <c r="S122" i="26" s="1"/>
  <c r="R123" i="26"/>
  <c r="S123" i="26" s="1"/>
  <c r="T123" i="26" s="1"/>
  <c r="R124" i="26"/>
  <c r="S124" i="26" s="1"/>
  <c r="R125" i="26"/>
  <c r="S125" i="26" s="1"/>
  <c r="R126" i="26"/>
  <c r="S126" i="26" s="1"/>
  <c r="R127" i="26"/>
  <c r="S127" i="26" s="1"/>
  <c r="R128" i="26"/>
  <c r="S128" i="26" s="1"/>
  <c r="R129" i="26"/>
  <c r="S129" i="26" s="1"/>
  <c r="R130" i="26"/>
  <c r="S130" i="26" s="1"/>
  <c r="R131" i="26"/>
  <c r="S131" i="26" s="1"/>
  <c r="R132" i="26"/>
  <c r="S132" i="26" s="1"/>
  <c r="R133" i="26"/>
  <c r="S133" i="26" s="1"/>
  <c r="R134" i="26"/>
  <c r="S134" i="26" s="1"/>
  <c r="R135" i="26"/>
  <c r="S135" i="26" s="1"/>
  <c r="R136" i="26"/>
  <c r="S136" i="26" s="1"/>
  <c r="R137" i="26"/>
  <c r="S137" i="26" s="1"/>
  <c r="R138" i="26"/>
  <c r="S138" i="26" s="1"/>
  <c r="R139" i="26"/>
  <c r="S139" i="26" s="1"/>
  <c r="R140" i="26"/>
  <c r="S140" i="26" s="1"/>
  <c r="R141" i="26"/>
  <c r="S141" i="26" s="1"/>
  <c r="R142" i="26"/>
  <c r="S142" i="26" s="1"/>
  <c r="R143" i="26"/>
  <c r="S143" i="26" s="1"/>
  <c r="R144" i="26"/>
  <c r="S144" i="26" s="1"/>
  <c r="R145" i="26"/>
  <c r="S145" i="26" s="1"/>
  <c r="R146" i="26"/>
  <c r="S146" i="26" s="1"/>
  <c r="R147" i="26"/>
  <c r="S147" i="26" s="1"/>
  <c r="R148" i="26"/>
  <c r="S148" i="26" s="1"/>
  <c r="R149" i="26"/>
  <c r="S149" i="26" s="1"/>
  <c r="R150" i="26"/>
  <c r="S150" i="26" s="1"/>
  <c r="R151" i="26"/>
  <c r="S151" i="26" s="1"/>
  <c r="R152" i="26"/>
  <c r="S152" i="26" s="1"/>
  <c r="R153" i="26"/>
  <c r="S153" i="26" s="1"/>
  <c r="R154" i="26"/>
  <c r="S154" i="26" s="1"/>
  <c r="R155" i="26"/>
  <c r="S155" i="26" s="1"/>
  <c r="B26" i="27"/>
  <c r="B27" i="27"/>
  <c r="B28" i="27"/>
  <c r="B29" i="27"/>
  <c r="B30" i="27"/>
  <c r="B31" i="27"/>
  <c r="B32" i="27"/>
  <c r="B33" i="27"/>
  <c r="B34" i="27"/>
  <c r="Y96" i="26"/>
  <c r="Y97" i="26"/>
  <c r="Y98" i="26"/>
  <c r="Y99" i="26"/>
  <c r="Y100" i="26"/>
  <c r="Y101" i="26"/>
  <c r="Y102" i="26"/>
  <c r="Y103" i="26"/>
  <c r="Y104" i="26"/>
  <c r="Y105" i="26"/>
  <c r="Y106" i="26"/>
  <c r="Y107" i="26"/>
  <c r="Y108" i="26"/>
  <c r="Y109" i="26"/>
  <c r="Y110" i="26"/>
  <c r="Y111" i="26"/>
  <c r="Y112" i="26"/>
  <c r="Y113" i="26"/>
  <c r="Y114" i="26"/>
  <c r="Y115" i="26"/>
  <c r="Y116" i="26"/>
  <c r="Y117" i="26"/>
  <c r="Y118" i="26"/>
  <c r="Y119" i="26"/>
  <c r="Y120" i="26"/>
  <c r="Y121" i="26"/>
  <c r="Y122" i="26"/>
  <c r="Y123" i="26"/>
  <c r="Y124" i="26"/>
  <c r="Y125" i="26"/>
  <c r="Y126" i="26"/>
  <c r="Y127" i="26"/>
  <c r="Y128" i="26"/>
  <c r="Y129" i="26"/>
  <c r="Y130" i="26"/>
  <c r="Y131" i="26"/>
  <c r="Y132" i="26"/>
  <c r="Y133" i="26"/>
  <c r="Y134" i="26"/>
  <c r="Y135" i="26"/>
  <c r="Y136" i="26"/>
  <c r="Y137" i="26"/>
  <c r="Y138" i="26"/>
  <c r="Y139" i="26"/>
  <c r="Y140" i="26"/>
  <c r="Y141" i="26"/>
  <c r="Y142" i="26"/>
  <c r="Y143" i="26"/>
  <c r="Y144" i="26"/>
  <c r="Y145" i="26"/>
  <c r="Y146" i="26"/>
  <c r="Y147" i="26"/>
  <c r="Y148" i="26"/>
  <c r="Y149" i="26"/>
  <c r="Y150" i="26"/>
  <c r="Y151" i="26"/>
  <c r="Y152" i="26"/>
  <c r="Y153" i="26"/>
  <c r="Y155" i="26"/>
  <c r="Y154" i="26"/>
  <c r="L10" i="19" l="1"/>
  <c r="J45" i="27"/>
  <c r="I48" i="27"/>
  <c r="I83" i="27"/>
  <c r="K43" i="27"/>
  <c r="U8" i="18"/>
  <c r="J47" i="27"/>
  <c r="F51" i="27"/>
  <c r="AO85" i="18"/>
  <c r="U8" i="13"/>
  <c r="U81" i="19"/>
  <c r="U73" i="19"/>
  <c r="U66" i="19"/>
  <c r="U38" i="19"/>
  <c r="U65" i="19"/>
  <c r="U82" i="19"/>
  <c r="U62" i="19"/>
  <c r="U80" i="19"/>
  <c r="U34" i="19"/>
  <c r="U74" i="19"/>
  <c r="U30" i="19"/>
  <c r="U72" i="19"/>
  <c r="L39" i="19"/>
  <c r="U72" i="18"/>
  <c r="V59" i="18"/>
  <c r="U84" i="18"/>
  <c r="V56" i="18"/>
  <c r="U82" i="18"/>
  <c r="U35" i="18"/>
  <c r="U67" i="18"/>
  <c r="U76" i="18"/>
  <c r="U27" i="18"/>
  <c r="U81" i="18"/>
  <c r="V78" i="18"/>
  <c r="U50" i="18"/>
  <c r="V24" i="18"/>
  <c r="V83" i="18"/>
  <c r="U78" i="18"/>
  <c r="U75" i="18"/>
  <c r="V71" i="18"/>
  <c r="U66" i="18"/>
  <c r="V48" i="18"/>
  <c r="U18" i="18"/>
  <c r="U83" i="18"/>
  <c r="V80" i="18"/>
  <c r="U64" i="18"/>
  <c r="U46" i="18"/>
  <c r="V16" i="18"/>
  <c r="V85" i="18"/>
  <c r="U80" i="18"/>
  <c r="V77" i="18"/>
  <c r="U74" i="18"/>
  <c r="V63" i="18"/>
  <c r="U39" i="18"/>
  <c r="U14" i="18"/>
  <c r="U85" i="18"/>
  <c r="V82" i="18"/>
  <c r="U77" i="18"/>
  <c r="V69" i="18"/>
  <c r="V62" i="18"/>
  <c r="U38" i="18"/>
  <c r="U7" i="18"/>
  <c r="V84" i="18"/>
  <c r="U79" i="18"/>
  <c r="V76" i="18"/>
  <c r="V72" i="18"/>
  <c r="U59" i="18"/>
  <c r="V28" i="18"/>
  <c r="L80" i="13"/>
  <c r="V36" i="13"/>
  <c r="L21" i="13"/>
  <c r="M6" i="13"/>
  <c r="V71" i="13"/>
  <c r="U65" i="13"/>
  <c r="L9" i="13"/>
  <c r="V75" i="13"/>
  <c r="H83" i="13"/>
  <c r="K95" i="21"/>
  <c r="O95" i="21" s="1"/>
  <c r="J96" i="21"/>
  <c r="S203" i="19"/>
  <c r="T203" i="19" s="1"/>
  <c r="S195" i="19"/>
  <c r="T195" i="19" s="1"/>
  <c r="S187" i="19"/>
  <c r="T187" i="19" s="1"/>
  <c r="S179" i="19"/>
  <c r="T179" i="19" s="1"/>
  <c r="S171" i="19"/>
  <c r="T171" i="19" s="1"/>
  <c r="S163" i="19"/>
  <c r="T163" i="19" s="1"/>
  <c r="S155" i="19"/>
  <c r="T155" i="19" s="1"/>
  <c r="S147" i="19"/>
  <c r="T147" i="19" s="1"/>
  <c r="S139" i="19"/>
  <c r="T139" i="19" s="1"/>
  <c r="S131" i="19"/>
  <c r="T131" i="19" s="1"/>
  <c r="S123" i="19"/>
  <c r="T123" i="19" s="1"/>
  <c r="S115" i="19"/>
  <c r="T115" i="19" s="1"/>
  <c r="S107" i="19"/>
  <c r="T107" i="19" s="1"/>
  <c r="S99" i="19"/>
  <c r="T99" i="19" s="1"/>
  <c r="S200" i="19"/>
  <c r="T200" i="19" s="1"/>
  <c r="S192" i="19"/>
  <c r="T192" i="19" s="1"/>
  <c r="X192" i="19" s="1"/>
  <c r="S184" i="19"/>
  <c r="T184" i="19" s="1"/>
  <c r="S176" i="19"/>
  <c r="T176" i="19" s="1"/>
  <c r="S168" i="19"/>
  <c r="T168" i="19" s="1"/>
  <c r="S160" i="19"/>
  <c r="T160" i="19" s="1"/>
  <c r="S152" i="19"/>
  <c r="T152" i="19" s="1"/>
  <c r="S144" i="19"/>
  <c r="T144" i="19" s="1"/>
  <c r="S136" i="19"/>
  <c r="T136" i="19" s="1"/>
  <c r="S128" i="19"/>
  <c r="T128" i="19" s="1"/>
  <c r="S120" i="19"/>
  <c r="T120" i="19" s="1"/>
  <c r="S112" i="19"/>
  <c r="T112" i="19" s="1"/>
  <c r="S104" i="19"/>
  <c r="T104" i="19" s="1"/>
  <c r="S96" i="19"/>
  <c r="T96" i="19" s="1"/>
  <c r="S205" i="19"/>
  <c r="T205" i="19" s="1"/>
  <c r="S197" i="19"/>
  <c r="T197" i="19" s="1"/>
  <c r="S189" i="19"/>
  <c r="T189" i="19" s="1"/>
  <c r="S181" i="19"/>
  <c r="T181" i="19" s="1"/>
  <c r="S173" i="19"/>
  <c r="T173" i="19" s="1"/>
  <c r="S165" i="19"/>
  <c r="T165" i="19" s="1"/>
  <c r="S157" i="19"/>
  <c r="T157" i="19" s="1"/>
  <c r="S149" i="19"/>
  <c r="T149" i="19" s="1"/>
  <c r="S141" i="19"/>
  <c r="T141" i="19" s="1"/>
  <c r="S133" i="19"/>
  <c r="T133" i="19" s="1"/>
  <c r="S125" i="19"/>
  <c r="T125" i="19" s="1"/>
  <c r="S117" i="19"/>
  <c r="T117" i="19" s="1"/>
  <c r="S109" i="19"/>
  <c r="T109" i="19" s="1"/>
  <c r="S101" i="19"/>
  <c r="T101" i="19" s="1"/>
  <c r="S202" i="19"/>
  <c r="T202" i="19" s="1"/>
  <c r="S194" i="19"/>
  <c r="T194" i="19" s="1"/>
  <c r="S186" i="19"/>
  <c r="T186" i="19" s="1"/>
  <c r="S178" i="19"/>
  <c r="T178" i="19" s="1"/>
  <c r="S170" i="19"/>
  <c r="T170" i="19" s="1"/>
  <c r="S162" i="19"/>
  <c r="T162" i="19" s="1"/>
  <c r="S154" i="19"/>
  <c r="T154" i="19" s="1"/>
  <c r="S146" i="19"/>
  <c r="T146" i="19" s="1"/>
  <c r="S138" i="19"/>
  <c r="T138" i="19" s="1"/>
  <c r="S130" i="19"/>
  <c r="T130" i="19" s="1"/>
  <c r="S122" i="19"/>
  <c r="T122" i="19" s="1"/>
  <c r="S114" i="19"/>
  <c r="T114" i="19" s="1"/>
  <c r="S106" i="19"/>
  <c r="T106" i="19" s="1"/>
  <c r="S98" i="19"/>
  <c r="T98" i="19" s="1"/>
  <c r="S199" i="19"/>
  <c r="T199" i="19" s="1"/>
  <c r="S191" i="19"/>
  <c r="T191" i="19" s="1"/>
  <c r="S183" i="19"/>
  <c r="T183" i="19" s="1"/>
  <c r="S175" i="19"/>
  <c r="T175" i="19" s="1"/>
  <c r="S167" i="19"/>
  <c r="T167" i="19" s="1"/>
  <c r="S159" i="19"/>
  <c r="T159" i="19" s="1"/>
  <c r="S151" i="19"/>
  <c r="T151" i="19" s="1"/>
  <c r="S143" i="19"/>
  <c r="T143" i="19" s="1"/>
  <c r="S135" i="19"/>
  <c r="T135" i="19" s="1"/>
  <c r="S127" i="19"/>
  <c r="T127" i="19" s="1"/>
  <c r="S119" i="19"/>
  <c r="T119" i="19" s="1"/>
  <c r="S111" i="19"/>
  <c r="T111" i="19" s="1"/>
  <c r="S103" i="19"/>
  <c r="T103" i="19" s="1"/>
  <c r="S204" i="19"/>
  <c r="T204" i="19" s="1"/>
  <c r="S196" i="19"/>
  <c r="T196" i="19" s="1"/>
  <c r="S188" i="19"/>
  <c r="T188" i="19" s="1"/>
  <c r="S180" i="19"/>
  <c r="S172" i="19"/>
  <c r="T172" i="19" s="1"/>
  <c r="S164" i="19"/>
  <c r="T164" i="19" s="1"/>
  <c r="S156" i="19"/>
  <c r="T156" i="19" s="1"/>
  <c r="S148" i="19"/>
  <c r="T148" i="19" s="1"/>
  <c r="S140" i="19"/>
  <c r="T140" i="19" s="1"/>
  <c r="S132" i="19"/>
  <c r="S124" i="19"/>
  <c r="T124" i="19" s="1"/>
  <c r="S116" i="19"/>
  <c r="T116" i="19" s="1"/>
  <c r="S108" i="19"/>
  <c r="T108" i="19" s="1"/>
  <c r="S100" i="19"/>
  <c r="T100" i="19" s="1"/>
  <c r="S201" i="19"/>
  <c r="T201" i="19" s="1"/>
  <c r="S193" i="19"/>
  <c r="T193" i="19" s="1"/>
  <c r="S185" i="19"/>
  <c r="T185" i="19" s="1"/>
  <c r="S177" i="19"/>
  <c r="T177" i="19" s="1"/>
  <c r="S169" i="19"/>
  <c r="T169" i="19" s="1"/>
  <c r="S161" i="19"/>
  <c r="T161" i="19" s="1"/>
  <c r="S153" i="19"/>
  <c r="T153" i="19" s="1"/>
  <c r="S145" i="19"/>
  <c r="T145" i="19" s="1"/>
  <c r="S137" i="19"/>
  <c r="T137" i="19" s="1"/>
  <c r="S129" i="19"/>
  <c r="T129" i="19" s="1"/>
  <c r="S121" i="19"/>
  <c r="T121" i="19" s="1"/>
  <c r="S113" i="19"/>
  <c r="T113" i="19" s="1"/>
  <c r="S105" i="19"/>
  <c r="T105" i="19" s="1"/>
  <c r="S97" i="19"/>
  <c r="T97" i="19" s="1"/>
  <c r="M164" i="13"/>
  <c r="L159" i="13"/>
  <c r="M156" i="13"/>
  <c r="L138" i="13"/>
  <c r="L86" i="13"/>
  <c r="M204" i="13"/>
  <c r="M202" i="13"/>
  <c r="M200" i="13"/>
  <c r="M198" i="13"/>
  <c r="M196" i="13"/>
  <c r="M194" i="13"/>
  <c r="M192" i="13"/>
  <c r="M190" i="13"/>
  <c r="M188" i="13"/>
  <c r="M186" i="13"/>
  <c r="M184" i="13"/>
  <c r="M182" i="13"/>
  <c r="M180" i="13"/>
  <c r="M178" i="13"/>
  <c r="M176" i="13"/>
  <c r="M174" i="13"/>
  <c r="M172" i="13"/>
  <c r="M170" i="13"/>
  <c r="M168" i="13"/>
  <c r="M166" i="13"/>
  <c r="L164" i="13"/>
  <c r="M161" i="13"/>
  <c r="L156" i="13"/>
  <c r="L147" i="13"/>
  <c r="L41" i="13"/>
  <c r="L204" i="13"/>
  <c r="L202" i="13"/>
  <c r="L200" i="13"/>
  <c r="L198" i="13"/>
  <c r="L196" i="13"/>
  <c r="L194" i="13"/>
  <c r="L192" i="13"/>
  <c r="L190" i="13"/>
  <c r="L188" i="13"/>
  <c r="L186" i="13"/>
  <c r="L184" i="13"/>
  <c r="L182" i="13"/>
  <c r="L180" i="13"/>
  <c r="L178" i="13"/>
  <c r="L176" i="13"/>
  <c r="L174" i="13"/>
  <c r="L172" i="13"/>
  <c r="L170" i="13"/>
  <c r="L168" i="13"/>
  <c r="L166" i="13"/>
  <c r="L161" i="13"/>
  <c r="M158" i="13"/>
  <c r="L151" i="13"/>
  <c r="L120" i="13"/>
  <c r="L91" i="13"/>
  <c r="J204" i="13"/>
  <c r="K204" i="13" s="1"/>
  <c r="J202" i="13"/>
  <c r="J200" i="13"/>
  <c r="K200" i="13" s="1"/>
  <c r="J198" i="13"/>
  <c r="J196" i="13"/>
  <c r="K196" i="13" s="1"/>
  <c r="J194" i="13"/>
  <c r="J192" i="13"/>
  <c r="J190" i="13"/>
  <c r="J188" i="13"/>
  <c r="K188" i="13" s="1"/>
  <c r="J186" i="13"/>
  <c r="J184" i="13"/>
  <c r="K184" i="13" s="1"/>
  <c r="J182" i="13"/>
  <c r="J180" i="13"/>
  <c r="J178" i="13"/>
  <c r="J176" i="13"/>
  <c r="J174" i="13"/>
  <c r="J172" i="13"/>
  <c r="J170" i="13"/>
  <c r="J168" i="13"/>
  <c r="K168" i="13" s="1"/>
  <c r="J166" i="13"/>
  <c r="M163" i="13"/>
  <c r="L158" i="13"/>
  <c r="L155" i="13"/>
  <c r="L140" i="13"/>
  <c r="L136" i="13"/>
  <c r="L125" i="13"/>
  <c r="L105" i="13"/>
  <c r="L61" i="13"/>
  <c r="L163" i="13"/>
  <c r="M160" i="13"/>
  <c r="L150" i="13"/>
  <c r="M205" i="13"/>
  <c r="M203" i="13"/>
  <c r="M201" i="13"/>
  <c r="M199" i="13"/>
  <c r="M197" i="13"/>
  <c r="M195" i="13"/>
  <c r="M193" i="13"/>
  <c r="M191" i="13"/>
  <c r="M189" i="13"/>
  <c r="M187" i="13"/>
  <c r="M185" i="13"/>
  <c r="M183" i="13"/>
  <c r="M181" i="13"/>
  <c r="M179" i="13"/>
  <c r="M177" i="13"/>
  <c r="M175" i="13"/>
  <c r="M173" i="13"/>
  <c r="M171" i="13"/>
  <c r="M169" i="13"/>
  <c r="M167" i="13"/>
  <c r="M165" i="13"/>
  <c r="L160" i="13"/>
  <c r="M157" i="13"/>
  <c r="L154" i="13"/>
  <c r="L144" i="13"/>
  <c r="M139" i="13"/>
  <c r="L135" i="13"/>
  <c r="L129" i="13"/>
  <c r="L124" i="13"/>
  <c r="AI89" i="20"/>
  <c r="AF90" i="20"/>
  <c r="S90" i="20"/>
  <c r="R91" i="20"/>
  <c r="T89" i="20"/>
  <c r="X89" i="20" s="1"/>
  <c r="Y89" i="20" s="1"/>
  <c r="L4" i="27"/>
  <c r="AB195" i="27" s="1"/>
  <c r="H73" i="27"/>
  <c r="J48" i="27"/>
  <c r="K44" i="27"/>
  <c r="I44" i="27"/>
  <c r="J44" i="27"/>
  <c r="H91" i="13"/>
  <c r="H89" i="13"/>
  <c r="H87" i="13"/>
  <c r="H86" i="19"/>
  <c r="R85" i="21"/>
  <c r="S84" i="21"/>
  <c r="T84" i="21" s="1"/>
  <c r="X84" i="21" s="1"/>
  <c r="Y84" i="21" s="1"/>
  <c r="AI86" i="21"/>
  <c r="AF87" i="21"/>
  <c r="X169" i="26"/>
  <c r="H91" i="27"/>
  <c r="I77" i="27"/>
  <c r="H77" i="27"/>
  <c r="K77" i="27"/>
  <c r="J77" i="27"/>
  <c r="K83" i="27"/>
  <c r="J83" i="27"/>
  <c r="H83" i="27"/>
  <c r="L202" i="19"/>
  <c r="L192" i="19"/>
  <c r="L178" i="19"/>
  <c r="L168" i="19"/>
  <c r="L156" i="19"/>
  <c r="L146" i="19"/>
  <c r="L136" i="19"/>
  <c r="L128" i="19"/>
  <c r="L118" i="19"/>
  <c r="L108" i="19"/>
  <c r="J204" i="19"/>
  <c r="K204" i="19" s="1"/>
  <c r="J202" i="19"/>
  <c r="K202" i="19" s="1"/>
  <c r="J200" i="19"/>
  <c r="K200" i="19" s="1"/>
  <c r="J198" i="19"/>
  <c r="K198" i="19" s="1"/>
  <c r="J196" i="19"/>
  <c r="K196" i="19" s="1"/>
  <c r="J194" i="19"/>
  <c r="K194" i="19" s="1"/>
  <c r="J192" i="19"/>
  <c r="K192" i="19" s="1"/>
  <c r="J190" i="19"/>
  <c r="K190" i="19" s="1"/>
  <c r="J188" i="19"/>
  <c r="K188" i="19" s="1"/>
  <c r="J186" i="19"/>
  <c r="K186" i="19" s="1"/>
  <c r="J184" i="19"/>
  <c r="K184" i="19" s="1"/>
  <c r="J182" i="19"/>
  <c r="K182" i="19" s="1"/>
  <c r="J180" i="19"/>
  <c r="K180" i="19" s="1"/>
  <c r="J178" i="19"/>
  <c r="K178" i="19" s="1"/>
  <c r="J176" i="19"/>
  <c r="K176" i="19" s="1"/>
  <c r="J174" i="19"/>
  <c r="K174" i="19" s="1"/>
  <c r="J172" i="19"/>
  <c r="K172" i="19" s="1"/>
  <c r="J170" i="19"/>
  <c r="K170" i="19" s="1"/>
  <c r="J168" i="19"/>
  <c r="K168" i="19" s="1"/>
  <c r="J166" i="19"/>
  <c r="K166" i="19" s="1"/>
  <c r="J164" i="19"/>
  <c r="K164" i="19" s="1"/>
  <c r="J162" i="19"/>
  <c r="K162" i="19" s="1"/>
  <c r="J160" i="19"/>
  <c r="K160" i="19" s="1"/>
  <c r="J158" i="19"/>
  <c r="K158" i="19" s="1"/>
  <c r="J156" i="19"/>
  <c r="K156" i="19" s="1"/>
  <c r="J154" i="19"/>
  <c r="K154" i="19" s="1"/>
  <c r="J152" i="19"/>
  <c r="K152" i="19" s="1"/>
  <c r="J150" i="19"/>
  <c r="K150" i="19" s="1"/>
  <c r="J148" i="19"/>
  <c r="K148" i="19" s="1"/>
  <c r="J146" i="19"/>
  <c r="K146" i="19" s="1"/>
  <c r="J144" i="19"/>
  <c r="K144" i="19" s="1"/>
  <c r="J142" i="19"/>
  <c r="K142" i="19" s="1"/>
  <c r="J140" i="19"/>
  <c r="K140" i="19" s="1"/>
  <c r="J138" i="19"/>
  <c r="J136" i="19"/>
  <c r="J134" i="19"/>
  <c r="K134" i="19" s="1"/>
  <c r="J132" i="19"/>
  <c r="K132" i="19" s="1"/>
  <c r="J130" i="19"/>
  <c r="K130" i="19" s="1"/>
  <c r="J128" i="19"/>
  <c r="J126" i="19"/>
  <c r="J124" i="19"/>
  <c r="K124" i="19" s="1"/>
  <c r="J122" i="19"/>
  <c r="J120" i="19"/>
  <c r="J118" i="19"/>
  <c r="J116" i="19"/>
  <c r="K116" i="19" s="1"/>
  <c r="J114" i="19"/>
  <c r="K114" i="19" s="1"/>
  <c r="J112" i="19"/>
  <c r="K112" i="19" s="1"/>
  <c r="J110" i="19"/>
  <c r="J108" i="19"/>
  <c r="K108" i="19" s="1"/>
  <c r="O108" i="19" s="1"/>
  <c r="J106" i="19"/>
  <c r="J104" i="19"/>
  <c r="J102" i="19"/>
  <c r="K102" i="19" s="1"/>
  <c r="J100" i="19"/>
  <c r="K100" i="19" s="1"/>
  <c r="J98" i="19"/>
  <c r="K98" i="19" s="1"/>
  <c r="J96" i="19"/>
  <c r="M93" i="19"/>
  <c r="L88" i="19"/>
  <c r="L85" i="19"/>
  <c r="M51" i="19"/>
  <c r="L22" i="19"/>
  <c r="L9" i="19"/>
  <c r="L186" i="19"/>
  <c r="O186" i="19" s="1"/>
  <c r="L100" i="19"/>
  <c r="L93" i="19"/>
  <c r="M90" i="19"/>
  <c r="L81" i="19"/>
  <c r="L198" i="19"/>
  <c r="L184" i="19"/>
  <c r="L176" i="19"/>
  <c r="L166" i="19"/>
  <c r="L158" i="19"/>
  <c r="L150" i="19"/>
  <c r="L138" i="19"/>
  <c r="L130" i="19"/>
  <c r="L122" i="19"/>
  <c r="L114" i="19"/>
  <c r="L102" i="19"/>
  <c r="M205" i="19"/>
  <c r="M203" i="19"/>
  <c r="M201" i="19"/>
  <c r="M199" i="19"/>
  <c r="M197" i="19"/>
  <c r="M195" i="19"/>
  <c r="M193" i="19"/>
  <c r="M191" i="19"/>
  <c r="M189" i="19"/>
  <c r="M187" i="19"/>
  <c r="M185" i="19"/>
  <c r="M183" i="19"/>
  <c r="M181" i="19"/>
  <c r="M179" i="19"/>
  <c r="M177" i="19"/>
  <c r="M175" i="19"/>
  <c r="M173" i="19"/>
  <c r="M171" i="19"/>
  <c r="M169" i="19"/>
  <c r="M167" i="19"/>
  <c r="M165" i="19"/>
  <c r="M163" i="19"/>
  <c r="M161" i="19"/>
  <c r="M159" i="19"/>
  <c r="M157" i="19"/>
  <c r="M155" i="19"/>
  <c r="M153" i="19"/>
  <c r="M151" i="19"/>
  <c r="M149" i="19"/>
  <c r="M147" i="19"/>
  <c r="M145" i="19"/>
  <c r="M143" i="19"/>
  <c r="M141" i="19"/>
  <c r="M139" i="19"/>
  <c r="M137" i="19"/>
  <c r="M135" i="19"/>
  <c r="M133" i="19"/>
  <c r="M131" i="19"/>
  <c r="M129" i="19"/>
  <c r="M127" i="19"/>
  <c r="M125" i="19"/>
  <c r="M123" i="19"/>
  <c r="M121" i="19"/>
  <c r="M119" i="19"/>
  <c r="M117" i="19"/>
  <c r="M115" i="19"/>
  <c r="M113" i="19"/>
  <c r="M111" i="19"/>
  <c r="M109" i="19"/>
  <c r="M107" i="19"/>
  <c r="M105" i="19"/>
  <c r="M103" i="19"/>
  <c r="M101" i="19"/>
  <c r="M99" i="19"/>
  <c r="M97" i="19"/>
  <c r="M95" i="19"/>
  <c r="L90" i="19"/>
  <c r="M87" i="19"/>
  <c r="L84" i="19"/>
  <c r="L56" i="19"/>
  <c r="M35" i="19"/>
  <c r="L21" i="19"/>
  <c r="L194" i="19"/>
  <c r="L144" i="19"/>
  <c r="L82" i="19"/>
  <c r="L205" i="19"/>
  <c r="L203" i="19"/>
  <c r="L201" i="19"/>
  <c r="L199" i="19"/>
  <c r="L197" i="19"/>
  <c r="L195" i="19"/>
  <c r="L193" i="19"/>
  <c r="L191" i="19"/>
  <c r="L189" i="19"/>
  <c r="L187" i="19"/>
  <c r="L185" i="19"/>
  <c r="L183" i="19"/>
  <c r="L181" i="19"/>
  <c r="L179" i="19"/>
  <c r="L177" i="19"/>
  <c r="L175" i="19"/>
  <c r="L173" i="19"/>
  <c r="L171" i="19"/>
  <c r="L169" i="19"/>
  <c r="L167" i="19"/>
  <c r="L165" i="19"/>
  <c r="L163" i="19"/>
  <c r="L161" i="19"/>
  <c r="L159" i="19"/>
  <c r="L157" i="19"/>
  <c r="L155" i="19"/>
  <c r="L153" i="19"/>
  <c r="L151" i="19"/>
  <c r="L149" i="19"/>
  <c r="L147" i="19"/>
  <c r="L145" i="19"/>
  <c r="L143" i="19"/>
  <c r="L141" i="19"/>
  <c r="L139" i="19"/>
  <c r="L137" i="19"/>
  <c r="L135" i="19"/>
  <c r="L133" i="19"/>
  <c r="L131" i="19"/>
  <c r="L129" i="19"/>
  <c r="L127" i="19"/>
  <c r="L125" i="19"/>
  <c r="L123" i="19"/>
  <c r="L121" i="19"/>
  <c r="L119" i="19"/>
  <c r="L117" i="19"/>
  <c r="L115" i="19"/>
  <c r="L113" i="19"/>
  <c r="L111" i="19"/>
  <c r="L109" i="19"/>
  <c r="L107" i="19"/>
  <c r="L105" i="19"/>
  <c r="L103" i="19"/>
  <c r="L101" i="19"/>
  <c r="L99" i="19"/>
  <c r="L97" i="19"/>
  <c r="L95" i="19"/>
  <c r="M92" i="19"/>
  <c r="L87" i="19"/>
  <c r="L80" i="19"/>
  <c r="M75" i="19"/>
  <c r="L204" i="19"/>
  <c r="L196" i="19"/>
  <c r="L188" i="19"/>
  <c r="L180" i="19"/>
  <c r="L172" i="19"/>
  <c r="L164" i="19"/>
  <c r="L160" i="19"/>
  <c r="L152" i="19"/>
  <c r="L142" i="19"/>
  <c r="L134" i="19"/>
  <c r="L126" i="19"/>
  <c r="L120" i="19"/>
  <c r="L112" i="19"/>
  <c r="L106" i="19"/>
  <c r="L98" i="19"/>
  <c r="L91" i="19"/>
  <c r="L78" i="19"/>
  <c r="J205" i="19"/>
  <c r="K205" i="19" s="1"/>
  <c r="J203" i="19"/>
  <c r="K203" i="19" s="1"/>
  <c r="J201" i="19"/>
  <c r="K201" i="19" s="1"/>
  <c r="J199" i="19"/>
  <c r="K199" i="19" s="1"/>
  <c r="J197" i="19"/>
  <c r="K197" i="19" s="1"/>
  <c r="J195" i="19"/>
  <c r="K195" i="19" s="1"/>
  <c r="J193" i="19"/>
  <c r="K193" i="19" s="1"/>
  <c r="J191" i="19"/>
  <c r="K191" i="19" s="1"/>
  <c r="J189" i="19"/>
  <c r="K189" i="19" s="1"/>
  <c r="J187" i="19"/>
  <c r="K187" i="19" s="1"/>
  <c r="J185" i="19"/>
  <c r="K185" i="19" s="1"/>
  <c r="J183" i="19"/>
  <c r="K183" i="19" s="1"/>
  <c r="J181" i="19"/>
  <c r="K181" i="19" s="1"/>
  <c r="J179" i="19"/>
  <c r="K179" i="19" s="1"/>
  <c r="J177" i="19"/>
  <c r="K177" i="19" s="1"/>
  <c r="J175" i="19"/>
  <c r="K175" i="19" s="1"/>
  <c r="J173" i="19"/>
  <c r="K173" i="19" s="1"/>
  <c r="J171" i="19"/>
  <c r="K171" i="19" s="1"/>
  <c r="J169" i="19"/>
  <c r="K169" i="19" s="1"/>
  <c r="J167" i="19"/>
  <c r="K167" i="19" s="1"/>
  <c r="J165" i="19"/>
  <c r="K165" i="19" s="1"/>
  <c r="J163" i="19"/>
  <c r="K163" i="19" s="1"/>
  <c r="J161" i="19"/>
  <c r="K161" i="19" s="1"/>
  <c r="J159" i="19"/>
  <c r="K159" i="19" s="1"/>
  <c r="J157" i="19"/>
  <c r="K157" i="19" s="1"/>
  <c r="J155" i="19"/>
  <c r="K155" i="19" s="1"/>
  <c r="J153" i="19"/>
  <c r="K153" i="19" s="1"/>
  <c r="J151" i="19"/>
  <c r="K151" i="19" s="1"/>
  <c r="J149" i="19"/>
  <c r="K149" i="19" s="1"/>
  <c r="J147" i="19"/>
  <c r="K147" i="19" s="1"/>
  <c r="J145" i="19"/>
  <c r="K145" i="19" s="1"/>
  <c r="J143" i="19"/>
  <c r="K143" i="19" s="1"/>
  <c r="J141" i="19"/>
  <c r="K141" i="19" s="1"/>
  <c r="J139" i="19"/>
  <c r="K139" i="19" s="1"/>
  <c r="J137" i="19"/>
  <c r="K137" i="19" s="1"/>
  <c r="J135" i="19"/>
  <c r="K135" i="19" s="1"/>
  <c r="J133" i="19"/>
  <c r="J131" i="19"/>
  <c r="K131" i="19" s="1"/>
  <c r="J129" i="19"/>
  <c r="J127" i="19"/>
  <c r="K127" i="19" s="1"/>
  <c r="J125" i="19"/>
  <c r="K125" i="19" s="1"/>
  <c r="J123" i="19"/>
  <c r="K123" i="19" s="1"/>
  <c r="J121" i="19"/>
  <c r="K121" i="19" s="1"/>
  <c r="J119" i="19"/>
  <c r="K119" i="19" s="1"/>
  <c r="J117" i="19"/>
  <c r="J115" i="19"/>
  <c r="K115" i="19" s="1"/>
  <c r="J113" i="19"/>
  <c r="J111" i="19"/>
  <c r="K111" i="19" s="1"/>
  <c r="J109" i="19"/>
  <c r="K109" i="19" s="1"/>
  <c r="J107" i="19"/>
  <c r="K107" i="19" s="1"/>
  <c r="J105" i="19"/>
  <c r="K105" i="19" s="1"/>
  <c r="J103" i="19"/>
  <c r="K103" i="19" s="1"/>
  <c r="J101" i="19"/>
  <c r="J99" i="19"/>
  <c r="K99" i="19" s="1"/>
  <c r="J97" i="19"/>
  <c r="L92" i="19"/>
  <c r="M89" i="19"/>
  <c r="M83" i="19"/>
  <c r="M27" i="19"/>
  <c r="L200" i="19"/>
  <c r="O200" i="19" s="1"/>
  <c r="L190" i="19"/>
  <c r="L182" i="19"/>
  <c r="L174" i="19"/>
  <c r="L170" i="19"/>
  <c r="L162" i="19"/>
  <c r="L154" i="19"/>
  <c r="L148" i="19"/>
  <c r="L140" i="19"/>
  <c r="L132" i="19"/>
  <c r="L124" i="19"/>
  <c r="L116" i="19"/>
  <c r="L110" i="19"/>
  <c r="L104" i="19"/>
  <c r="L96" i="19"/>
  <c r="M88" i="19"/>
  <c r="L72" i="19"/>
  <c r="M94" i="19"/>
  <c r="L89" i="19"/>
  <c r="M86" i="19"/>
  <c r="L83" i="19"/>
  <c r="L79" i="19"/>
  <c r="M67" i="19"/>
  <c r="L12" i="19"/>
  <c r="H85" i="13"/>
  <c r="G27" i="13"/>
  <c r="L74" i="19"/>
  <c r="L70" i="19"/>
  <c r="L54" i="19"/>
  <c r="L37" i="19"/>
  <c r="L25" i="19"/>
  <c r="L77" i="19"/>
  <c r="L58" i="19"/>
  <c r="L41" i="19"/>
  <c r="L20" i="19"/>
  <c r="L73" i="19"/>
  <c r="L69" i="19"/>
  <c r="L36" i="19"/>
  <c r="L24" i="19"/>
  <c r="L7" i="19"/>
  <c r="L76" i="19"/>
  <c r="L52" i="19"/>
  <c r="L40" i="19"/>
  <c r="L11" i="19"/>
  <c r="L75" i="19"/>
  <c r="L71" i="19"/>
  <c r="L67" i="19"/>
  <c r="L55" i="19"/>
  <c r="L43" i="19"/>
  <c r="L26" i="19"/>
  <c r="L68" i="19"/>
  <c r="L57" i="19"/>
  <c r="L53" i="19"/>
  <c r="L42" i="19"/>
  <c r="L38" i="19"/>
  <c r="L27" i="19"/>
  <c r="L23" i="19"/>
  <c r="M19" i="19"/>
  <c r="L8" i="19"/>
  <c r="L64" i="19"/>
  <c r="L60" i="19"/>
  <c r="L49" i="19"/>
  <c r="L45" i="19"/>
  <c r="L34" i="19"/>
  <c r="L30" i="19"/>
  <c r="L19" i="19"/>
  <c r="L15" i="19"/>
  <c r="M11" i="19"/>
  <c r="L63" i="19"/>
  <c r="M59" i="19"/>
  <c r="L48" i="19"/>
  <c r="L44" i="19"/>
  <c r="L33" i="19"/>
  <c r="L29" i="19"/>
  <c r="L18" i="19"/>
  <c r="L14" i="19"/>
  <c r="L66" i="19"/>
  <c r="L62" i="19"/>
  <c r="L51" i="19"/>
  <c r="L47" i="19"/>
  <c r="M43" i="19"/>
  <c r="L32" i="19"/>
  <c r="L28" i="19"/>
  <c r="L17" i="19"/>
  <c r="L13" i="19"/>
  <c r="L6" i="19"/>
  <c r="L65" i="19"/>
  <c r="L61" i="19"/>
  <c r="L50" i="19"/>
  <c r="L46" i="19"/>
  <c r="L35" i="19"/>
  <c r="L31" i="19"/>
  <c r="L16" i="19"/>
  <c r="U83" i="19"/>
  <c r="U75" i="19"/>
  <c r="U67" i="19"/>
  <c r="U42" i="19"/>
  <c r="U10" i="19"/>
  <c r="U79" i="19"/>
  <c r="U71" i="19"/>
  <c r="U58" i="19"/>
  <c r="U26" i="19"/>
  <c r="U78" i="19"/>
  <c r="U70" i="19"/>
  <c r="U54" i="19"/>
  <c r="U22" i="19"/>
  <c r="U85" i="19"/>
  <c r="U77" i="19"/>
  <c r="U69" i="19"/>
  <c r="U50" i="19"/>
  <c r="U18" i="19"/>
  <c r="U84" i="19"/>
  <c r="U76" i="19"/>
  <c r="U68" i="19"/>
  <c r="U46" i="19"/>
  <c r="U14" i="19"/>
  <c r="M80" i="19"/>
  <c r="M72" i="19"/>
  <c r="M64" i="19"/>
  <c r="M56" i="19"/>
  <c r="M48" i="19"/>
  <c r="M40" i="19"/>
  <c r="M32" i="19"/>
  <c r="M24" i="19"/>
  <c r="M16" i="19"/>
  <c r="M8" i="19"/>
  <c r="V85" i="19"/>
  <c r="V81" i="19"/>
  <c r="V77" i="19"/>
  <c r="V73" i="19"/>
  <c r="V69" i="19"/>
  <c r="V65" i="19"/>
  <c r="V61" i="19"/>
  <c r="V57" i="19"/>
  <c r="V53" i="19"/>
  <c r="V49" i="19"/>
  <c r="V45" i="19"/>
  <c r="V41" i="19"/>
  <c r="V37" i="19"/>
  <c r="V33" i="19"/>
  <c r="V29" i="19"/>
  <c r="V25" i="19"/>
  <c r="V21" i="19"/>
  <c r="V17" i="19"/>
  <c r="V13" i="19"/>
  <c r="V9" i="19"/>
  <c r="U6" i="19"/>
  <c r="M85" i="19"/>
  <c r="M77" i="19"/>
  <c r="M69" i="19"/>
  <c r="M61" i="19"/>
  <c r="M53" i="19"/>
  <c r="M45" i="19"/>
  <c r="M37" i="19"/>
  <c r="M29" i="19"/>
  <c r="M21" i="19"/>
  <c r="M13" i="19"/>
  <c r="U61" i="19"/>
  <c r="U57" i="19"/>
  <c r="U53" i="19"/>
  <c r="U49" i="19"/>
  <c r="U45" i="19"/>
  <c r="U41" i="19"/>
  <c r="U37" i="19"/>
  <c r="U33" i="19"/>
  <c r="U29" i="19"/>
  <c r="U25" i="19"/>
  <c r="U21" i="19"/>
  <c r="U17" i="19"/>
  <c r="U13" i="19"/>
  <c r="U9" i="19"/>
  <c r="M82" i="19"/>
  <c r="M74" i="19"/>
  <c r="M66" i="19"/>
  <c r="M58" i="19"/>
  <c r="M50" i="19"/>
  <c r="M42" i="19"/>
  <c r="M34" i="19"/>
  <c r="M26" i="19"/>
  <c r="M18" i="19"/>
  <c r="M10" i="19"/>
  <c r="V84" i="19"/>
  <c r="V80" i="19"/>
  <c r="V76" i="19"/>
  <c r="V72" i="19"/>
  <c r="V68" i="19"/>
  <c r="V64" i="19"/>
  <c r="V60" i="19"/>
  <c r="V56" i="19"/>
  <c r="V52" i="19"/>
  <c r="V48" i="19"/>
  <c r="V44" i="19"/>
  <c r="V40" i="19"/>
  <c r="V36" i="19"/>
  <c r="V32" i="19"/>
  <c r="V28" i="19"/>
  <c r="V24" i="19"/>
  <c r="V20" i="19"/>
  <c r="V16" i="19"/>
  <c r="V12" i="19"/>
  <c r="V8" i="19"/>
  <c r="M5" i="19"/>
  <c r="O5" i="19" s="1"/>
  <c r="M79" i="19"/>
  <c r="M71" i="19"/>
  <c r="M63" i="19"/>
  <c r="M55" i="19"/>
  <c r="M47" i="19"/>
  <c r="M39" i="19"/>
  <c r="M31" i="19"/>
  <c r="M23" i="19"/>
  <c r="M15" i="19"/>
  <c r="M7" i="19"/>
  <c r="U64" i="19"/>
  <c r="U60" i="19"/>
  <c r="U56" i="19"/>
  <c r="U52" i="19"/>
  <c r="U48" i="19"/>
  <c r="U44" i="19"/>
  <c r="U40" i="19"/>
  <c r="U36" i="19"/>
  <c r="U32" i="19"/>
  <c r="U28" i="19"/>
  <c r="U24" i="19"/>
  <c r="U20" i="19"/>
  <c r="U16" i="19"/>
  <c r="U12" i="19"/>
  <c r="U8" i="19"/>
  <c r="V5" i="19"/>
  <c r="M84" i="19"/>
  <c r="M76" i="19"/>
  <c r="M68" i="19"/>
  <c r="M60" i="19"/>
  <c r="M52" i="19"/>
  <c r="M44" i="19"/>
  <c r="M36" i="19"/>
  <c r="M28" i="19"/>
  <c r="M20" i="19"/>
  <c r="M12" i="19"/>
  <c r="V83" i="19"/>
  <c r="V79" i="19"/>
  <c r="V75" i="19"/>
  <c r="V71" i="19"/>
  <c r="V67" i="19"/>
  <c r="V63" i="19"/>
  <c r="V59" i="19"/>
  <c r="V55" i="19"/>
  <c r="V51" i="19"/>
  <c r="V47" i="19"/>
  <c r="V43" i="19"/>
  <c r="V39" i="19"/>
  <c r="V35" i="19"/>
  <c r="V31" i="19"/>
  <c r="V27" i="19"/>
  <c r="V23" i="19"/>
  <c r="V19" i="19"/>
  <c r="V15" i="19"/>
  <c r="V11" i="19"/>
  <c r="V7" i="19"/>
  <c r="M81" i="19"/>
  <c r="M73" i="19"/>
  <c r="M65" i="19"/>
  <c r="M57" i="19"/>
  <c r="M49" i="19"/>
  <c r="M41" i="19"/>
  <c r="M33" i="19"/>
  <c r="M25" i="19"/>
  <c r="M17" i="19"/>
  <c r="M9" i="19"/>
  <c r="U63" i="19"/>
  <c r="U59" i="19"/>
  <c r="U55" i="19"/>
  <c r="U51" i="19"/>
  <c r="U47" i="19"/>
  <c r="U43" i="19"/>
  <c r="U39" i="19"/>
  <c r="U35" i="19"/>
  <c r="U31" i="19"/>
  <c r="U27" i="19"/>
  <c r="U23" i="19"/>
  <c r="U19" i="19"/>
  <c r="U15" i="19"/>
  <c r="U11" i="19"/>
  <c r="M78" i="19"/>
  <c r="M70" i="19"/>
  <c r="M62" i="19"/>
  <c r="M54" i="19"/>
  <c r="M46" i="19"/>
  <c r="M38" i="19"/>
  <c r="M30" i="19"/>
  <c r="M22" i="19"/>
  <c r="M14" i="19"/>
  <c r="M6" i="19"/>
  <c r="V82" i="19"/>
  <c r="V78" i="19"/>
  <c r="V74" i="19"/>
  <c r="V70" i="19"/>
  <c r="V66" i="19"/>
  <c r="V62" i="19"/>
  <c r="V58" i="19"/>
  <c r="V54" i="19"/>
  <c r="V50" i="19"/>
  <c r="V46" i="19"/>
  <c r="V42" i="19"/>
  <c r="V38" i="19"/>
  <c r="V34" i="19"/>
  <c r="V30" i="19"/>
  <c r="V26" i="19"/>
  <c r="V22" i="19"/>
  <c r="V18" i="19"/>
  <c r="V14" i="19"/>
  <c r="V10" i="19"/>
  <c r="U73" i="18"/>
  <c r="V70" i="18"/>
  <c r="U65" i="18"/>
  <c r="U61" i="18"/>
  <c r="V52" i="18"/>
  <c r="U42" i="18"/>
  <c r="U31" i="18"/>
  <c r="V20" i="18"/>
  <c r="U10" i="18"/>
  <c r="V75" i="18"/>
  <c r="U70" i="18"/>
  <c r="V67" i="18"/>
  <c r="V64" i="18"/>
  <c r="V60" i="18"/>
  <c r="U51" i="18"/>
  <c r="V40" i="18"/>
  <c r="U30" i="18"/>
  <c r="U19" i="18"/>
  <c r="V8" i="18"/>
  <c r="V74" i="18"/>
  <c r="U69" i="18"/>
  <c r="V66" i="18"/>
  <c r="U63" i="18"/>
  <c r="U58" i="18"/>
  <c r="U47" i="18"/>
  <c r="V36" i="18"/>
  <c r="U26" i="18"/>
  <c r="U15" i="18"/>
  <c r="U71" i="18"/>
  <c r="V68" i="18"/>
  <c r="U62" i="18"/>
  <c r="U55" i="18"/>
  <c r="V44" i="18"/>
  <c r="U34" i="18"/>
  <c r="U23" i="18"/>
  <c r="V12" i="18"/>
  <c r="V73" i="18"/>
  <c r="U68" i="18"/>
  <c r="V65" i="18"/>
  <c r="V61" i="18"/>
  <c r="U54" i="18"/>
  <c r="U43" i="18"/>
  <c r="V32" i="18"/>
  <c r="U22" i="18"/>
  <c r="U11" i="18"/>
  <c r="V58" i="18"/>
  <c r="V54" i="18"/>
  <c r="V50" i="18"/>
  <c r="V46" i="18"/>
  <c r="V42" i="18"/>
  <c r="V38" i="18"/>
  <c r="V34" i="18"/>
  <c r="V30" i="18"/>
  <c r="V26" i="18"/>
  <c r="V22" i="18"/>
  <c r="V18" i="18"/>
  <c r="V14" i="18"/>
  <c r="V10" i="18"/>
  <c r="V6" i="18"/>
  <c r="V57" i="18"/>
  <c r="V53" i="18"/>
  <c r="V49" i="18"/>
  <c r="V45" i="18"/>
  <c r="V41" i="18"/>
  <c r="V37" i="18"/>
  <c r="V33" i="18"/>
  <c r="V29" i="18"/>
  <c r="V25" i="18"/>
  <c r="V21" i="18"/>
  <c r="V17" i="18"/>
  <c r="V13" i="18"/>
  <c r="V9" i="18"/>
  <c r="U6" i="18"/>
  <c r="U57" i="18"/>
  <c r="U53" i="18"/>
  <c r="U49" i="18"/>
  <c r="U45" i="18"/>
  <c r="U41" i="18"/>
  <c r="U37" i="18"/>
  <c r="U33" i="18"/>
  <c r="U29" i="18"/>
  <c r="U25" i="18"/>
  <c r="U21" i="18"/>
  <c r="U17" i="18"/>
  <c r="U13" i="18"/>
  <c r="U9" i="18"/>
  <c r="U60" i="18"/>
  <c r="U56" i="18"/>
  <c r="U52" i="18"/>
  <c r="U48" i="18"/>
  <c r="U44" i="18"/>
  <c r="U40" i="18"/>
  <c r="U36" i="18"/>
  <c r="U32" i="18"/>
  <c r="U28" i="18"/>
  <c r="U24" i="18"/>
  <c r="U20" i="18"/>
  <c r="U16" i="18"/>
  <c r="U12" i="18"/>
  <c r="V55" i="18"/>
  <c r="V51" i="18"/>
  <c r="V47" i="18"/>
  <c r="V43" i="18"/>
  <c r="V39" i="18"/>
  <c r="V35" i="18"/>
  <c r="V31" i="18"/>
  <c r="V27" i="18"/>
  <c r="V23" i="18"/>
  <c r="V19" i="18"/>
  <c r="V15" i="18"/>
  <c r="V11" i="18"/>
  <c r="L116" i="13"/>
  <c r="L72" i="13"/>
  <c r="L46" i="13"/>
  <c r="L90" i="13"/>
  <c r="L52" i="13"/>
  <c r="L25" i="13"/>
  <c r="L101" i="13"/>
  <c r="L95" i="13"/>
  <c r="L76" i="13"/>
  <c r="L71" i="13"/>
  <c r="L57" i="13"/>
  <c r="L100" i="13"/>
  <c r="M75" i="13"/>
  <c r="L56" i="13"/>
  <c r="L37" i="13"/>
  <c r="K205" i="13"/>
  <c r="K201" i="13"/>
  <c r="O201" i="13" s="1"/>
  <c r="K199" i="13"/>
  <c r="O199" i="13" s="1"/>
  <c r="K197" i="13"/>
  <c r="K195" i="13"/>
  <c r="K193" i="13"/>
  <c r="O193" i="13" s="1"/>
  <c r="K191" i="13"/>
  <c r="K189" i="13"/>
  <c r="K187" i="13"/>
  <c r="K185" i="13"/>
  <c r="O185" i="13" s="1"/>
  <c r="K183" i="13"/>
  <c r="O183" i="13" s="1"/>
  <c r="K181" i="13"/>
  <c r="K179" i="13"/>
  <c r="K177" i="13"/>
  <c r="O177" i="13" s="1"/>
  <c r="K175" i="13"/>
  <c r="K173" i="13"/>
  <c r="K171" i="13"/>
  <c r="K169" i="13"/>
  <c r="O169" i="13" s="1"/>
  <c r="K167" i="13"/>
  <c r="O167" i="13" s="1"/>
  <c r="L119" i="13"/>
  <c r="L114" i="13"/>
  <c r="L109" i="13"/>
  <c r="L104" i="13"/>
  <c r="L85" i="13"/>
  <c r="L75" i="13"/>
  <c r="L65" i="13"/>
  <c r="L60" i="13"/>
  <c r="L36" i="13"/>
  <c r="L123" i="13"/>
  <c r="L99" i="13"/>
  <c r="L94" i="13"/>
  <c r="L89" i="13"/>
  <c r="L79" i="13"/>
  <c r="L70" i="13"/>
  <c r="L55" i="13"/>
  <c r="L50" i="13"/>
  <c r="L45" i="13"/>
  <c r="L40" i="13"/>
  <c r="L24" i="13"/>
  <c r="L113" i="13"/>
  <c r="L74" i="13"/>
  <c r="L64" i="13"/>
  <c r="L59" i="13"/>
  <c r="L35" i="13"/>
  <c r="L29" i="13"/>
  <c r="L132" i="13"/>
  <c r="L117" i="13"/>
  <c r="L102" i="13"/>
  <c r="L98" i="13"/>
  <c r="L83" i="13"/>
  <c r="L49" i="13"/>
  <c r="K202" i="13"/>
  <c r="K198" i="13"/>
  <c r="O198" i="13" s="1"/>
  <c r="K194" i="13"/>
  <c r="K192" i="13"/>
  <c r="K190" i="13"/>
  <c r="K182" i="13"/>
  <c r="K178" i="13"/>
  <c r="K176" i="13"/>
  <c r="K174" i="13"/>
  <c r="O174" i="13" s="1"/>
  <c r="K172" i="13"/>
  <c r="K170" i="13"/>
  <c r="K166" i="13"/>
  <c r="L121" i="13"/>
  <c r="L106" i="13"/>
  <c r="L87" i="13"/>
  <c r="L68" i="13"/>
  <c r="L53" i="13"/>
  <c r="L38" i="13"/>
  <c r="L34" i="13"/>
  <c r="L15" i="13"/>
  <c r="V152" i="13"/>
  <c r="V148" i="13"/>
  <c r="U143" i="13"/>
  <c r="U138" i="13"/>
  <c r="U122" i="13"/>
  <c r="U106" i="13"/>
  <c r="U90" i="13"/>
  <c r="V69" i="13"/>
  <c r="V155" i="13"/>
  <c r="V151" i="13"/>
  <c r="U147" i="13"/>
  <c r="U142" i="13"/>
  <c r="U134" i="13"/>
  <c r="U118" i="13"/>
  <c r="U102" i="13"/>
  <c r="V85" i="13"/>
  <c r="V63" i="13"/>
  <c r="U155" i="13"/>
  <c r="U151" i="13"/>
  <c r="V146" i="13"/>
  <c r="V141" i="13"/>
  <c r="U131" i="13"/>
  <c r="U115" i="13"/>
  <c r="U99" i="13"/>
  <c r="V81" i="13"/>
  <c r="U59" i="13"/>
  <c r="V154" i="13"/>
  <c r="V150" i="13"/>
  <c r="U146" i="13"/>
  <c r="V140" i="13"/>
  <c r="U130" i="13"/>
  <c r="U114" i="13"/>
  <c r="U98" i="13"/>
  <c r="V80" i="13"/>
  <c r="U57" i="13"/>
  <c r="U154" i="13"/>
  <c r="U150" i="13"/>
  <c r="V145" i="13"/>
  <c r="V139" i="13"/>
  <c r="U127" i="13"/>
  <c r="U111" i="13"/>
  <c r="U95" i="13"/>
  <c r="V76" i="13"/>
  <c r="V44" i="13"/>
  <c r="V135" i="13"/>
  <c r="V131" i="13"/>
  <c r="V127" i="13"/>
  <c r="V123" i="13"/>
  <c r="V119" i="13"/>
  <c r="V115" i="13"/>
  <c r="V111" i="13"/>
  <c r="V107" i="13"/>
  <c r="V103" i="13"/>
  <c r="V99" i="13"/>
  <c r="V95" i="13"/>
  <c r="V91" i="13"/>
  <c r="V87" i="13"/>
  <c r="U83" i="13"/>
  <c r="U77" i="13"/>
  <c r="U72" i="13"/>
  <c r="V65" i="13"/>
  <c r="V59" i="13"/>
  <c r="U45" i="13"/>
  <c r="U14" i="13"/>
  <c r="V134" i="13"/>
  <c r="V130" i="13"/>
  <c r="V126" i="13"/>
  <c r="V122" i="13"/>
  <c r="V118" i="13"/>
  <c r="V114" i="13"/>
  <c r="V110" i="13"/>
  <c r="V106" i="13"/>
  <c r="V102" i="13"/>
  <c r="V98" i="13"/>
  <c r="V94" i="13"/>
  <c r="V90" i="13"/>
  <c r="V86" i="13"/>
  <c r="U81" i="13"/>
  <c r="U76" i="13"/>
  <c r="U71" i="13"/>
  <c r="V64" i="13"/>
  <c r="V57" i="13"/>
  <c r="U38" i="13"/>
  <c r="V137" i="13"/>
  <c r="V133" i="13"/>
  <c r="V129" i="13"/>
  <c r="V125" i="13"/>
  <c r="V121" i="13"/>
  <c r="V117" i="13"/>
  <c r="V113" i="13"/>
  <c r="V109" i="13"/>
  <c r="V105" i="13"/>
  <c r="V101" i="13"/>
  <c r="V97" i="13"/>
  <c r="V93" i="13"/>
  <c r="V89" i="13"/>
  <c r="U85" i="13"/>
  <c r="U80" i="13"/>
  <c r="U75" i="13"/>
  <c r="U69" i="13"/>
  <c r="U63" i="13"/>
  <c r="V56" i="13"/>
  <c r="V28" i="13"/>
  <c r="U145" i="13"/>
  <c r="U141" i="13"/>
  <c r="U137" i="13"/>
  <c r="U133" i="13"/>
  <c r="U129" i="13"/>
  <c r="U125" i="13"/>
  <c r="U121" i="13"/>
  <c r="U117" i="13"/>
  <c r="U113" i="13"/>
  <c r="U109" i="13"/>
  <c r="U105" i="13"/>
  <c r="U101" i="13"/>
  <c r="U97" i="13"/>
  <c r="U93" i="13"/>
  <c r="U89" i="13"/>
  <c r="V84" i="13"/>
  <c r="V79" i="13"/>
  <c r="V73" i="13"/>
  <c r="V68" i="13"/>
  <c r="V61" i="13"/>
  <c r="U54" i="13"/>
  <c r="V27" i="13"/>
  <c r="V136" i="13"/>
  <c r="V132" i="13"/>
  <c r="V128" i="13"/>
  <c r="V124" i="13"/>
  <c r="V120" i="13"/>
  <c r="V116" i="13"/>
  <c r="V112" i="13"/>
  <c r="V108" i="13"/>
  <c r="V104" i="13"/>
  <c r="V100" i="13"/>
  <c r="V96" i="13"/>
  <c r="V92" i="13"/>
  <c r="V88" i="13"/>
  <c r="U84" i="13"/>
  <c r="U79" i="13"/>
  <c r="U73" i="13"/>
  <c r="V67" i="13"/>
  <c r="U61" i="13"/>
  <c r="U53" i="13"/>
  <c r="U22" i="13"/>
  <c r="U148" i="13"/>
  <c r="U144" i="13"/>
  <c r="U140" i="13"/>
  <c r="U136" i="13"/>
  <c r="U132" i="13"/>
  <c r="U128" i="13"/>
  <c r="U124" i="13"/>
  <c r="U120" i="13"/>
  <c r="U116" i="13"/>
  <c r="U112" i="13"/>
  <c r="U108" i="13"/>
  <c r="U104" i="13"/>
  <c r="U100" i="13"/>
  <c r="U96" i="13"/>
  <c r="U92" i="13"/>
  <c r="U88" i="13"/>
  <c r="V83" i="13"/>
  <c r="V77" i="13"/>
  <c r="V72" i="13"/>
  <c r="U67" i="13"/>
  <c r="V60" i="13"/>
  <c r="U46" i="13"/>
  <c r="V19" i="13"/>
  <c r="G46" i="13"/>
  <c r="B51" i="27"/>
  <c r="K51" i="27" s="1"/>
  <c r="AE72" i="18"/>
  <c r="AD71" i="18"/>
  <c r="AC74" i="18"/>
  <c r="AC70" i="18"/>
  <c r="AB66" i="18"/>
  <c r="AN35" i="18"/>
  <c r="AB33" i="18"/>
  <c r="AE71" i="18"/>
  <c r="AD70" i="18"/>
  <c r="AB74" i="18"/>
  <c r="AC69" i="18"/>
  <c r="AC20" i="18"/>
  <c r="AE68" i="18"/>
  <c r="AD75" i="18"/>
  <c r="AD67" i="18"/>
  <c r="AC72" i="18"/>
  <c r="AM75" i="18"/>
  <c r="AN74" i="18"/>
  <c r="AO73" i="18"/>
  <c r="AP72" i="18"/>
  <c r="AN60" i="18"/>
  <c r="AP50" i="18"/>
  <c r="AM45" i="18"/>
  <c r="AM35" i="18"/>
  <c r="AL71" i="18"/>
  <c r="AO60" i="18"/>
  <c r="AM74" i="18"/>
  <c r="AN73" i="18"/>
  <c r="AO72" i="18"/>
  <c r="AP71" i="18"/>
  <c r="AM60" i="18"/>
  <c r="AO50" i="18"/>
  <c r="AL45" i="18"/>
  <c r="AL35" i="18"/>
  <c r="AP75" i="18"/>
  <c r="AP45" i="18"/>
  <c r="AO74" i="18"/>
  <c r="AL74" i="18"/>
  <c r="AM73" i="18"/>
  <c r="AN72" i="18"/>
  <c r="AO71" i="18"/>
  <c r="AL60" i="18"/>
  <c r="AN50" i="18"/>
  <c r="AP40" i="18"/>
  <c r="AN55" i="18"/>
  <c r="AN75" i="18"/>
  <c r="AL55" i="18"/>
  <c r="AL73" i="18"/>
  <c r="AM72" i="18"/>
  <c r="AN71" i="18"/>
  <c r="AP55" i="18"/>
  <c r="AM50" i="18"/>
  <c r="AO40" i="18"/>
  <c r="AN45" i="18"/>
  <c r="AL72" i="18"/>
  <c r="AM71" i="18"/>
  <c r="AO55" i="18"/>
  <c r="AL50" i="18"/>
  <c r="AN40" i="18"/>
  <c r="AM40" i="18"/>
  <c r="AP35" i="18"/>
  <c r="AO75" i="18"/>
  <c r="AP74" i="18"/>
  <c r="AP60" i="18"/>
  <c r="AM55" i="18"/>
  <c r="AO45" i="18"/>
  <c r="AL40" i="18"/>
  <c r="AP73" i="18"/>
  <c r="AE75" i="18"/>
  <c r="AE67" i="18"/>
  <c r="AD74" i="18"/>
  <c r="AD66" i="18"/>
  <c r="AB72" i="18"/>
  <c r="AC67" i="18"/>
  <c r="AL23" i="18"/>
  <c r="AE74" i="18"/>
  <c r="AE66" i="18"/>
  <c r="AD73" i="18"/>
  <c r="AC75" i="18"/>
  <c r="AC71" i="18"/>
  <c r="AB67" i="18"/>
  <c r="AE73" i="18"/>
  <c r="AE45" i="18"/>
  <c r="AD72" i="18"/>
  <c r="AB71" i="18"/>
  <c r="AC66" i="18"/>
  <c r="E42" i="27"/>
  <c r="AT35" i="26"/>
  <c r="AS26" i="26"/>
  <c r="AS29" i="26"/>
  <c r="AD23" i="26"/>
  <c r="AE29" i="26"/>
  <c r="AE26" i="26"/>
  <c r="E91" i="27"/>
  <c r="AE23" i="26"/>
  <c r="E88" i="27"/>
  <c r="AE35" i="26"/>
  <c r="AO35" i="26"/>
  <c r="AS35" i="26" s="1"/>
  <c r="AD35" i="26"/>
  <c r="H85" i="26"/>
  <c r="X164" i="26"/>
  <c r="C94" i="18"/>
  <c r="AL68" i="18"/>
  <c r="AM67" i="18"/>
  <c r="AN66" i="18"/>
  <c r="AL67" i="18"/>
  <c r="AM66" i="18"/>
  <c r="AP70" i="18"/>
  <c r="AL66" i="18"/>
  <c r="AO70" i="18"/>
  <c r="AP69" i="18"/>
  <c r="AN70" i="18"/>
  <c r="AO69" i="18"/>
  <c r="AP68" i="18"/>
  <c r="AM70" i="18"/>
  <c r="AN69" i="18"/>
  <c r="AO68" i="18"/>
  <c r="AP67" i="18"/>
  <c r="AL70" i="18"/>
  <c r="AM69" i="18"/>
  <c r="AN68" i="18"/>
  <c r="AO67" i="18"/>
  <c r="AP66" i="18"/>
  <c r="AL69" i="18"/>
  <c r="AM68" i="18"/>
  <c r="AN67" i="18"/>
  <c r="AO66" i="18"/>
  <c r="M5" i="18"/>
  <c r="L19" i="18"/>
  <c r="L6" i="18"/>
  <c r="M203" i="18"/>
  <c r="M199" i="18"/>
  <c r="M86" i="18"/>
  <c r="L81" i="18"/>
  <c r="M70" i="18"/>
  <c r="L65" i="18"/>
  <c r="M52" i="18"/>
  <c r="L33" i="18"/>
  <c r="L202" i="18"/>
  <c r="L198" i="18"/>
  <c r="M90" i="18"/>
  <c r="L85" i="18"/>
  <c r="M74" i="18"/>
  <c r="L69" i="18"/>
  <c r="L57" i="18"/>
  <c r="M44" i="18"/>
  <c r="M205" i="18"/>
  <c r="M201" i="18"/>
  <c r="M197" i="18"/>
  <c r="M94" i="18"/>
  <c r="L89" i="18"/>
  <c r="M78" i="18"/>
  <c r="L73" i="18"/>
  <c r="L49" i="18"/>
  <c r="M36" i="18"/>
  <c r="L204" i="18"/>
  <c r="L200" i="18"/>
  <c r="L93" i="18"/>
  <c r="M82" i="18"/>
  <c r="L77" i="18"/>
  <c r="M66" i="18"/>
  <c r="M60" i="18"/>
  <c r="L41" i="18"/>
  <c r="L12" i="18"/>
  <c r="H105" i="27"/>
  <c r="I103" i="27"/>
  <c r="K114" i="27"/>
  <c r="K112" i="27"/>
  <c r="K110" i="27"/>
  <c r="K108" i="27"/>
  <c r="K106" i="27"/>
  <c r="K104" i="27"/>
  <c r="H103" i="27"/>
  <c r="J114" i="27"/>
  <c r="J112" i="27"/>
  <c r="J110" i="27"/>
  <c r="J108" i="27"/>
  <c r="J106" i="27"/>
  <c r="J104" i="27"/>
  <c r="I114" i="27"/>
  <c r="I112" i="27"/>
  <c r="I110" i="27"/>
  <c r="I108" i="27"/>
  <c r="I106" i="27"/>
  <c r="I104" i="27"/>
  <c r="H114" i="27"/>
  <c r="H112" i="27"/>
  <c r="H110" i="27"/>
  <c r="H108" i="27"/>
  <c r="H106" i="27"/>
  <c r="H104" i="27"/>
  <c r="K115" i="27"/>
  <c r="K113" i="27"/>
  <c r="K111" i="27"/>
  <c r="K109" i="27"/>
  <c r="K107" i="27"/>
  <c r="K105" i="27"/>
  <c r="J115" i="27"/>
  <c r="J113" i="27"/>
  <c r="J111" i="27"/>
  <c r="J109" i="27"/>
  <c r="J107" i="27"/>
  <c r="J105" i="27"/>
  <c r="K103" i="27"/>
  <c r="I115" i="27"/>
  <c r="I113" i="27"/>
  <c r="I111" i="27"/>
  <c r="I109" i="27"/>
  <c r="I107" i="27"/>
  <c r="I105" i="27"/>
  <c r="J103" i="27"/>
  <c r="H115" i="27"/>
  <c r="H113" i="27"/>
  <c r="H111" i="27"/>
  <c r="H109" i="27"/>
  <c r="H107" i="27"/>
  <c r="AT26" i="26"/>
  <c r="AQ26" i="26"/>
  <c r="AQ35" i="26"/>
  <c r="AR26" i="26"/>
  <c r="AR35" i="26"/>
  <c r="AQ29" i="26"/>
  <c r="J204" i="26"/>
  <c r="K204" i="26" s="1"/>
  <c r="J202" i="26"/>
  <c r="K202" i="26" s="1"/>
  <c r="J200" i="26"/>
  <c r="K200" i="26" s="1"/>
  <c r="J198" i="26"/>
  <c r="K198" i="26" s="1"/>
  <c r="J196" i="26"/>
  <c r="K196" i="26" s="1"/>
  <c r="J194" i="26"/>
  <c r="K194" i="26" s="1"/>
  <c r="J192" i="26"/>
  <c r="K192" i="26" s="1"/>
  <c r="J190" i="26"/>
  <c r="K190" i="26" s="1"/>
  <c r="J188" i="26"/>
  <c r="K188" i="26" s="1"/>
  <c r="J186" i="26"/>
  <c r="K186" i="26" s="1"/>
  <c r="J184" i="26"/>
  <c r="K184" i="26" s="1"/>
  <c r="L182" i="26"/>
  <c r="L180" i="26"/>
  <c r="L178" i="26"/>
  <c r="L176" i="26"/>
  <c r="M174" i="26"/>
  <c r="M172" i="26"/>
  <c r="M170" i="26"/>
  <c r="M168" i="26"/>
  <c r="M166" i="26"/>
  <c r="M164" i="26"/>
  <c r="M162" i="26"/>
  <c r="M160" i="26"/>
  <c r="M158" i="26"/>
  <c r="M156" i="26"/>
  <c r="M154" i="26"/>
  <c r="M152" i="26"/>
  <c r="J131" i="26"/>
  <c r="K131" i="26" s="1"/>
  <c r="J129" i="26"/>
  <c r="K129" i="26" s="1"/>
  <c r="J127" i="26"/>
  <c r="K127" i="26" s="1"/>
  <c r="J125" i="26"/>
  <c r="K125" i="26" s="1"/>
  <c r="J123" i="26"/>
  <c r="K123" i="26" s="1"/>
  <c r="J121" i="26"/>
  <c r="K121" i="26" s="1"/>
  <c r="J119" i="26"/>
  <c r="K119" i="26" s="1"/>
  <c r="J117" i="26"/>
  <c r="J115" i="26"/>
  <c r="K115" i="26" s="1"/>
  <c r="J113" i="26"/>
  <c r="K113" i="26" s="1"/>
  <c r="J111" i="26"/>
  <c r="K111" i="26" s="1"/>
  <c r="J109" i="26"/>
  <c r="K109" i="26" s="1"/>
  <c r="J107" i="26"/>
  <c r="K107" i="26" s="1"/>
  <c r="J105" i="26"/>
  <c r="K105" i="26" s="1"/>
  <c r="J103" i="26"/>
  <c r="K103" i="26" s="1"/>
  <c r="L99" i="26"/>
  <c r="L97" i="26"/>
  <c r="L95" i="26"/>
  <c r="L93" i="26"/>
  <c r="L91" i="26"/>
  <c r="L89" i="26"/>
  <c r="L87" i="26"/>
  <c r="L85" i="26"/>
  <c r="L83" i="26"/>
  <c r="L81" i="26"/>
  <c r="L79" i="26"/>
  <c r="L77" i="26"/>
  <c r="L75" i="26"/>
  <c r="L73" i="26"/>
  <c r="L71" i="26"/>
  <c r="L69" i="26"/>
  <c r="L67" i="26"/>
  <c r="L65" i="26"/>
  <c r="M62" i="26"/>
  <c r="L57" i="26"/>
  <c r="M54" i="26"/>
  <c r="L49" i="26"/>
  <c r="M46" i="26"/>
  <c r="L41" i="26"/>
  <c r="M38" i="26"/>
  <c r="L33" i="26"/>
  <c r="M30" i="26"/>
  <c r="L25" i="26"/>
  <c r="M22" i="26"/>
  <c r="L17" i="26"/>
  <c r="M14" i="26"/>
  <c r="L9" i="26"/>
  <c r="M6" i="26"/>
  <c r="AR29" i="26"/>
  <c r="J182" i="26"/>
  <c r="K182" i="26" s="1"/>
  <c r="J180" i="26"/>
  <c r="K180" i="26" s="1"/>
  <c r="J178" i="26"/>
  <c r="K178" i="26" s="1"/>
  <c r="J176" i="26"/>
  <c r="K176" i="26" s="1"/>
  <c r="L174" i="26"/>
  <c r="L172" i="26"/>
  <c r="L170" i="26"/>
  <c r="L168" i="26"/>
  <c r="O168" i="26" s="1"/>
  <c r="L166" i="26"/>
  <c r="L164" i="26"/>
  <c r="L162" i="26"/>
  <c r="L160" i="26"/>
  <c r="L158" i="26"/>
  <c r="L156" i="26"/>
  <c r="L154" i="26"/>
  <c r="L152" i="26"/>
  <c r="O152" i="26" s="1"/>
  <c r="M150" i="26"/>
  <c r="M148" i="26"/>
  <c r="M146" i="26"/>
  <c r="M144" i="26"/>
  <c r="M142" i="26"/>
  <c r="M140" i="26"/>
  <c r="M138" i="26"/>
  <c r="M136" i="26"/>
  <c r="M134" i="26"/>
  <c r="M132" i="26"/>
  <c r="J101" i="26"/>
  <c r="K101" i="26" s="1"/>
  <c r="J99" i="26"/>
  <c r="K99" i="26" s="1"/>
  <c r="J97" i="26"/>
  <c r="K97" i="26" s="1"/>
  <c r="L62" i="26"/>
  <c r="M59" i="26"/>
  <c r="L54" i="26"/>
  <c r="M51" i="26"/>
  <c r="L46" i="26"/>
  <c r="M43" i="26"/>
  <c r="L38" i="26"/>
  <c r="M35" i="26"/>
  <c r="L30" i="26"/>
  <c r="M27" i="26"/>
  <c r="L22" i="26"/>
  <c r="M19" i="26"/>
  <c r="L14" i="26"/>
  <c r="M11" i="26"/>
  <c r="J6" i="26"/>
  <c r="J7" i="26" s="1"/>
  <c r="AT29" i="26"/>
  <c r="L205" i="26"/>
  <c r="L203" i="26"/>
  <c r="L201" i="26"/>
  <c r="L199" i="26"/>
  <c r="L197" i="26"/>
  <c r="L195" i="26"/>
  <c r="L193" i="26"/>
  <c r="L191" i="26"/>
  <c r="L189" i="26"/>
  <c r="L187" i="26"/>
  <c r="L185" i="26"/>
  <c r="L183" i="26"/>
  <c r="M181" i="26"/>
  <c r="M179" i="26"/>
  <c r="M177" i="26"/>
  <c r="M175" i="26"/>
  <c r="J150" i="26"/>
  <c r="K150" i="26" s="1"/>
  <c r="J148" i="26"/>
  <c r="K148" i="26" s="1"/>
  <c r="J146" i="26"/>
  <c r="K146" i="26" s="1"/>
  <c r="J144" i="26"/>
  <c r="K144" i="26" s="1"/>
  <c r="J142" i="26"/>
  <c r="K142" i="26" s="1"/>
  <c r="J140" i="26"/>
  <c r="K140" i="26" s="1"/>
  <c r="J138" i="26"/>
  <c r="K138" i="26" s="1"/>
  <c r="J136" i="26"/>
  <c r="K136" i="26" s="1"/>
  <c r="J134" i="26"/>
  <c r="K134" i="26" s="1"/>
  <c r="J132" i="26"/>
  <c r="K132" i="26" s="1"/>
  <c r="L130" i="26"/>
  <c r="L128" i="26"/>
  <c r="L126" i="26"/>
  <c r="L124" i="26"/>
  <c r="L122" i="26"/>
  <c r="L120" i="26"/>
  <c r="L118" i="26"/>
  <c r="L116" i="26"/>
  <c r="L114" i="26"/>
  <c r="L112" i="26"/>
  <c r="L110" i="26"/>
  <c r="L108" i="26"/>
  <c r="L106" i="26"/>
  <c r="L104" i="26"/>
  <c r="L102" i="26"/>
  <c r="M100" i="26"/>
  <c r="M98" i="26"/>
  <c r="M96" i="26"/>
  <c r="M94" i="26"/>
  <c r="M92" i="26"/>
  <c r="M90" i="26"/>
  <c r="M88" i="26"/>
  <c r="M86" i="26"/>
  <c r="M84" i="26"/>
  <c r="M82" i="26"/>
  <c r="M80" i="26"/>
  <c r="M78" i="26"/>
  <c r="M76" i="26"/>
  <c r="M74" i="26"/>
  <c r="M72" i="26"/>
  <c r="M70" i="26"/>
  <c r="M68" i="26"/>
  <c r="M66" i="26"/>
  <c r="L64" i="26"/>
  <c r="M61" i="26"/>
  <c r="L56" i="26"/>
  <c r="M53" i="26"/>
  <c r="L48" i="26"/>
  <c r="M45" i="26"/>
  <c r="L40" i="26"/>
  <c r="M37" i="26"/>
  <c r="L32" i="26"/>
  <c r="M29" i="26"/>
  <c r="L24" i="26"/>
  <c r="M21" i="26"/>
  <c r="L16" i="26"/>
  <c r="M13" i="26"/>
  <c r="L8" i="26"/>
  <c r="J205" i="26"/>
  <c r="K205" i="26" s="1"/>
  <c r="J203" i="26"/>
  <c r="K203" i="26" s="1"/>
  <c r="J201" i="26"/>
  <c r="K201" i="26" s="1"/>
  <c r="J199" i="26"/>
  <c r="K199" i="26" s="1"/>
  <c r="J197" i="26"/>
  <c r="K197" i="26" s="1"/>
  <c r="J195" i="26"/>
  <c r="K195" i="26" s="1"/>
  <c r="J193" i="26"/>
  <c r="J191" i="26"/>
  <c r="K191" i="26" s="1"/>
  <c r="J189" i="26"/>
  <c r="K189" i="26" s="1"/>
  <c r="J187" i="26"/>
  <c r="K187" i="26" s="1"/>
  <c r="J185" i="26"/>
  <c r="K185" i="26" s="1"/>
  <c r="L181" i="26"/>
  <c r="L179" i="26"/>
  <c r="L177" i="26"/>
  <c r="L175" i="26"/>
  <c r="M173" i="26"/>
  <c r="M171" i="26"/>
  <c r="M169" i="26"/>
  <c r="M167" i="26"/>
  <c r="M165" i="26"/>
  <c r="M163" i="26"/>
  <c r="M161" i="26"/>
  <c r="M159" i="26"/>
  <c r="M157" i="26"/>
  <c r="M155" i="26"/>
  <c r="M153" i="26"/>
  <c r="M151" i="26"/>
  <c r="J130" i="26"/>
  <c r="K130" i="26" s="1"/>
  <c r="J128" i="26"/>
  <c r="K128" i="26" s="1"/>
  <c r="J126" i="26"/>
  <c r="K126" i="26" s="1"/>
  <c r="J124" i="26"/>
  <c r="K124" i="26" s="1"/>
  <c r="J122" i="26"/>
  <c r="K122" i="26" s="1"/>
  <c r="J120" i="26"/>
  <c r="K120" i="26" s="1"/>
  <c r="J118" i="26"/>
  <c r="K118" i="26" s="1"/>
  <c r="J116" i="26"/>
  <c r="K116" i="26" s="1"/>
  <c r="J114" i="26"/>
  <c r="K114" i="26" s="1"/>
  <c r="J112" i="26"/>
  <c r="K112" i="26" s="1"/>
  <c r="J110" i="26"/>
  <c r="K110" i="26" s="1"/>
  <c r="J108" i="26"/>
  <c r="K108" i="26" s="1"/>
  <c r="J106" i="26"/>
  <c r="K106" i="26" s="1"/>
  <c r="J104" i="26"/>
  <c r="K104" i="26" s="1"/>
  <c r="J102" i="26"/>
  <c r="K102" i="26" s="1"/>
  <c r="L100" i="26"/>
  <c r="L98" i="26"/>
  <c r="L96" i="26"/>
  <c r="L94" i="26"/>
  <c r="L92" i="26"/>
  <c r="L90" i="26"/>
  <c r="L88" i="26"/>
  <c r="L86" i="26"/>
  <c r="L84" i="26"/>
  <c r="L82" i="26"/>
  <c r="L80" i="26"/>
  <c r="L78" i="26"/>
  <c r="L76" i="26"/>
  <c r="L74" i="26"/>
  <c r="L72" i="26"/>
  <c r="L70" i="26"/>
  <c r="L68" i="26"/>
  <c r="L66" i="26"/>
  <c r="L61" i="26"/>
  <c r="M58" i="26"/>
  <c r="L53" i="26"/>
  <c r="M50" i="26"/>
  <c r="L45" i="26"/>
  <c r="M42" i="26"/>
  <c r="L37" i="26"/>
  <c r="M34" i="26"/>
  <c r="L29" i="26"/>
  <c r="M26" i="26"/>
  <c r="L21" i="26"/>
  <c r="M18" i="26"/>
  <c r="L13" i="26"/>
  <c r="M10" i="26"/>
  <c r="M5" i="26"/>
  <c r="O5" i="26" s="1"/>
  <c r="J183" i="26"/>
  <c r="K183" i="26" s="1"/>
  <c r="J181" i="26"/>
  <c r="K181" i="26" s="1"/>
  <c r="J179" i="26"/>
  <c r="K179" i="26" s="1"/>
  <c r="J177" i="26"/>
  <c r="K177" i="26" s="1"/>
  <c r="L173" i="26"/>
  <c r="L171" i="26"/>
  <c r="L169" i="26"/>
  <c r="L167" i="26"/>
  <c r="L165" i="26"/>
  <c r="L163" i="26"/>
  <c r="L161" i="26"/>
  <c r="L159" i="26"/>
  <c r="L157" i="26"/>
  <c r="L155" i="26"/>
  <c r="L153" i="26"/>
  <c r="L151" i="26"/>
  <c r="M149" i="26"/>
  <c r="M147" i="26"/>
  <c r="M145" i="26"/>
  <c r="M143" i="26"/>
  <c r="M141" i="26"/>
  <c r="M139" i="26"/>
  <c r="M137" i="26"/>
  <c r="M135" i="26"/>
  <c r="M133" i="26"/>
  <c r="M131" i="26"/>
  <c r="J100" i="26"/>
  <c r="K100" i="26" s="1"/>
  <c r="J98" i="26"/>
  <c r="K98" i="26" s="1"/>
  <c r="J96" i="26"/>
  <c r="K96" i="26" s="1"/>
  <c r="M63" i="26"/>
  <c r="L58" i="26"/>
  <c r="M55" i="26"/>
  <c r="L50" i="26"/>
  <c r="M47" i="26"/>
  <c r="L42" i="26"/>
  <c r="M39" i="26"/>
  <c r="L34" i="26"/>
  <c r="M31" i="26"/>
  <c r="L26" i="26"/>
  <c r="M23" i="26"/>
  <c r="L18" i="26"/>
  <c r="M15" i="26"/>
  <c r="L10" i="26"/>
  <c r="M7" i="26"/>
  <c r="M204" i="26"/>
  <c r="M202" i="26"/>
  <c r="M200" i="26"/>
  <c r="M198" i="26"/>
  <c r="M196" i="26"/>
  <c r="M194" i="26"/>
  <c r="M192" i="26"/>
  <c r="M190" i="26"/>
  <c r="M188" i="26"/>
  <c r="M186" i="26"/>
  <c r="M184" i="26"/>
  <c r="J175" i="26"/>
  <c r="K175" i="26" s="1"/>
  <c r="J173" i="26"/>
  <c r="K173" i="26" s="1"/>
  <c r="J171" i="26"/>
  <c r="K171" i="26" s="1"/>
  <c r="J169" i="26"/>
  <c r="K169" i="26" s="1"/>
  <c r="J167" i="26"/>
  <c r="K167" i="26" s="1"/>
  <c r="J165" i="26"/>
  <c r="J163" i="26"/>
  <c r="K163" i="26" s="1"/>
  <c r="J161" i="26"/>
  <c r="K161" i="26" s="1"/>
  <c r="J159" i="26"/>
  <c r="K159" i="26" s="1"/>
  <c r="J157" i="26"/>
  <c r="K157" i="26" s="1"/>
  <c r="J155" i="26"/>
  <c r="K155" i="26" s="1"/>
  <c r="J153" i="26"/>
  <c r="K153" i="26" s="1"/>
  <c r="L149" i="26"/>
  <c r="L147" i="26"/>
  <c r="L145" i="26"/>
  <c r="L143" i="26"/>
  <c r="L141" i="26"/>
  <c r="L139" i="26"/>
  <c r="L137" i="26"/>
  <c r="L135" i="26"/>
  <c r="L133" i="26"/>
  <c r="L131" i="26"/>
  <c r="M129" i="26"/>
  <c r="M127" i="26"/>
  <c r="M125" i="26"/>
  <c r="M123" i="26"/>
  <c r="M121" i="26"/>
  <c r="M119" i="26"/>
  <c r="M117" i="26"/>
  <c r="M115" i="26"/>
  <c r="M113" i="26"/>
  <c r="M111" i="26"/>
  <c r="M109" i="26"/>
  <c r="M107" i="26"/>
  <c r="M105" i="26"/>
  <c r="M103" i="26"/>
  <c r="M101" i="26"/>
  <c r="L63" i="26"/>
  <c r="M60" i="26"/>
  <c r="L55" i="26"/>
  <c r="M52" i="26"/>
  <c r="L47" i="26"/>
  <c r="M44" i="26"/>
  <c r="L39" i="26"/>
  <c r="M36" i="26"/>
  <c r="L31" i="26"/>
  <c r="M28" i="26"/>
  <c r="L23" i="26"/>
  <c r="M20" i="26"/>
  <c r="L15" i="26"/>
  <c r="M12" i="26"/>
  <c r="L7" i="26"/>
  <c r="L204" i="26"/>
  <c r="L202" i="26"/>
  <c r="L200" i="26"/>
  <c r="L198" i="26"/>
  <c r="L196" i="26"/>
  <c r="L194" i="26"/>
  <c r="L192" i="26"/>
  <c r="L190" i="26"/>
  <c r="L188" i="26"/>
  <c r="L186" i="26"/>
  <c r="L184" i="26"/>
  <c r="M182" i="26"/>
  <c r="M180" i="26"/>
  <c r="M178" i="26"/>
  <c r="M176" i="26"/>
  <c r="J151" i="26"/>
  <c r="K151" i="26" s="1"/>
  <c r="J149" i="26"/>
  <c r="K149" i="26" s="1"/>
  <c r="J147" i="26"/>
  <c r="K147" i="26" s="1"/>
  <c r="J145" i="26"/>
  <c r="K145" i="26" s="1"/>
  <c r="J143" i="26"/>
  <c r="K143" i="26" s="1"/>
  <c r="J141" i="26"/>
  <c r="K141" i="26" s="1"/>
  <c r="J139" i="26"/>
  <c r="K139" i="26" s="1"/>
  <c r="J137" i="26"/>
  <c r="K137" i="26" s="1"/>
  <c r="J135" i="26"/>
  <c r="K135" i="26" s="1"/>
  <c r="J133" i="26"/>
  <c r="K133" i="26" s="1"/>
  <c r="L129" i="26"/>
  <c r="L127" i="26"/>
  <c r="L125" i="26"/>
  <c r="L123" i="26"/>
  <c r="L121" i="26"/>
  <c r="L119" i="26"/>
  <c r="L117" i="26"/>
  <c r="L115" i="26"/>
  <c r="L113" i="26"/>
  <c r="L111" i="26"/>
  <c r="L109" i="26"/>
  <c r="L107" i="26"/>
  <c r="L105" i="26"/>
  <c r="L103" i="26"/>
  <c r="L101" i="26"/>
  <c r="M99" i="26"/>
  <c r="M97" i="26"/>
  <c r="M95" i="26"/>
  <c r="M93" i="26"/>
  <c r="M91" i="26"/>
  <c r="M89" i="26"/>
  <c r="M87" i="26"/>
  <c r="M85" i="26"/>
  <c r="M83" i="26"/>
  <c r="M81" i="26"/>
  <c r="M79" i="26"/>
  <c r="M77" i="26"/>
  <c r="M75" i="26"/>
  <c r="M73" i="26"/>
  <c r="M71" i="26"/>
  <c r="M69" i="26"/>
  <c r="M67" i="26"/>
  <c r="M65" i="26"/>
  <c r="L60" i="26"/>
  <c r="M57" i="26"/>
  <c r="L52" i="26"/>
  <c r="M49" i="26"/>
  <c r="L44" i="26"/>
  <c r="M41" i="26"/>
  <c r="L36" i="26"/>
  <c r="M33" i="26"/>
  <c r="L28" i="26"/>
  <c r="M25" i="26"/>
  <c r="L20" i="26"/>
  <c r="M17" i="26"/>
  <c r="L12" i="26"/>
  <c r="X202" i="26"/>
  <c r="X200" i="26"/>
  <c r="X185" i="26"/>
  <c r="X204" i="26"/>
  <c r="X191" i="26"/>
  <c r="AT23" i="26"/>
  <c r="AS23" i="26"/>
  <c r="AR23" i="26"/>
  <c r="AQ23" i="26"/>
  <c r="K193" i="26"/>
  <c r="K165" i="26"/>
  <c r="K117" i="26"/>
  <c r="K174" i="26"/>
  <c r="K170" i="26"/>
  <c r="K166" i="26"/>
  <c r="K162" i="26"/>
  <c r="K158" i="26"/>
  <c r="K154" i="26"/>
  <c r="R7" i="26"/>
  <c r="X190" i="26"/>
  <c r="X182" i="26"/>
  <c r="X187" i="26"/>
  <c r="X179" i="26"/>
  <c r="X171" i="26"/>
  <c r="J91" i="27"/>
  <c r="H88" i="27"/>
  <c r="K99" i="27"/>
  <c r="K93" i="27"/>
  <c r="K90" i="27"/>
  <c r="X5" i="26"/>
  <c r="J99" i="27"/>
  <c r="J93" i="27"/>
  <c r="J90" i="27"/>
  <c r="I99" i="27"/>
  <c r="H93" i="27"/>
  <c r="H90" i="27"/>
  <c r="H99" i="27"/>
  <c r="I93" i="27"/>
  <c r="H89" i="27"/>
  <c r="I87" i="27"/>
  <c r="I92" i="27"/>
  <c r="K89" i="27"/>
  <c r="J87" i="27"/>
  <c r="I94" i="27"/>
  <c r="J94" i="27"/>
  <c r="I91" i="27"/>
  <c r="B95" i="27"/>
  <c r="H92" i="27"/>
  <c r="J89" i="27"/>
  <c r="K92" i="27"/>
  <c r="J92" i="27"/>
  <c r="H94" i="27"/>
  <c r="I89" i="27"/>
  <c r="H87" i="27"/>
  <c r="I90" i="27"/>
  <c r="K88" i="27"/>
  <c r="K91" i="27"/>
  <c r="J88" i="27"/>
  <c r="K94" i="27"/>
  <c r="I88" i="27"/>
  <c r="K87" i="27"/>
  <c r="X166" i="26"/>
  <c r="H82" i="27"/>
  <c r="I82" i="27"/>
  <c r="J82" i="27"/>
  <c r="K82" i="27"/>
  <c r="H79" i="27"/>
  <c r="K79" i="27"/>
  <c r="B78" i="27"/>
  <c r="J78" i="27" s="1"/>
  <c r="I81" i="27"/>
  <c r="J81" i="27"/>
  <c r="K81" i="27"/>
  <c r="H81" i="27"/>
  <c r="B80" i="27"/>
  <c r="B72" i="27"/>
  <c r="I72" i="27" s="1"/>
  <c r="J79" i="27"/>
  <c r="I79" i="27"/>
  <c r="I71" i="27"/>
  <c r="I76" i="27"/>
  <c r="H75" i="27"/>
  <c r="K73" i="27"/>
  <c r="H71" i="27"/>
  <c r="H76" i="27"/>
  <c r="J73" i="27"/>
  <c r="I73" i="27"/>
  <c r="K74" i="27"/>
  <c r="K75" i="27"/>
  <c r="J74" i="27"/>
  <c r="K71" i="27"/>
  <c r="K76" i="27"/>
  <c r="J75" i="27"/>
  <c r="I74" i="27"/>
  <c r="J71" i="27"/>
  <c r="J76" i="27"/>
  <c r="I75" i="27"/>
  <c r="H74" i="27"/>
  <c r="X195" i="26"/>
  <c r="X205" i="26"/>
  <c r="T177" i="26"/>
  <c r="X177" i="26" s="1"/>
  <c r="T151" i="26"/>
  <c r="X151" i="26" s="1"/>
  <c r="T127" i="26"/>
  <c r="X127" i="26" s="1"/>
  <c r="T150" i="26"/>
  <c r="X150" i="26" s="1"/>
  <c r="T142" i="26"/>
  <c r="X142" i="26" s="1"/>
  <c r="T134" i="26"/>
  <c r="X134" i="26" s="1"/>
  <c r="T126" i="26"/>
  <c r="X126" i="26" s="1"/>
  <c r="T120" i="26"/>
  <c r="X120" i="26" s="1"/>
  <c r="T109" i="26"/>
  <c r="X109" i="26" s="1"/>
  <c r="T143" i="26"/>
  <c r="X143" i="26" s="1"/>
  <c r="T110" i="26"/>
  <c r="X110" i="26" s="1"/>
  <c r="T141" i="26"/>
  <c r="X141" i="26" s="1"/>
  <c r="T125" i="26"/>
  <c r="X125" i="26" s="1"/>
  <c r="T114" i="26"/>
  <c r="X114" i="26" s="1"/>
  <c r="T98" i="26"/>
  <c r="X98" i="26" s="1"/>
  <c r="T149" i="26"/>
  <c r="X149" i="26" s="1"/>
  <c r="T133" i="26"/>
  <c r="X133" i="26" s="1"/>
  <c r="T148" i="26"/>
  <c r="X148" i="26" s="1"/>
  <c r="T140" i="26"/>
  <c r="X140" i="26" s="1"/>
  <c r="T132" i="26"/>
  <c r="X132" i="26" s="1"/>
  <c r="T124" i="26"/>
  <c r="X124" i="26" s="1"/>
  <c r="T113" i="26"/>
  <c r="X113" i="26" s="1"/>
  <c r="T97" i="26"/>
  <c r="X97" i="26" s="1"/>
  <c r="T155" i="26"/>
  <c r="X155" i="26" s="1"/>
  <c r="T131" i="26"/>
  <c r="X131" i="26" s="1"/>
  <c r="T118" i="26"/>
  <c r="X118" i="26" s="1"/>
  <c r="T102" i="26"/>
  <c r="X102" i="26" s="1"/>
  <c r="T154" i="26"/>
  <c r="X154" i="26" s="1"/>
  <c r="T146" i="26"/>
  <c r="X146" i="26" s="1"/>
  <c r="T138" i="26"/>
  <c r="X138" i="26" s="1"/>
  <c r="T130" i="26"/>
  <c r="X130" i="26" s="1"/>
  <c r="T101" i="26"/>
  <c r="X101" i="26" s="1"/>
  <c r="T147" i="26"/>
  <c r="X147" i="26" s="1"/>
  <c r="T139" i="26"/>
  <c r="X139" i="26" s="1"/>
  <c r="T145" i="26"/>
  <c r="X145" i="26" s="1"/>
  <c r="T137" i="26"/>
  <c r="X137" i="26" s="1"/>
  <c r="T129" i="26"/>
  <c r="X129" i="26" s="1"/>
  <c r="T122" i="26"/>
  <c r="X122" i="26" s="1"/>
  <c r="T106" i="26"/>
  <c r="X106" i="26" s="1"/>
  <c r="T135" i="26"/>
  <c r="X135" i="26" s="1"/>
  <c r="T153" i="26"/>
  <c r="X153" i="26" s="1"/>
  <c r="T152" i="26"/>
  <c r="X152" i="26" s="1"/>
  <c r="T144" i="26"/>
  <c r="X144" i="26" s="1"/>
  <c r="T136" i="26"/>
  <c r="X136" i="26" s="1"/>
  <c r="T128" i="26"/>
  <c r="X128" i="26" s="1"/>
  <c r="T116" i="26"/>
  <c r="X116" i="26" s="1"/>
  <c r="T105" i="26"/>
  <c r="X105" i="26" s="1"/>
  <c r="X121" i="26"/>
  <c r="T192" i="26"/>
  <c r="X192" i="26" s="1"/>
  <c r="T188" i="26"/>
  <c r="X188" i="26" s="1"/>
  <c r="X181" i="26"/>
  <c r="T174" i="26"/>
  <c r="X174" i="26" s="1"/>
  <c r="T165" i="26"/>
  <c r="X165" i="26" s="1"/>
  <c r="T103" i="26"/>
  <c r="X103" i="26" s="1"/>
  <c r="X100" i="26"/>
  <c r="T197" i="26"/>
  <c r="X197" i="26" s="1"/>
  <c r="X183" i="26"/>
  <c r="T162" i="26"/>
  <c r="X162" i="26" s="1"/>
  <c r="T157" i="26"/>
  <c r="X157" i="26" s="1"/>
  <c r="T107" i="26"/>
  <c r="X107" i="26" s="1"/>
  <c r="T186" i="26"/>
  <c r="X186" i="26" s="1"/>
  <c r="X123" i="26"/>
  <c r="X115" i="26"/>
  <c r="T194" i="26"/>
  <c r="X194" i="26" s="1"/>
  <c r="T176" i="26"/>
  <c r="X176" i="26" s="1"/>
  <c r="T167" i="26"/>
  <c r="X167" i="26" s="1"/>
  <c r="T159" i="26"/>
  <c r="X159" i="26" s="1"/>
  <c r="T6" i="26"/>
  <c r="X6" i="26" s="1"/>
  <c r="X96" i="26"/>
  <c r="T199" i="26"/>
  <c r="X199" i="26" s="1"/>
  <c r="T178" i="26"/>
  <c r="X178" i="26" s="1"/>
  <c r="T173" i="26"/>
  <c r="X173" i="26" s="1"/>
  <c r="X112" i="26"/>
  <c r="X117" i="26"/>
  <c r="T203" i="26"/>
  <c r="X203" i="26" s="1"/>
  <c r="T201" i="26"/>
  <c r="X201" i="26" s="1"/>
  <c r="T196" i="26"/>
  <c r="X196" i="26" s="1"/>
  <c r="T180" i="26"/>
  <c r="X180" i="26" s="1"/>
  <c r="T161" i="26"/>
  <c r="X161" i="26" s="1"/>
  <c r="T156" i="26"/>
  <c r="X156" i="26" s="1"/>
  <c r="T99" i="26"/>
  <c r="X99" i="26" s="1"/>
  <c r="T111" i="26"/>
  <c r="X111" i="26" s="1"/>
  <c r="X108" i="26"/>
  <c r="T193" i="26"/>
  <c r="X193" i="26" s="1"/>
  <c r="T189" i="26"/>
  <c r="X189" i="26" s="1"/>
  <c r="T175" i="26"/>
  <c r="X175" i="26" s="1"/>
  <c r="T160" i="26"/>
  <c r="X160" i="26" s="1"/>
  <c r="X119" i="26"/>
  <c r="T104" i="26"/>
  <c r="X104" i="26" s="1"/>
  <c r="T198" i="26"/>
  <c r="X198" i="26" s="1"/>
  <c r="T184" i="26"/>
  <c r="X184" i="26" s="1"/>
  <c r="T172" i="26"/>
  <c r="X172" i="26" s="1"/>
  <c r="T170" i="26"/>
  <c r="X170" i="26" s="1"/>
  <c r="T168" i="26"/>
  <c r="X168" i="26" s="1"/>
  <c r="X163" i="26"/>
  <c r="T158" i="26"/>
  <c r="X158" i="26" s="1"/>
  <c r="G37" i="18"/>
  <c r="G32" i="18"/>
  <c r="G41" i="18"/>
  <c r="G38" i="13"/>
  <c r="G37" i="13"/>
  <c r="G44" i="13"/>
  <c r="G30" i="13"/>
  <c r="S177" i="13"/>
  <c r="G35" i="13"/>
  <c r="G39" i="13"/>
  <c r="S199" i="13"/>
  <c r="S191" i="13"/>
  <c r="S183" i="13"/>
  <c r="S175" i="13"/>
  <c r="S167" i="13"/>
  <c r="S204" i="13"/>
  <c r="S196" i="13"/>
  <c r="S188" i="13"/>
  <c r="S180" i="13"/>
  <c r="S172" i="13"/>
  <c r="S198" i="13"/>
  <c r="S190" i="13"/>
  <c r="S182" i="13"/>
  <c r="S174" i="13"/>
  <c r="S166" i="13"/>
  <c r="S185" i="13"/>
  <c r="S203" i="13"/>
  <c r="T203" i="13" s="1"/>
  <c r="S195" i="13"/>
  <c r="S187" i="13"/>
  <c r="S179" i="13"/>
  <c r="S171" i="13"/>
  <c r="S200" i="13"/>
  <c r="S192" i="13"/>
  <c r="S184" i="13"/>
  <c r="S176" i="13"/>
  <c r="S168" i="13"/>
  <c r="S193" i="13"/>
  <c r="S205" i="13"/>
  <c r="S197" i="13"/>
  <c r="S189" i="13"/>
  <c r="S181" i="13"/>
  <c r="S173" i="13"/>
  <c r="S201" i="13"/>
  <c r="T201" i="13" s="1"/>
  <c r="S169" i="13"/>
  <c r="S202" i="13"/>
  <c r="S194" i="13"/>
  <c r="S186" i="13"/>
  <c r="S178" i="13"/>
  <c r="S170" i="13"/>
  <c r="F42" i="27"/>
  <c r="AO35" i="18"/>
  <c r="AP29" i="18"/>
  <c r="AM28" i="18"/>
  <c r="AO21" i="18"/>
  <c r="AO16" i="18"/>
  <c r="AM15" i="18"/>
  <c r="AC9" i="18"/>
  <c r="AM10" i="18"/>
  <c r="AP8" i="18"/>
  <c r="K30" i="27"/>
  <c r="M155" i="13"/>
  <c r="M91" i="13"/>
  <c r="U68" i="13"/>
  <c r="U64" i="13"/>
  <c r="U60" i="13"/>
  <c r="V55" i="13"/>
  <c r="V43" i="13"/>
  <c r="V20" i="13"/>
  <c r="M147" i="13"/>
  <c r="M83" i="13"/>
  <c r="M131" i="13"/>
  <c r="M67" i="13"/>
  <c r="V82" i="13"/>
  <c r="V78" i="13"/>
  <c r="V74" i="13"/>
  <c r="V70" i="13"/>
  <c r="V66" i="13"/>
  <c r="V62" i="13"/>
  <c r="V58" i="13"/>
  <c r="V52" i="13"/>
  <c r="V35" i="13"/>
  <c r="V12" i="13"/>
  <c r="I32" i="27"/>
  <c r="L146" i="13"/>
  <c r="L142" i="13"/>
  <c r="L131" i="13"/>
  <c r="L127" i="13"/>
  <c r="M123" i="13"/>
  <c r="L112" i="13"/>
  <c r="L108" i="13"/>
  <c r="L97" i="13"/>
  <c r="L93" i="13"/>
  <c r="L82" i="13"/>
  <c r="L78" i="13"/>
  <c r="L67" i="13"/>
  <c r="L63" i="13"/>
  <c r="M59" i="13"/>
  <c r="L48" i="13"/>
  <c r="L44" i="13"/>
  <c r="L33" i="13"/>
  <c r="U86" i="13"/>
  <c r="U82" i="13"/>
  <c r="U78" i="13"/>
  <c r="U74" i="13"/>
  <c r="U70" i="13"/>
  <c r="U66" i="13"/>
  <c r="U62" i="13"/>
  <c r="U58" i="13"/>
  <c r="V51" i="13"/>
  <c r="U30" i="13"/>
  <c r="V11" i="13"/>
  <c r="M115" i="13"/>
  <c r="M51" i="13"/>
  <c r="M27" i="13"/>
  <c r="H31" i="27"/>
  <c r="L145" i="13"/>
  <c r="L141" i="13"/>
  <c r="L130" i="13"/>
  <c r="L126" i="13"/>
  <c r="L115" i="13"/>
  <c r="L111" i="13"/>
  <c r="M107" i="13"/>
  <c r="L96" i="13"/>
  <c r="L92" i="13"/>
  <c r="L81" i="13"/>
  <c r="L77" i="13"/>
  <c r="L66" i="13"/>
  <c r="L62" i="13"/>
  <c r="L51" i="13"/>
  <c r="L47" i="13"/>
  <c r="M43" i="13"/>
  <c r="L22" i="13"/>
  <c r="L16" i="13"/>
  <c r="L152" i="13"/>
  <c r="L148" i="13"/>
  <c r="L137" i="13"/>
  <c r="L133" i="13"/>
  <c r="L122" i="13"/>
  <c r="L118" i="13"/>
  <c r="L107" i="13"/>
  <c r="L103" i="13"/>
  <c r="M99" i="13"/>
  <c r="L88" i="13"/>
  <c r="L84" i="13"/>
  <c r="L73" i="13"/>
  <c r="L69" i="13"/>
  <c r="L58" i="13"/>
  <c r="L54" i="13"/>
  <c r="L43" i="13"/>
  <c r="L39" i="13"/>
  <c r="M35" i="13"/>
  <c r="L31" i="13"/>
  <c r="L26" i="13"/>
  <c r="G32" i="13"/>
  <c r="G31" i="13"/>
  <c r="G28" i="13"/>
  <c r="L27" i="13"/>
  <c r="L23" i="13"/>
  <c r="L13" i="13"/>
  <c r="L7" i="13"/>
  <c r="U56" i="13"/>
  <c r="U50" i="13"/>
  <c r="U42" i="13"/>
  <c r="U34" i="13"/>
  <c r="U26" i="13"/>
  <c r="U18" i="13"/>
  <c r="U10" i="13"/>
  <c r="L30" i="13"/>
  <c r="U49" i="13"/>
  <c r="U41" i="13"/>
  <c r="U33" i="13"/>
  <c r="U25" i="13"/>
  <c r="U17" i="13"/>
  <c r="U9" i="13"/>
  <c r="U55" i="13"/>
  <c r="V48" i="13"/>
  <c r="V40" i="13"/>
  <c r="V32" i="13"/>
  <c r="V24" i="13"/>
  <c r="V16" i="13"/>
  <c r="V8" i="13"/>
  <c r="V54" i="13"/>
  <c r="V47" i="13"/>
  <c r="V39" i="13"/>
  <c r="V31" i="13"/>
  <c r="V23" i="13"/>
  <c r="V15" i="13"/>
  <c r="V7" i="13"/>
  <c r="L32" i="13"/>
  <c r="L28" i="13"/>
  <c r="U37" i="13"/>
  <c r="U29" i="13"/>
  <c r="U21" i="13"/>
  <c r="U13" i="13"/>
  <c r="G45" i="13"/>
  <c r="G41" i="13"/>
  <c r="G33" i="13"/>
  <c r="L14" i="13"/>
  <c r="L8" i="13"/>
  <c r="AB17" i="18"/>
  <c r="AE37" i="18"/>
  <c r="AD61" i="18"/>
  <c r="AC52" i="18"/>
  <c r="AE11" i="18"/>
  <c r="AD53" i="18"/>
  <c r="AB49" i="18"/>
  <c r="AD24" i="18"/>
  <c r="AC36" i="18"/>
  <c r="AD16" i="18"/>
  <c r="B49" i="27"/>
  <c r="I49" i="27" s="1"/>
  <c r="AO64" i="18"/>
  <c r="AL63" i="18"/>
  <c r="AN61" i="18"/>
  <c r="AP59" i="18"/>
  <c r="AM58" i="18"/>
  <c r="AO56" i="18"/>
  <c r="AN53" i="18"/>
  <c r="AP51" i="18"/>
  <c r="AO48" i="18"/>
  <c r="AL47" i="18"/>
  <c r="AP43" i="18"/>
  <c r="AM42" i="18"/>
  <c r="AL39" i="18"/>
  <c r="AN37" i="18"/>
  <c r="AP61" i="18"/>
  <c r="AP53" i="18"/>
  <c r="AM36" i="18"/>
  <c r="AP64" i="18"/>
  <c r="AN64" i="18"/>
  <c r="AP62" i="18"/>
  <c r="AM61" i="18"/>
  <c r="AO59" i="18"/>
  <c r="AL58" i="18"/>
  <c r="AN56" i="18"/>
  <c r="AP54" i="18"/>
  <c r="AM53" i="18"/>
  <c r="AO51" i="18"/>
  <c r="AN48" i="18"/>
  <c r="AP46" i="18"/>
  <c r="AO43" i="18"/>
  <c r="AL42" i="18"/>
  <c r="AP38" i="18"/>
  <c r="AM37" i="18"/>
  <c r="AL57" i="18"/>
  <c r="AN47" i="18"/>
  <c r="AP37" i="18"/>
  <c r="AM63" i="18"/>
  <c r="AL52" i="18"/>
  <c r="AN42" i="18"/>
  <c r="AP65" i="18"/>
  <c r="AM64" i="18"/>
  <c r="AO62" i="18"/>
  <c r="AL61" i="18"/>
  <c r="AN59" i="18"/>
  <c r="AP57" i="18"/>
  <c r="AM56" i="18"/>
  <c r="AO54" i="18"/>
  <c r="AL53" i="18"/>
  <c r="AN51" i="18"/>
  <c r="AP49" i="18"/>
  <c r="AM48" i="18"/>
  <c r="AO46" i="18"/>
  <c r="AN43" i="18"/>
  <c r="AP41" i="18"/>
  <c r="AO38" i="18"/>
  <c r="AL37" i="18"/>
  <c r="AL65" i="18"/>
  <c r="AM44" i="18"/>
  <c r="AO61" i="18"/>
  <c r="AO53" i="18"/>
  <c r="AL44" i="18"/>
  <c r="AL36" i="18"/>
  <c r="AO65" i="18"/>
  <c r="AL64" i="18"/>
  <c r="AN62" i="18"/>
  <c r="AM59" i="18"/>
  <c r="AO57" i="18"/>
  <c r="AL56" i="18"/>
  <c r="AN54" i="18"/>
  <c r="AP52" i="18"/>
  <c r="AM51" i="18"/>
  <c r="AO49" i="18"/>
  <c r="AL48" i="18"/>
  <c r="AN46" i="18"/>
  <c r="AP44" i="18"/>
  <c r="AM43" i="18"/>
  <c r="AO41" i="18"/>
  <c r="AN38" i="18"/>
  <c r="AP36" i="18"/>
  <c r="AN63" i="18"/>
  <c r="AN39" i="18"/>
  <c r="AM47" i="18"/>
  <c r="AO37" i="18"/>
  <c r="AN65" i="18"/>
  <c r="AP63" i="18"/>
  <c r="AM62" i="18"/>
  <c r="AL59" i="18"/>
  <c r="AN57" i="18"/>
  <c r="AM54" i="18"/>
  <c r="AO52" i="18"/>
  <c r="AL51" i="18"/>
  <c r="AN49" i="18"/>
  <c r="AP47" i="18"/>
  <c r="AM46" i="18"/>
  <c r="AO44" i="18"/>
  <c r="AL43" i="18"/>
  <c r="AN41" i="18"/>
  <c r="AP39" i="18"/>
  <c r="AM38" i="18"/>
  <c r="AO36" i="18"/>
  <c r="AO58" i="18"/>
  <c r="AM52" i="18"/>
  <c r="AO42" i="18"/>
  <c r="AP56" i="18"/>
  <c r="AM39" i="18"/>
  <c r="AM65" i="18"/>
  <c r="AO63" i="18"/>
  <c r="AL62" i="18"/>
  <c r="AP58" i="18"/>
  <c r="AM57" i="18"/>
  <c r="AL54" i="18"/>
  <c r="AN52" i="18"/>
  <c r="AM49" i="18"/>
  <c r="AO47" i="18"/>
  <c r="AL46" i="18"/>
  <c r="AN44" i="18"/>
  <c r="AP42" i="18"/>
  <c r="AM41" i="18"/>
  <c r="AO39" i="18"/>
  <c r="AL38" i="18"/>
  <c r="AN36" i="18"/>
  <c r="AL49" i="18"/>
  <c r="AL41" i="18"/>
  <c r="AN58" i="18"/>
  <c r="AP48" i="18"/>
  <c r="AB65" i="18"/>
  <c r="M152" i="13"/>
  <c r="M144" i="13"/>
  <c r="M136" i="13"/>
  <c r="M128" i="13"/>
  <c r="M120" i="13"/>
  <c r="M112" i="13"/>
  <c r="M104" i="13"/>
  <c r="M96" i="13"/>
  <c r="M88" i="13"/>
  <c r="M80" i="13"/>
  <c r="M72" i="13"/>
  <c r="M64" i="13"/>
  <c r="M56" i="13"/>
  <c r="M48" i="13"/>
  <c r="M40" i="13"/>
  <c r="M32" i="13"/>
  <c r="M24" i="13"/>
  <c r="L19" i="13"/>
  <c r="M16" i="13"/>
  <c r="L11" i="13"/>
  <c r="M8" i="13"/>
  <c r="L6" i="13"/>
  <c r="U51" i="13"/>
  <c r="U47" i="13"/>
  <c r="U43" i="13"/>
  <c r="U39" i="13"/>
  <c r="U35" i="13"/>
  <c r="U31" i="13"/>
  <c r="U27" i="13"/>
  <c r="U23" i="13"/>
  <c r="U19" i="13"/>
  <c r="U15" i="13"/>
  <c r="U11" i="13"/>
  <c r="U7" i="13"/>
  <c r="H25" i="27"/>
  <c r="M149" i="13"/>
  <c r="M141" i="13"/>
  <c r="M133" i="13"/>
  <c r="M125" i="13"/>
  <c r="M117" i="13"/>
  <c r="M109" i="13"/>
  <c r="M101" i="13"/>
  <c r="M93" i="13"/>
  <c r="M85" i="13"/>
  <c r="M77" i="13"/>
  <c r="M69" i="13"/>
  <c r="M61" i="13"/>
  <c r="M53" i="13"/>
  <c r="M45" i="13"/>
  <c r="M37" i="13"/>
  <c r="M29" i="13"/>
  <c r="M21" i="13"/>
  <c r="M13" i="13"/>
  <c r="V50" i="13"/>
  <c r="V46" i="13"/>
  <c r="V42" i="13"/>
  <c r="V38" i="13"/>
  <c r="V34" i="13"/>
  <c r="V30" i="13"/>
  <c r="V26" i="13"/>
  <c r="V22" i="13"/>
  <c r="V18" i="13"/>
  <c r="V14" i="13"/>
  <c r="V10" i="13"/>
  <c r="V6" i="13"/>
  <c r="M154" i="13"/>
  <c r="M146" i="13"/>
  <c r="M138" i="13"/>
  <c r="M130" i="13"/>
  <c r="M122" i="13"/>
  <c r="M114" i="13"/>
  <c r="M106" i="13"/>
  <c r="M98" i="13"/>
  <c r="M90" i="13"/>
  <c r="M82" i="13"/>
  <c r="M74" i="13"/>
  <c r="M66" i="13"/>
  <c r="M58" i="13"/>
  <c r="M50" i="13"/>
  <c r="M42" i="13"/>
  <c r="M34" i="13"/>
  <c r="M26" i="13"/>
  <c r="M18" i="13"/>
  <c r="M10" i="13"/>
  <c r="M11" i="13"/>
  <c r="M151" i="13"/>
  <c r="M143" i="13"/>
  <c r="M135" i="13"/>
  <c r="M127" i="13"/>
  <c r="M119" i="13"/>
  <c r="M111" i="13"/>
  <c r="M103" i="13"/>
  <c r="M95" i="13"/>
  <c r="M87" i="13"/>
  <c r="M79" i="13"/>
  <c r="M71" i="13"/>
  <c r="M63" i="13"/>
  <c r="M55" i="13"/>
  <c r="M47" i="13"/>
  <c r="M39" i="13"/>
  <c r="M31" i="13"/>
  <c r="M23" i="13"/>
  <c r="L18" i="13"/>
  <c r="M15" i="13"/>
  <c r="L10" i="13"/>
  <c r="M7" i="13"/>
  <c r="V53" i="13"/>
  <c r="V49" i="13"/>
  <c r="V45" i="13"/>
  <c r="V41" i="13"/>
  <c r="V37" i="13"/>
  <c r="V33" i="13"/>
  <c r="V29" i="13"/>
  <c r="V25" i="13"/>
  <c r="V21" i="13"/>
  <c r="V17" i="13"/>
  <c r="V13" i="13"/>
  <c r="U6" i="13"/>
  <c r="M148" i="13"/>
  <c r="M140" i="13"/>
  <c r="M132" i="13"/>
  <c r="M124" i="13"/>
  <c r="M116" i="13"/>
  <c r="M108" i="13"/>
  <c r="M100" i="13"/>
  <c r="M92" i="13"/>
  <c r="M84" i="13"/>
  <c r="M76" i="13"/>
  <c r="M68" i="13"/>
  <c r="M60" i="13"/>
  <c r="M52" i="13"/>
  <c r="M44" i="13"/>
  <c r="M36" i="13"/>
  <c r="M28" i="13"/>
  <c r="M20" i="13"/>
  <c r="M12" i="13"/>
  <c r="M19" i="13"/>
  <c r="M5" i="13"/>
  <c r="O5" i="13" s="1"/>
  <c r="M153" i="13"/>
  <c r="M145" i="13"/>
  <c r="M137" i="13"/>
  <c r="M129" i="13"/>
  <c r="M121" i="13"/>
  <c r="M113" i="13"/>
  <c r="M105" i="13"/>
  <c r="M97" i="13"/>
  <c r="M89" i="13"/>
  <c r="M81" i="13"/>
  <c r="M73" i="13"/>
  <c r="M65" i="13"/>
  <c r="M57" i="13"/>
  <c r="M49" i="13"/>
  <c r="M41" i="13"/>
  <c r="M33" i="13"/>
  <c r="M25" i="13"/>
  <c r="L20" i="13"/>
  <c r="M17" i="13"/>
  <c r="L12" i="13"/>
  <c r="M9" i="13"/>
  <c r="M150" i="13"/>
  <c r="M142" i="13"/>
  <c r="M134" i="13"/>
  <c r="M126" i="13"/>
  <c r="M118" i="13"/>
  <c r="M110" i="13"/>
  <c r="M102" i="13"/>
  <c r="M94" i="13"/>
  <c r="M86" i="13"/>
  <c r="M78" i="13"/>
  <c r="M70" i="13"/>
  <c r="M62" i="13"/>
  <c r="M54" i="13"/>
  <c r="M46" i="13"/>
  <c r="M38" i="13"/>
  <c r="M30" i="13"/>
  <c r="M22" i="13"/>
  <c r="L17" i="13"/>
  <c r="M14" i="13"/>
  <c r="U52" i="13"/>
  <c r="U48" i="13"/>
  <c r="U44" i="13"/>
  <c r="U40" i="13"/>
  <c r="U36" i="13"/>
  <c r="U32" i="13"/>
  <c r="U28" i="13"/>
  <c r="U24" i="13"/>
  <c r="U20" i="13"/>
  <c r="U16" i="13"/>
  <c r="U12" i="13"/>
  <c r="X5" i="13"/>
  <c r="O191" i="13"/>
  <c r="O175" i="13"/>
  <c r="AO36" i="13"/>
  <c r="AP37" i="13"/>
  <c r="AM42" i="13"/>
  <c r="AN43" i="13"/>
  <c r="AP44" i="13"/>
  <c r="AL48" i="13"/>
  <c r="AN49" i="13"/>
  <c r="AP50" i="13"/>
  <c r="AL52" i="13"/>
  <c r="AM53" i="13"/>
  <c r="AN54" i="13"/>
  <c r="AO55" i="13"/>
  <c r="AL57" i="13"/>
  <c r="AN58" i="13"/>
  <c r="AP59" i="13"/>
  <c r="AN64" i="13"/>
  <c r="AP65" i="13"/>
  <c r="AM68" i="13"/>
  <c r="AN69" i="13"/>
  <c r="AO70" i="13"/>
  <c r="AP71" i="13"/>
  <c r="AM73" i="13"/>
  <c r="AO74" i="13"/>
  <c r="AP75" i="13"/>
  <c r="AL77" i="13"/>
  <c r="AM78" i="13"/>
  <c r="AN79" i="13"/>
  <c r="AL81" i="13"/>
  <c r="AN82" i="13"/>
  <c r="AP83" i="13"/>
  <c r="AL86" i="13"/>
  <c r="AL87" i="13"/>
  <c r="AN88" i="13"/>
  <c r="AP89" i="13"/>
  <c r="AM91" i="13"/>
  <c r="AP92" i="13"/>
  <c r="AL96" i="13"/>
  <c r="AL97" i="13"/>
  <c r="AO98" i="13"/>
  <c r="AM100" i="13"/>
  <c r="AN101" i="13"/>
  <c r="AO102" i="13"/>
  <c r="AO103" i="13"/>
  <c r="AP104" i="13"/>
  <c r="AM107" i="13"/>
  <c r="AP108" i="13"/>
  <c r="AL113" i="13"/>
  <c r="AN114" i="13"/>
  <c r="AL116" i="13"/>
  <c r="AM117" i="13"/>
  <c r="AN118" i="13"/>
  <c r="AN119" i="13"/>
  <c r="AO120" i="13"/>
  <c r="AP121" i="13"/>
  <c r="AM123" i="13"/>
  <c r="AP124" i="13"/>
  <c r="AL129" i="13"/>
  <c r="AN130" i="13"/>
  <c r="AL132" i="13"/>
  <c r="AM133" i="13"/>
  <c r="AN134" i="13"/>
  <c r="AN135" i="13"/>
  <c r="AO136" i="13"/>
  <c r="AP137" i="13"/>
  <c r="AL139" i="13"/>
  <c r="AO140" i="13"/>
  <c r="AP36" i="13"/>
  <c r="AL40" i="13"/>
  <c r="AL41" i="13"/>
  <c r="AN42" i="13"/>
  <c r="AO43" i="13"/>
  <c r="AM48" i="13"/>
  <c r="AO49" i="13"/>
  <c r="AM52" i="13"/>
  <c r="AN53" i="13"/>
  <c r="AO54" i="13"/>
  <c r="AP55" i="13"/>
  <c r="AM57" i="13"/>
  <c r="AO58" i="13"/>
  <c r="AL61" i="13"/>
  <c r="AL62" i="13"/>
  <c r="AL63" i="13"/>
  <c r="AO64" i="13"/>
  <c r="AL67" i="13"/>
  <c r="AN68" i="13"/>
  <c r="AO69" i="13"/>
  <c r="AP70" i="13"/>
  <c r="AL72" i="13"/>
  <c r="AN73" i="13"/>
  <c r="AP74" i="13"/>
  <c r="AL76" i="13"/>
  <c r="AM77" i="13"/>
  <c r="AN78" i="13"/>
  <c r="AO79" i="13"/>
  <c r="AM81" i="13"/>
  <c r="AO82" i="13"/>
  <c r="AM86" i="13"/>
  <c r="AM87" i="13"/>
  <c r="AO88" i="13"/>
  <c r="AL90" i="13"/>
  <c r="AN91" i="13"/>
  <c r="AM96" i="13"/>
  <c r="AM97" i="13"/>
  <c r="AP98" i="13"/>
  <c r="AN100" i="13"/>
  <c r="AO101" i="13"/>
  <c r="AP102" i="13"/>
  <c r="AP103" i="13"/>
  <c r="AL106" i="13"/>
  <c r="AN107" i="13"/>
  <c r="AL112" i="13"/>
  <c r="AM113" i="13"/>
  <c r="AO114" i="13"/>
  <c r="AM116" i="13"/>
  <c r="AN117" i="13"/>
  <c r="AO118" i="13"/>
  <c r="AO119" i="13"/>
  <c r="AP120" i="13"/>
  <c r="AL39" i="13"/>
  <c r="AM40" i="13"/>
  <c r="AM41" i="13"/>
  <c r="AO42" i="13"/>
  <c r="AP43" i="13"/>
  <c r="AL47" i="13"/>
  <c r="AN48" i="13"/>
  <c r="AR48" i="13" s="1"/>
  <c r="AP49" i="13"/>
  <c r="AL51" i="13"/>
  <c r="AN52" i="13"/>
  <c r="AO53" i="13"/>
  <c r="AP54" i="13"/>
  <c r="AL56" i="13"/>
  <c r="AN57" i="13"/>
  <c r="AP58" i="13"/>
  <c r="AL60" i="13"/>
  <c r="AM61" i="13"/>
  <c r="AM62" i="13"/>
  <c r="AM63" i="13"/>
  <c r="AP64" i="13"/>
  <c r="AL66" i="13"/>
  <c r="AM67" i="13"/>
  <c r="AO68" i="13"/>
  <c r="AP69" i="13"/>
  <c r="AM72" i="13"/>
  <c r="AO73" i="13"/>
  <c r="AM76" i="13"/>
  <c r="AN77" i="13"/>
  <c r="AO78" i="13"/>
  <c r="AP79" i="13"/>
  <c r="AN81" i="13"/>
  <c r="AP82" i="13"/>
  <c r="AL84" i="13"/>
  <c r="AM85" i="13"/>
  <c r="AN86" i="13"/>
  <c r="AN87" i="13"/>
  <c r="AP88" i="13"/>
  <c r="AM90" i="13"/>
  <c r="AO91" i="13"/>
  <c r="AL94" i="13"/>
  <c r="AL95" i="13"/>
  <c r="AN96" i="13"/>
  <c r="AN97" i="13"/>
  <c r="AL99" i="13"/>
  <c r="AO100" i="13"/>
  <c r="AP101" i="13"/>
  <c r="AM106" i="13"/>
  <c r="AO107" i="13"/>
  <c r="AL110" i="13"/>
  <c r="AL111" i="13"/>
  <c r="AM112" i="13"/>
  <c r="AN113" i="13"/>
  <c r="AP114" i="13"/>
  <c r="AN116" i="13"/>
  <c r="AO117" i="13"/>
  <c r="AP118" i="13"/>
  <c r="AP119" i="13"/>
  <c r="AL122" i="13"/>
  <c r="AO123" i="13"/>
  <c r="AL126" i="13"/>
  <c r="AL127" i="13"/>
  <c r="AM128" i="13"/>
  <c r="AN129" i="13"/>
  <c r="AP130" i="13"/>
  <c r="AN132" i="13"/>
  <c r="AO133" i="13"/>
  <c r="AP134" i="13"/>
  <c r="AP135" i="13"/>
  <c r="AL138" i="13"/>
  <c r="AN139" i="13"/>
  <c r="AL38" i="13"/>
  <c r="AM39" i="13"/>
  <c r="AN40" i="13"/>
  <c r="AN41" i="13"/>
  <c r="AP42" i="13"/>
  <c r="AL45" i="13"/>
  <c r="AL46" i="13"/>
  <c r="AM47" i="13"/>
  <c r="AO48" i="13"/>
  <c r="AS48" i="13" s="1"/>
  <c r="AM51" i="13"/>
  <c r="AO52" i="13"/>
  <c r="AP53" i="13"/>
  <c r="AM56" i="13"/>
  <c r="AO57" i="13"/>
  <c r="AM60" i="13"/>
  <c r="AN61" i="13"/>
  <c r="AN62" i="13"/>
  <c r="AN63" i="13"/>
  <c r="AM66" i="13"/>
  <c r="AN67" i="13"/>
  <c r="AP68" i="13"/>
  <c r="AN72" i="13"/>
  <c r="AP73" i="13"/>
  <c r="AN76" i="13"/>
  <c r="AO77" i="13"/>
  <c r="AP78" i="13"/>
  <c r="AL80" i="13"/>
  <c r="AO81" i="13"/>
  <c r="AM84" i="13"/>
  <c r="AN85" i="13"/>
  <c r="AO86" i="13"/>
  <c r="AO87" i="13"/>
  <c r="AN90" i="13"/>
  <c r="AP91" i="13"/>
  <c r="AL93" i="13"/>
  <c r="AM94" i="13"/>
  <c r="AM95" i="13"/>
  <c r="AO96" i="13"/>
  <c r="AO97" i="13"/>
  <c r="AM99" i="13"/>
  <c r="AP100" i="13"/>
  <c r="AL105" i="13"/>
  <c r="AN106" i="13"/>
  <c r="AP107" i="13"/>
  <c r="AL109" i="13"/>
  <c r="AM110" i="13"/>
  <c r="AM111" i="13"/>
  <c r="AN112" i="13"/>
  <c r="AO113" i="13"/>
  <c r="AL115" i="13"/>
  <c r="AO116" i="13"/>
  <c r="AP117" i="13"/>
  <c r="AM122" i="13"/>
  <c r="AP123" i="13"/>
  <c r="AL125" i="13"/>
  <c r="AM126" i="13"/>
  <c r="AM127" i="13"/>
  <c r="AN128" i="13"/>
  <c r="AO129" i="13"/>
  <c r="AL131" i="13"/>
  <c r="AO132" i="13"/>
  <c r="AP133" i="13"/>
  <c r="AM138" i="13"/>
  <c r="AO139" i="13"/>
  <c r="AL36" i="13"/>
  <c r="AM37" i="13"/>
  <c r="AN38" i="13"/>
  <c r="AO39" i="13"/>
  <c r="AP40" i="13"/>
  <c r="AP41" i="13"/>
  <c r="AM44" i="13"/>
  <c r="AN45" i="13"/>
  <c r="AN46" i="13"/>
  <c r="AO47" i="13"/>
  <c r="AM50" i="13"/>
  <c r="AO51" i="13"/>
  <c r="AL55" i="13"/>
  <c r="AO56" i="13"/>
  <c r="AM59" i="13"/>
  <c r="AO60" i="13"/>
  <c r="AP61" i="13"/>
  <c r="AP62" i="13"/>
  <c r="AP63" i="13"/>
  <c r="AM65" i="13"/>
  <c r="AO66" i="13"/>
  <c r="AP67" i="13"/>
  <c r="AL70" i="13"/>
  <c r="AM71" i="13"/>
  <c r="AP72" i="13"/>
  <c r="AL74" i="13"/>
  <c r="AM75" i="13"/>
  <c r="AP76" i="13"/>
  <c r="AN80" i="13"/>
  <c r="AM83" i="13"/>
  <c r="AO84" i="13"/>
  <c r="AP85" i="13"/>
  <c r="AM89" i="13"/>
  <c r="AP90" i="13"/>
  <c r="AM92" i="13"/>
  <c r="AN93" i="13"/>
  <c r="AO94" i="13"/>
  <c r="AO95" i="13"/>
  <c r="AL98" i="13"/>
  <c r="AO99" i="13"/>
  <c r="AL102" i="13"/>
  <c r="AL103" i="13"/>
  <c r="AM104" i="13"/>
  <c r="AN105" i="13"/>
  <c r="AP106" i="13"/>
  <c r="AM108" i="13"/>
  <c r="AN109" i="13"/>
  <c r="AO110" i="13"/>
  <c r="AO111" i="13"/>
  <c r="AP112" i="13"/>
  <c r="AN115" i="13"/>
  <c r="AL120" i="13"/>
  <c r="AM121" i="13"/>
  <c r="AO122" i="13"/>
  <c r="AM124" i="13"/>
  <c r="AN125" i="13"/>
  <c r="AO126" i="13"/>
  <c r="AO127" i="13"/>
  <c r="AP128" i="13"/>
  <c r="AN131" i="13"/>
  <c r="AL136" i="13"/>
  <c r="AM137" i="13"/>
  <c r="AO138" i="13"/>
  <c r="AL140" i="13"/>
  <c r="AM36" i="13"/>
  <c r="AN37" i="13"/>
  <c r="AO40" i="13"/>
  <c r="AM43" i="13"/>
  <c r="AO46" i="13"/>
  <c r="AL50" i="13"/>
  <c r="AL53" i="13"/>
  <c r="AP56" i="13"/>
  <c r="AN60" i="13"/>
  <c r="AP66" i="13"/>
  <c r="AL73" i="13"/>
  <c r="AM80" i="13"/>
  <c r="AO83" i="13"/>
  <c r="AO90" i="13"/>
  <c r="AP93" i="13"/>
  <c r="AN103" i="13"/>
  <c r="AN110" i="13"/>
  <c r="AP122" i="13"/>
  <c r="AO125" i="13"/>
  <c r="AP127" i="13"/>
  <c r="AL130" i="13"/>
  <c r="AL135" i="13"/>
  <c r="AN137" i="13"/>
  <c r="AM140" i="13"/>
  <c r="AL145" i="13"/>
  <c r="AN146" i="13"/>
  <c r="AL148" i="13"/>
  <c r="AM149" i="13"/>
  <c r="AN150" i="13"/>
  <c r="AO151" i="13"/>
  <c r="AP152" i="13"/>
  <c r="AM155" i="13"/>
  <c r="AO45" i="13"/>
  <c r="AM55" i="13"/>
  <c r="AO71" i="13"/>
  <c r="AM82" i="13"/>
  <c r="AP95" i="13"/>
  <c r="AM109" i="13"/>
  <c r="AO124" i="13"/>
  <c r="AP131" i="13"/>
  <c r="AN141" i="13"/>
  <c r="AN147" i="13"/>
  <c r="AN153" i="13"/>
  <c r="AL137" i="13"/>
  <c r="AL149" i="13"/>
  <c r="AO37" i="13"/>
  <c r="AL44" i="13"/>
  <c r="AP46" i="13"/>
  <c r="AN50" i="13"/>
  <c r="AP60" i="13"/>
  <c r="AO63" i="13"/>
  <c r="AM70" i="13"/>
  <c r="AO80" i="13"/>
  <c r="AN84" i="13"/>
  <c r="AN94" i="13"/>
  <c r="AL101" i="13"/>
  <c r="AL104" i="13"/>
  <c r="AL107" i="13"/>
  <c r="AP110" i="13"/>
  <c r="AP113" i="13"/>
  <c r="AL117" i="13"/>
  <c r="AM120" i="13"/>
  <c r="AL123" i="13"/>
  <c r="AP125" i="13"/>
  <c r="AM130" i="13"/>
  <c r="AL133" i="13"/>
  <c r="AM135" i="13"/>
  <c r="AO137" i="13"/>
  <c r="AN140" i="13"/>
  <c r="AL144" i="13"/>
  <c r="AM145" i="13"/>
  <c r="AO146" i="13"/>
  <c r="AM148" i="13"/>
  <c r="AN149" i="13"/>
  <c r="AO150" i="13"/>
  <c r="AP151" i="13"/>
  <c r="AL154" i="13"/>
  <c r="AN155" i="13"/>
  <c r="AO115" i="13"/>
  <c r="AN151" i="13"/>
  <c r="AM38" i="13"/>
  <c r="AN44" i="13"/>
  <c r="AN47" i="13"/>
  <c r="AO50" i="13"/>
  <c r="AL54" i="13"/>
  <c r="AP57" i="13"/>
  <c r="AL64" i="13"/>
  <c r="AO67" i="13"/>
  <c r="AN70" i="13"/>
  <c r="AM74" i="13"/>
  <c r="AP77" i="13"/>
  <c r="AP80" i="13"/>
  <c r="AP84" i="13"/>
  <c r="AP87" i="13"/>
  <c r="AL91" i="13"/>
  <c r="AP94" i="13"/>
  <c r="AP97" i="13"/>
  <c r="AM101" i="13"/>
  <c r="AN104" i="13"/>
  <c r="AL108" i="13"/>
  <c r="AL114" i="13"/>
  <c r="AN120" i="13"/>
  <c r="AN123" i="13"/>
  <c r="AL128" i="13"/>
  <c r="AO130" i="13"/>
  <c r="AN133" i="13"/>
  <c r="AO135" i="13"/>
  <c r="AP140" i="13"/>
  <c r="AL142" i="13"/>
  <c r="AL143" i="13"/>
  <c r="AM144" i="13"/>
  <c r="AN145" i="13"/>
  <c r="AP146" i="13"/>
  <c r="AN148" i="13"/>
  <c r="AO149" i="13"/>
  <c r="AP150" i="13"/>
  <c r="AM154" i="13"/>
  <c r="AO155" i="13"/>
  <c r="AN39" i="13"/>
  <c r="AN65" i="13"/>
  <c r="AO92" i="13"/>
  <c r="AO105" i="13"/>
  <c r="AN136" i="13"/>
  <c r="AO142" i="13"/>
  <c r="AL151" i="13"/>
  <c r="AP132" i="13"/>
  <c r="AM150" i="13"/>
  <c r="AO38" i="13"/>
  <c r="AO41" i="13"/>
  <c r="AO44" i="13"/>
  <c r="AP47" i="13"/>
  <c r="AN51" i="13"/>
  <c r="AM54" i="13"/>
  <c r="AL58" i="13"/>
  <c r="AO61" i="13"/>
  <c r="AM64" i="13"/>
  <c r="AL71" i="13"/>
  <c r="AN74" i="13"/>
  <c r="AP81" i="13"/>
  <c r="AL88" i="13"/>
  <c r="AL92" i="13"/>
  <c r="AM98" i="13"/>
  <c r="AO104" i="13"/>
  <c r="AN108" i="13"/>
  <c r="AN111" i="13"/>
  <c r="AM114" i="13"/>
  <c r="AL118" i="13"/>
  <c r="AL121" i="13"/>
  <c r="AL124" i="13"/>
  <c r="AN126" i="13"/>
  <c r="AO128" i="13"/>
  <c r="AM131" i="13"/>
  <c r="AN138" i="13"/>
  <c r="AL141" i="13"/>
  <c r="AM142" i="13"/>
  <c r="AM143" i="13"/>
  <c r="AN144" i="13"/>
  <c r="AO145" i="13"/>
  <c r="AL147" i="13"/>
  <c r="AO148" i="13"/>
  <c r="AP149" i="13"/>
  <c r="AL153" i="13"/>
  <c r="AN154" i="13"/>
  <c r="AP155" i="13"/>
  <c r="AP48" i="13"/>
  <c r="AL59" i="13"/>
  <c r="AN75" i="13"/>
  <c r="AL89" i="13"/>
  <c r="AN102" i="13"/>
  <c r="AO121" i="13"/>
  <c r="AM134" i="13"/>
  <c r="AP144" i="13"/>
  <c r="AM152" i="13"/>
  <c r="AN127" i="13"/>
  <c r="AP147" i="13"/>
  <c r="AP38" i="13"/>
  <c r="AM45" i="13"/>
  <c r="AP51" i="13"/>
  <c r="AM58" i="13"/>
  <c r="AL65" i="13"/>
  <c r="AL68" i="13"/>
  <c r="AN71" i="13"/>
  <c r="AL78" i="13"/>
  <c r="AL82" i="13"/>
  <c r="AO85" i="13"/>
  <c r="AM88" i="13"/>
  <c r="AN92" i="13"/>
  <c r="AN95" i="13"/>
  <c r="AN98" i="13"/>
  <c r="AM102" i="13"/>
  <c r="AM105" i="13"/>
  <c r="AO108" i="13"/>
  <c r="AP111" i="13"/>
  <c r="AM115" i="13"/>
  <c r="AM118" i="13"/>
  <c r="AN121" i="13"/>
  <c r="AN124" i="13"/>
  <c r="AP126" i="13"/>
  <c r="AO131" i="13"/>
  <c r="AL134" i="13"/>
  <c r="AM136" i="13"/>
  <c r="AP138" i="13"/>
  <c r="AM141" i="13"/>
  <c r="AN142" i="13"/>
  <c r="AN143" i="13"/>
  <c r="AO144" i="13"/>
  <c r="AP145" i="13"/>
  <c r="AM147" i="13"/>
  <c r="AP148" i="13"/>
  <c r="AL152" i="13"/>
  <c r="AM153" i="13"/>
  <c r="AO154" i="13"/>
  <c r="AL42" i="13"/>
  <c r="AN99" i="13"/>
  <c r="AO143" i="13"/>
  <c r="AP154" i="13"/>
  <c r="AP129" i="13"/>
  <c r="AO152" i="13"/>
  <c r="AS152" i="13" s="1"/>
  <c r="Y168" i="27" s="1"/>
  <c r="AN36" i="13"/>
  <c r="AP39" i="13"/>
  <c r="AP45" i="13"/>
  <c r="AL49" i="13"/>
  <c r="AP52" i="13"/>
  <c r="AN55" i="13"/>
  <c r="AN59" i="13"/>
  <c r="AO62" i="13"/>
  <c r="AO65" i="13"/>
  <c r="AL69" i="13"/>
  <c r="AO72" i="13"/>
  <c r="AO75" i="13"/>
  <c r="AL79" i="13"/>
  <c r="AL83" i="13"/>
  <c r="AN89" i="13"/>
  <c r="AM93" i="13"/>
  <c r="AP99" i="13"/>
  <c r="AP105" i="13"/>
  <c r="AO109" i="13"/>
  <c r="AO112" i="13"/>
  <c r="AP115" i="13"/>
  <c r="AL119" i="13"/>
  <c r="AM129" i="13"/>
  <c r="AM132" i="13"/>
  <c r="AO134" i="13"/>
  <c r="AP136" i="13"/>
  <c r="AT136" i="13" s="1"/>
  <c r="Z152" i="27" s="1"/>
  <c r="AM139" i="13"/>
  <c r="AO141" i="13"/>
  <c r="AP142" i="13"/>
  <c r="AP143" i="13"/>
  <c r="AL146" i="13"/>
  <c r="AO147" i="13"/>
  <c r="AL150" i="13"/>
  <c r="AM151" i="13"/>
  <c r="AN152" i="13"/>
  <c r="AO153" i="13"/>
  <c r="AL37" i="13"/>
  <c r="AL43" i="13"/>
  <c r="AM46" i="13"/>
  <c r="AM49" i="13"/>
  <c r="AN56" i="13"/>
  <c r="AO59" i="13"/>
  <c r="AN66" i="13"/>
  <c r="AM69" i="13"/>
  <c r="AO76" i="13"/>
  <c r="AM79" i="13"/>
  <c r="AN83" i="13"/>
  <c r="AP86" i="13"/>
  <c r="AO89" i="13"/>
  <c r="AO93" i="13"/>
  <c r="AP96" i="13"/>
  <c r="AL100" i="13"/>
  <c r="AM103" i="13"/>
  <c r="AO106" i="13"/>
  <c r="AP109" i="13"/>
  <c r="AP116" i="13"/>
  <c r="AM119" i="13"/>
  <c r="AN122" i="13"/>
  <c r="AM125" i="13"/>
  <c r="AP139" i="13"/>
  <c r="AP141" i="13"/>
  <c r="AM146" i="13"/>
  <c r="AP153" i="13"/>
  <c r="AT153" i="13" s="1"/>
  <c r="Z169" i="27" s="1"/>
  <c r="AE57" i="13"/>
  <c r="K32" i="27"/>
  <c r="AL28" i="18"/>
  <c r="AN21" i="18"/>
  <c r="AL15" i="18"/>
  <c r="AO8" i="18"/>
  <c r="AE36" i="18"/>
  <c r="AD52" i="18"/>
  <c r="AD15" i="18"/>
  <c r="AC64" i="18"/>
  <c r="AC48" i="18"/>
  <c r="AC32" i="18"/>
  <c r="AC16" i="18"/>
  <c r="AM33" i="18"/>
  <c r="AO26" i="18"/>
  <c r="AL20" i="18"/>
  <c r="AO13" i="18"/>
  <c r="AM7" i="18"/>
  <c r="AE63" i="18"/>
  <c r="AE28" i="18"/>
  <c r="AD45" i="18"/>
  <c r="AD8" i="18"/>
  <c r="AB61" i="18"/>
  <c r="AB45" i="18"/>
  <c r="AB29" i="18"/>
  <c r="AB13" i="18"/>
  <c r="AL33" i="18"/>
  <c r="AN26" i="18"/>
  <c r="AP19" i="18"/>
  <c r="AN13" i="18"/>
  <c r="AL7" i="18"/>
  <c r="AE62" i="18"/>
  <c r="AE27" i="18"/>
  <c r="AD43" i="18"/>
  <c r="AD7" i="18"/>
  <c r="AC60" i="18"/>
  <c r="AC44" i="18"/>
  <c r="AC28" i="18"/>
  <c r="AC12" i="18"/>
  <c r="AO31" i="18"/>
  <c r="AL25" i="18"/>
  <c r="AN18" i="18"/>
  <c r="AL12" i="18"/>
  <c r="AO5" i="18"/>
  <c r="AE55" i="18"/>
  <c r="AE20" i="18"/>
  <c r="AD35" i="18"/>
  <c r="AB57" i="18"/>
  <c r="AB41" i="18"/>
  <c r="AB25" i="18"/>
  <c r="AB9" i="18"/>
  <c r="AN31" i="18"/>
  <c r="AP24" i="18"/>
  <c r="AM18" i="18"/>
  <c r="AP11" i="18"/>
  <c r="AM5" i="18"/>
  <c r="AE54" i="18"/>
  <c r="AE19" i="18"/>
  <c r="AD33" i="18"/>
  <c r="AC56" i="18"/>
  <c r="AC40" i="18"/>
  <c r="AC24" i="18"/>
  <c r="AC8" i="18"/>
  <c r="AL30" i="18"/>
  <c r="AM23" i="18"/>
  <c r="AP16" i="18"/>
  <c r="AN10" i="18"/>
  <c r="AE46" i="18"/>
  <c r="AE12" i="18"/>
  <c r="AD62" i="18"/>
  <c r="AD25" i="18"/>
  <c r="AB53" i="18"/>
  <c r="AB37" i="18"/>
  <c r="AB21" i="18"/>
  <c r="AP34" i="18"/>
  <c r="AP32" i="18"/>
  <c r="AM31" i="18"/>
  <c r="AO29" i="18"/>
  <c r="AP27" i="18"/>
  <c r="AM26" i="18"/>
  <c r="AO24" i="18"/>
  <c r="AP22" i="18"/>
  <c r="AM21" i="18"/>
  <c r="AO19" i="18"/>
  <c r="AL18" i="18"/>
  <c r="AN16" i="18"/>
  <c r="AP14" i="18"/>
  <c r="AM13" i="18"/>
  <c r="AO11" i="18"/>
  <c r="AL10" i="18"/>
  <c r="AN8" i="18"/>
  <c r="AP6" i="18"/>
  <c r="AL5" i="18"/>
  <c r="AE61" i="18"/>
  <c r="AE53" i="18"/>
  <c r="AE43" i="18"/>
  <c r="AE35" i="18"/>
  <c r="AE26" i="18"/>
  <c r="AE18" i="18"/>
  <c r="AE10" i="18"/>
  <c r="AD60" i="18"/>
  <c r="AD51" i="18"/>
  <c r="AD42" i="18"/>
  <c r="AD32" i="18"/>
  <c r="AD22" i="18"/>
  <c r="AD14" i="18"/>
  <c r="AD6" i="18"/>
  <c r="AB64" i="18"/>
  <c r="AB60" i="18"/>
  <c r="AB56" i="18"/>
  <c r="AB52" i="18"/>
  <c r="AB48" i="18"/>
  <c r="AB44" i="18"/>
  <c r="AB40" i="18"/>
  <c r="AB36" i="18"/>
  <c r="AB32" i="18"/>
  <c r="AB28" i="18"/>
  <c r="AB24" i="18"/>
  <c r="AB20" i="18"/>
  <c r="AB16" i="18"/>
  <c r="AB12" i="18"/>
  <c r="AB8" i="18"/>
  <c r="AM34" i="18"/>
  <c r="AO32" i="18"/>
  <c r="AL31" i="18"/>
  <c r="AM29" i="18"/>
  <c r="AO27" i="18"/>
  <c r="AL26" i="18"/>
  <c r="AN24" i="18"/>
  <c r="AO22" i="18"/>
  <c r="AL21" i="18"/>
  <c r="AN19" i="18"/>
  <c r="AP17" i="18"/>
  <c r="AM16" i="18"/>
  <c r="AO14" i="18"/>
  <c r="AL13" i="18"/>
  <c r="AN11" i="18"/>
  <c r="AP9" i="18"/>
  <c r="AM8" i="18"/>
  <c r="AO6" i="18"/>
  <c r="B39" i="27"/>
  <c r="K39" i="27" s="1"/>
  <c r="AE60" i="18"/>
  <c r="AE52" i="18"/>
  <c r="AE42" i="18"/>
  <c r="AE34" i="18"/>
  <c r="AE25" i="18"/>
  <c r="AE17" i="18"/>
  <c r="AE9" i="18"/>
  <c r="AD59" i="18"/>
  <c r="AD50" i="18"/>
  <c r="AD41" i="18"/>
  <c r="AD31" i="18"/>
  <c r="AD21" i="18"/>
  <c r="AD13" i="18"/>
  <c r="AC63" i="18"/>
  <c r="AC59" i="18"/>
  <c r="AC55" i="18"/>
  <c r="AC51" i="18"/>
  <c r="AC47" i="18"/>
  <c r="AC43" i="18"/>
  <c r="AC39" i="18"/>
  <c r="AC35" i="18"/>
  <c r="AC31" i="18"/>
  <c r="AC27" i="18"/>
  <c r="AC23" i="18"/>
  <c r="AC19" i="18"/>
  <c r="AC15" i="18"/>
  <c r="AC11" i="18"/>
  <c r="AC7" i="18"/>
  <c r="J42" i="27"/>
  <c r="AL34" i="18"/>
  <c r="AN32" i="18"/>
  <c r="AP30" i="18"/>
  <c r="AL29" i="18"/>
  <c r="AN27" i="18"/>
  <c r="AP25" i="18"/>
  <c r="AM24" i="18"/>
  <c r="AN22" i="18"/>
  <c r="AP20" i="18"/>
  <c r="AM19" i="18"/>
  <c r="AO17" i="18"/>
  <c r="AL16" i="18"/>
  <c r="AN14" i="18"/>
  <c r="AP12" i="18"/>
  <c r="AM11" i="18"/>
  <c r="AO9" i="18"/>
  <c r="AL8" i="18"/>
  <c r="AN6" i="18"/>
  <c r="AE59" i="18"/>
  <c r="AE51" i="18"/>
  <c r="AE41" i="18"/>
  <c r="AE33" i="18"/>
  <c r="AE24" i="18"/>
  <c r="AE16" i="18"/>
  <c r="AE8" i="18"/>
  <c r="AD58" i="18"/>
  <c r="AD49" i="18"/>
  <c r="AD40" i="18"/>
  <c r="AD30" i="18"/>
  <c r="AD20" i="18"/>
  <c r="AD12" i="18"/>
  <c r="AB63" i="18"/>
  <c r="AB59" i="18"/>
  <c r="AB55" i="18"/>
  <c r="AB51" i="18"/>
  <c r="AB47" i="18"/>
  <c r="AB43" i="18"/>
  <c r="AB39" i="18"/>
  <c r="AB35" i="18"/>
  <c r="AB31" i="18"/>
  <c r="AB27" i="18"/>
  <c r="AB23" i="18"/>
  <c r="AB19" i="18"/>
  <c r="AB15" i="18"/>
  <c r="AB11" i="18"/>
  <c r="AB7" i="18"/>
  <c r="AP33" i="18"/>
  <c r="AM32" i="18"/>
  <c r="AO30" i="18"/>
  <c r="AP28" i="18"/>
  <c r="AM27" i="18"/>
  <c r="AO25" i="18"/>
  <c r="AL24" i="18"/>
  <c r="AM22" i="18"/>
  <c r="AO20" i="18"/>
  <c r="AL19" i="18"/>
  <c r="AN17" i="18"/>
  <c r="AP15" i="18"/>
  <c r="AM14" i="18"/>
  <c r="AO12" i="18"/>
  <c r="AL11" i="18"/>
  <c r="AN9" i="18"/>
  <c r="AP7" i="18"/>
  <c r="AM6" i="18"/>
  <c r="AB5" i="18"/>
  <c r="AE58" i="18"/>
  <c r="AE50" i="18"/>
  <c r="AE40" i="18"/>
  <c r="AE32" i="18"/>
  <c r="AE23" i="18"/>
  <c r="AE15" i="18"/>
  <c r="AE7" i="18"/>
  <c r="AD65" i="18"/>
  <c r="AD57" i="18"/>
  <c r="AD48" i="18"/>
  <c r="AD38" i="18"/>
  <c r="AD28" i="18"/>
  <c r="AD19" i="18"/>
  <c r="AD11" i="18"/>
  <c r="AC62" i="18"/>
  <c r="AC58" i="18"/>
  <c r="AC54" i="18"/>
  <c r="AC50" i="18"/>
  <c r="AC46" i="18"/>
  <c r="AC42" i="18"/>
  <c r="AC38" i="18"/>
  <c r="AC34" i="18"/>
  <c r="AC30" i="18"/>
  <c r="AC26" i="18"/>
  <c r="AC22" i="18"/>
  <c r="AC18" i="18"/>
  <c r="AC14" i="18"/>
  <c r="AC10" i="18"/>
  <c r="AC6" i="18"/>
  <c r="AO33" i="18"/>
  <c r="AL32" i="18"/>
  <c r="AQ32" i="18" s="1"/>
  <c r="AN30" i="18"/>
  <c r="AO28" i="18"/>
  <c r="AL27" i="18"/>
  <c r="AN25" i="18"/>
  <c r="AP23" i="18"/>
  <c r="AL22" i="18"/>
  <c r="AN20" i="18"/>
  <c r="AP18" i="18"/>
  <c r="AM17" i="18"/>
  <c r="AO15" i="18"/>
  <c r="AL14" i="18"/>
  <c r="AQ14" i="18" s="1"/>
  <c r="AN12" i="18"/>
  <c r="AP10" i="18"/>
  <c r="AM9" i="18"/>
  <c r="AO7" i="18"/>
  <c r="AL6" i="18"/>
  <c r="AY6" i="18" s="1"/>
  <c r="AC5" i="18"/>
  <c r="AE65" i="18"/>
  <c r="AE57" i="18"/>
  <c r="AE48" i="18"/>
  <c r="AE39" i="18"/>
  <c r="AE31" i="18"/>
  <c r="AE22" i="18"/>
  <c r="AE14" i="18"/>
  <c r="AE6" i="18"/>
  <c r="AD64" i="18"/>
  <c r="AD56" i="18"/>
  <c r="AD47" i="18"/>
  <c r="AD37" i="18"/>
  <c r="AD27" i="18"/>
  <c r="AD18" i="18"/>
  <c r="AD10" i="18"/>
  <c r="AB62" i="18"/>
  <c r="AB58" i="18"/>
  <c r="AB54" i="18"/>
  <c r="AB50" i="18"/>
  <c r="AB46" i="18"/>
  <c r="AB42" i="18"/>
  <c r="AB38" i="18"/>
  <c r="AB34" i="18"/>
  <c r="AB30" i="18"/>
  <c r="AB26" i="18"/>
  <c r="AB22" i="18"/>
  <c r="AB18" i="18"/>
  <c r="AB14" i="18"/>
  <c r="AB10" i="18"/>
  <c r="AB6" i="18"/>
  <c r="AN33" i="18"/>
  <c r="AP31" i="18"/>
  <c r="AM30" i="18"/>
  <c r="AN28" i="18"/>
  <c r="AP26" i="18"/>
  <c r="AM25" i="18"/>
  <c r="AN23" i="18"/>
  <c r="AP21" i="18"/>
  <c r="AM20" i="18"/>
  <c r="AO18" i="18"/>
  <c r="AL17" i="18"/>
  <c r="AN15" i="18"/>
  <c r="AP13" i="18"/>
  <c r="AM12" i="18"/>
  <c r="AO10" i="18"/>
  <c r="AL9" i="18"/>
  <c r="AN7" i="18"/>
  <c r="AP5" i="18"/>
  <c r="AE64" i="18"/>
  <c r="AE56" i="18"/>
  <c r="AE47" i="18"/>
  <c r="AE38" i="18"/>
  <c r="AE30" i="18"/>
  <c r="AE21" i="18"/>
  <c r="AE13" i="18"/>
  <c r="AD63" i="18"/>
  <c r="AD55" i="18"/>
  <c r="AD46" i="18"/>
  <c r="AD36" i="18"/>
  <c r="AD26" i="18"/>
  <c r="AD17" i="18"/>
  <c r="AD9" i="18"/>
  <c r="AC65" i="18"/>
  <c r="AC61" i="18"/>
  <c r="AC57" i="18"/>
  <c r="AC53" i="18"/>
  <c r="AC49" i="18"/>
  <c r="AC45" i="18"/>
  <c r="AC41" i="18"/>
  <c r="AC37" i="18"/>
  <c r="AC33" i="18"/>
  <c r="AC29" i="18"/>
  <c r="AC25" i="18"/>
  <c r="AC21" i="18"/>
  <c r="AC17" i="18"/>
  <c r="AC13" i="18"/>
  <c r="I40" i="27"/>
  <c r="K48" i="27"/>
  <c r="K40" i="27"/>
  <c r="J40" i="27"/>
  <c r="H30" i="27"/>
  <c r="J28" i="27"/>
  <c r="I28" i="27"/>
  <c r="K28" i="27"/>
  <c r="H28" i="27"/>
  <c r="K33" i="27"/>
  <c r="H33" i="27"/>
  <c r="I33" i="27"/>
  <c r="J33" i="27"/>
  <c r="AP12" i="13"/>
  <c r="K25" i="27"/>
  <c r="X199" i="19"/>
  <c r="X191" i="19"/>
  <c r="X159" i="19"/>
  <c r="X143" i="19"/>
  <c r="X135" i="19"/>
  <c r="X103" i="19"/>
  <c r="X153" i="19"/>
  <c r="X129" i="19"/>
  <c r="X195" i="19"/>
  <c r="X139" i="19"/>
  <c r="O198" i="19"/>
  <c r="O184" i="19"/>
  <c r="X189" i="19"/>
  <c r="X149" i="19"/>
  <c r="B57" i="27"/>
  <c r="J57" i="27" s="1"/>
  <c r="I42" i="27"/>
  <c r="K46" i="27"/>
  <c r="J46" i="27"/>
  <c r="K24" i="27"/>
  <c r="J24" i="27"/>
  <c r="H24" i="27"/>
  <c r="I24" i="27"/>
  <c r="H29" i="27"/>
  <c r="K29" i="27"/>
  <c r="J29" i="27"/>
  <c r="I29" i="27"/>
  <c r="K26" i="27"/>
  <c r="H26" i="27"/>
  <c r="AP20" i="13"/>
  <c r="G43" i="13"/>
  <c r="G42" i="13"/>
  <c r="G40" i="13"/>
  <c r="G36" i="13"/>
  <c r="G34" i="13"/>
  <c r="H82" i="13"/>
  <c r="H86" i="13"/>
  <c r="AD164" i="13"/>
  <c r="AO16" i="13"/>
  <c r="G29" i="13"/>
  <c r="AO24" i="13"/>
  <c r="AB38" i="13"/>
  <c r="AC32" i="13"/>
  <c r="AE125" i="13"/>
  <c r="H32" i="27"/>
  <c r="H90" i="13"/>
  <c r="G26" i="13"/>
  <c r="AL27" i="13"/>
  <c r="AE62" i="13"/>
  <c r="AE97" i="13"/>
  <c r="I30" i="27"/>
  <c r="H92" i="13"/>
  <c r="H84" i="13"/>
  <c r="H88" i="13"/>
  <c r="B35" i="27"/>
  <c r="AC60" i="13"/>
  <c r="AM14" i="13"/>
  <c r="AL28" i="13"/>
  <c r="AN34" i="13"/>
  <c r="AM15" i="13"/>
  <c r="AE8" i="13"/>
  <c r="AL11" i="13"/>
  <c r="AB65" i="13"/>
  <c r="AL31" i="13"/>
  <c r="B23" i="27"/>
  <c r="AC165" i="13"/>
  <c r="AC164" i="13"/>
  <c r="AC163" i="13"/>
  <c r="AC162" i="13"/>
  <c r="AC161" i="13"/>
  <c r="AC160" i="13"/>
  <c r="AC159" i="13"/>
  <c r="AC158" i="13"/>
  <c r="AC157" i="13"/>
  <c r="AC156" i="13"/>
  <c r="AC155" i="13"/>
  <c r="AC154" i="13"/>
  <c r="AC153" i="13"/>
  <c r="AC152" i="13"/>
  <c r="AC151" i="13"/>
  <c r="AC150" i="13"/>
  <c r="AC149" i="13"/>
  <c r="AC148" i="13"/>
  <c r="AC147" i="13"/>
  <c r="AC146" i="13"/>
  <c r="AC145" i="13"/>
  <c r="AC144" i="13"/>
  <c r="AC143" i="13"/>
  <c r="AC142" i="13"/>
  <c r="AC141" i="13"/>
  <c r="AC140" i="13"/>
  <c r="AC139" i="13"/>
  <c r="AC138" i="13"/>
  <c r="AC137" i="13"/>
  <c r="AC136" i="13"/>
  <c r="AC135" i="13"/>
  <c r="AC134" i="13"/>
  <c r="AC133" i="13"/>
  <c r="AC132" i="13"/>
  <c r="AC131" i="13"/>
  <c r="AC130" i="13"/>
  <c r="AC129" i="13"/>
  <c r="AC128" i="13"/>
  <c r="AC127" i="13"/>
  <c r="AB164" i="13"/>
  <c r="AB163" i="13"/>
  <c r="AB162" i="13"/>
  <c r="AB161" i="13"/>
  <c r="AB160" i="13"/>
  <c r="AB159" i="13"/>
  <c r="AB158" i="13"/>
  <c r="AB157" i="13"/>
  <c r="AB156" i="13"/>
  <c r="AB154" i="13"/>
  <c r="AB153" i="13"/>
  <c r="AB152" i="13"/>
  <c r="AB151" i="13"/>
  <c r="AB150" i="13"/>
  <c r="AB149" i="13"/>
  <c r="AB148" i="13"/>
  <c r="AB147" i="13"/>
  <c r="AB146" i="13"/>
  <c r="AB145" i="13"/>
  <c r="AB144" i="13"/>
  <c r="AB143" i="13"/>
  <c r="AB142" i="13"/>
  <c r="AB141" i="13"/>
  <c r="AB140" i="13"/>
  <c r="AB139" i="13"/>
  <c r="AB138" i="13"/>
  <c r="AB137" i="13"/>
  <c r="AB136" i="13"/>
  <c r="AB135" i="13"/>
  <c r="AB134" i="13"/>
  <c r="AB133" i="13"/>
  <c r="AB132" i="13"/>
  <c r="AB131" i="13"/>
  <c r="AB130" i="13"/>
  <c r="AB129" i="13"/>
  <c r="AB128" i="13"/>
  <c r="AB127" i="13"/>
  <c r="AE165" i="13"/>
  <c r="AE164" i="13"/>
  <c r="AE163" i="13"/>
  <c r="AE162" i="13"/>
  <c r="AE161" i="13"/>
  <c r="AE160" i="13"/>
  <c r="AE159" i="13"/>
  <c r="AE158" i="13"/>
  <c r="AE157" i="13"/>
  <c r="AE156" i="13"/>
  <c r="AE155" i="13"/>
  <c r="AE154" i="13"/>
  <c r="AE153" i="13"/>
  <c r="AE152" i="13"/>
  <c r="AE151" i="13"/>
  <c r="AE150" i="13"/>
  <c r="AE149" i="13"/>
  <c r="AE148" i="13"/>
  <c r="AE147" i="13"/>
  <c r="AE146" i="13"/>
  <c r="AE145" i="13"/>
  <c r="AE144" i="13"/>
  <c r="AE143" i="13"/>
  <c r="AE142" i="13"/>
  <c r="AE141" i="13"/>
  <c r="AE140" i="13"/>
  <c r="AE139" i="13"/>
  <c r="AE138" i="13"/>
  <c r="AE137" i="13"/>
  <c r="AE136" i="13"/>
  <c r="AE135" i="13"/>
  <c r="AE134" i="13"/>
  <c r="AE133" i="13"/>
  <c r="AE132" i="13"/>
  <c r="AE131" i="13"/>
  <c r="AE130" i="13"/>
  <c r="AE129" i="13"/>
  <c r="AE128" i="13"/>
  <c r="AE127" i="13"/>
  <c r="AE126" i="13"/>
  <c r="AB47" i="13"/>
  <c r="AB63" i="13"/>
  <c r="AC47" i="13"/>
  <c r="AD47" i="13"/>
  <c r="AE55" i="13"/>
  <c r="AD165" i="13"/>
  <c r="AD163" i="13"/>
  <c r="AD161" i="13"/>
  <c r="AD159" i="13"/>
  <c r="AD157" i="13"/>
  <c r="AD155" i="13"/>
  <c r="AD153" i="13"/>
  <c r="AD151" i="13"/>
  <c r="AD149" i="13"/>
  <c r="AD147" i="13"/>
  <c r="AD145" i="13"/>
  <c r="AD143" i="13"/>
  <c r="AD141" i="13"/>
  <c r="AD139" i="13"/>
  <c r="AD137" i="13"/>
  <c r="AD135" i="13"/>
  <c r="AD133" i="13"/>
  <c r="AD131" i="13"/>
  <c r="AD129" i="13"/>
  <c r="AD127" i="13"/>
  <c r="AD126" i="13"/>
  <c r="AB55" i="13"/>
  <c r="AD55" i="13"/>
  <c r="AE63" i="13"/>
  <c r="AC126" i="13"/>
  <c r="AC55" i="13"/>
  <c r="AD63" i="13"/>
  <c r="AD162" i="13"/>
  <c r="AD154" i="13"/>
  <c r="AD146" i="13"/>
  <c r="AD138" i="13"/>
  <c r="AD130" i="13"/>
  <c r="AC63" i="13"/>
  <c r="AB80" i="13"/>
  <c r="AE71" i="13"/>
  <c r="AE80" i="13"/>
  <c r="AE98" i="13"/>
  <c r="AD160" i="13"/>
  <c r="AD152" i="13"/>
  <c r="AD144" i="13"/>
  <c r="AD136" i="13"/>
  <c r="AD128" i="13"/>
  <c r="AE47" i="13"/>
  <c r="AB71" i="13"/>
  <c r="AD80" i="13"/>
  <c r="AB89" i="13"/>
  <c r="AD108" i="13"/>
  <c r="AD158" i="13"/>
  <c r="AD150" i="13"/>
  <c r="AD142" i="13"/>
  <c r="AD134" i="13"/>
  <c r="AD156" i="13"/>
  <c r="AB126" i="13"/>
  <c r="AE108" i="13"/>
  <c r="AD6" i="13"/>
  <c r="AC118" i="13"/>
  <c r="AM19" i="13"/>
  <c r="AP11" i="13"/>
  <c r="AE24" i="13"/>
  <c r="AC21" i="13"/>
  <c r="AD83" i="13"/>
  <c r="AB53" i="13"/>
  <c r="AD82" i="13"/>
  <c r="AD81" i="13"/>
  <c r="AM7" i="13"/>
  <c r="AP35" i="13"/>
  <c r="AC72" i="13"/>
  <c r="AB92" i="13"/>
  <c r="AE58" i="13"/>
  <c r="AE16" i="13"/>
  <c r="AL10" i="13"/>
  <c r="AC29" i="13"/>
  <c r="AL22" i="13"/>
  <c r="AB31" i="13"/>
  <c r="AO33" i="13"/>
  <c r="AE31" i="13"/>
  <c r="AM12" i="13"/>
  <c r="AC107" i="13"/>
  <c r="AO22" i="13"/>
  <c r="AE26" i="13"/>
  <c r="AD69" i="13"/>
  <c r="AC86" i="13"/>
  <c r="AE6" i="13"/>
  <c r="AL15" i="13"/>
  <c r="AC54" i="13"/>
  <c r="AD68" i="13"/>
  <c r="AB93" i="13"/>
  <c r="AO5" i="13"/>
  <c r="AD58" i="13"/>
  <c r="AM11" i="13"/>
  <c r="AE17" i="13"/>
  <c r="AC40" i="13"/>
  <c r="AE107" i="13"/>
  <c r="AD79" i="13"/>
  <c r="AC31" i="13"/>
  <c r="AN21" i="13"/>
  <c r="AB112" i="13"/>
  <c r="AM34" i="13"/>
  <c r="AE112" i="13"/>
  <c r="AE19" i="13"/>
  <c r="AC39" i="13"/>
  <c r="AC44" i="13"/>
  <c r="AD45" i="13"/>
  <c r="AD117" i="13"/>
  <c r="AM23" i="13"/>
  <c r="AC43" i="13"/>
  <c r="AD122" i="13"/>
  <c r="AB103" i="13"/>
  <c r="AC115" i="13"/>
  <c r="AN5" i="13"/>
  <c r="AE93" i="13"/>
  <c r="AM18" i="13"/>
  <c r="AE110" i="13"/>
  <c r="AP25" i="13"/>
  <c r="AC105" i="13"/>
  <c r="AD56" i="13"/>
  <c r="AB28" i="13"/>
  <c r="AB17" i="13"/>
  <c r="AC90" i="13"/>
  <c r="AC113" i="13"/>
  <c r="AB64" i="13"/>
  <c r="AB81" i="13"/>
  <c r="AM10" i="13"/>
  <c r="AD20" i="13"/>
  <c r="AB107" i="13"/>
  <c r="AD39" i="13"/>
  <c r="AE94" i="13"/>
  <c r="AC101" i="13"/>
  <c r="AN18" i="13"/>
  <c r="AC81" i="13"/>
  <c r="AD88" i="13"/>
  <c r="AC56" i="13"/>
  <c r="AL23" i="13"/>
  <c r="AD116" i="13"/>
  <c r="AC100" i="13"/>
  <c r="AC77" i="13"/>
  <c r="AB42" i="13"/>
  <c r="AD148" i="13"/>
  <c r="AE89" i="13"/>
  <c r="AD98" i="13"/>
  <c r="AB98" i="13"/>
  <c r="AB108" i="13"/>
  <c r="AD118" i="13"/>
  <c r="AD11" i="13"/>
  <c r="AE39" i="13"/>
  <c r="AB100" i="13"/>
  <c r="AC79" i="13"/>
  <c r="AB68" i="13"/>
  <c r="AC97" i="13"/>
  <c r="AN15" i="13"/>
  <c r="AD114" i="13"/>
  <c r="AE21" i="13"/>
  <c r="AE61" i="13"/>
  <c r="AE95" i="13"/>
  <c r="AC67" i="13"/>
  <c r="AO25" i="13"/>
  <c r="AC53" i="13"/>
  <c r="AP30" i="13"/>
  <c r="AE122" i="13"/>
  <c r="AD61" i="13"/>
  <c r="AP17" i="13"/>
  <c r="AO29" i="13"/>
  <c r="AB101" i="13"/>
  <c r="AE42" i="13"/>
  <c r="AE85" i="13"/>
  <c r="AM32" i="13"/>
  <c r="AE13" i="13"/>
  <c r="AL35" i="13"/>
  <c r="AN23" i="13"/>
  <c r="AE25" i="13"/>
  <c r="AO32" i="13"/>
  <c r="AE56" i="13"/>
  <c r="AE67" i="13"/>
  <c r="AC119" i="13"/>
  <c r="AC61" i="13"/>
  <c r="AD44" i="13"/>
  <c r="AB50" i="13"/>
  <c r="AB99" i="13"/>
  <c r="AP26" i="13"/>
  <c r="AN6" i="13"/>
  <c r="AL20" i="13"/>
  <c r="AB26" i="13"/>
  <c r="AM20" i="13"/>
  <c r="AC75" i="13"/>
  <c r="AD66" i="13"/>
  <c r="AD112" i="13"/>
  <c r="AB122" i="13"/>
  <c r="AN7" i="13"/>
  <c r="AN19" i="13"/>
  <c r="AC69" i="13"/>
  <c r="AC15" i="13"/>
  <c r="AC78" i="13"/>
  <c r="AD29" i="13"/>
  <c r="AP14" i="13"/>
  <c r="AB69" i="13"/>
  <c r="AB36" i="13"/>
  <c r="AB52" i="13"/>
  <c r="AE88" i="13"/>
  <c r="AE74" i="13"/>
  <c r="AD110" i="13"/>
  <c r="AE114" i="13"/>
  <c r="AO11" i="13"/>
  <c r="AC91" i="13"/>
  <c r="AE86" i="13"/>
  <c r="AD120" i="13"/>
  <c r="AP7" i="13"/>
  <c r="AP28" i="13"/>
  <c r="AC111" i="13"/>
  <c r="AD74" i="13"/>
  <c r="AO7" i="13"/>
  <c r="AE27" i="13"/>
  <c r="AO20" i="13"/>
  <c r="AN28" i="13"/>
  <c r="AE50" i="13"/>
  <c r="AB54" i="13"/>
  <c r="AB66" i="13"/>
  <c r="AL16" i="13"/>
  <c r="AL6" i="13"/>
  <c r="AO17" i="13"/>
  <c r="AC102" i="13"/>
  <c r="AC19" i="13"/>
  <c r="AC7" i="13"/>
  <c r="AB96" i="13"/>
  <c r="AD13" i="13"/>
  <c r="AD87" i="13"/>
  <c r="AC25" i="13"/>
  <c r="AC26" i="13"/>
  <c r="AB84" i="13"/>
  <c r="AD101" i="13"/>
  <c r="AE46" i="13"/>
  <c r="AO12" i="13"/>
  <c r="AC14" i="13"/>
  <c r="AL12" i="13"/>
  <c r="AP23" i="13"/>
  <c r="AE7" i="13"/>
  <c r="AB6" i="13"/>
  <c r="AE124" i="13"/>
  <c r="AB58" i="13"/>
  <c r="AP8" i="13"/>
  <c r="AD93" i="13"/>
  <c r="AE59" i="13"/>
  <c r="AB88" i="13"/>
  <c r="AB27" i="13"/>
  <c r="AB90" i="13"/>
  <c r="AD31" i="13"/>
  <c r="AB110" i="13"/>
  <c r="AN35" i="13"/>
  <c r="AD102" i="13"/>
  <c r="AB120" i="13"/>
  <c r="AC114" i="13"/>
  <c r="AB121" i="13"/>
  <c r="AD62" i="13"/>
  <c r="AB20" i="13"/>
  <c r="AB37" i="13"/>
  <c r="AM26" i="13"/>
  <c r="AC64" i="13"/>
  <c r="AN33" i="13"/>
  <c r="AD92" i="13"/>
  <c r="AL34" i="13"/>
  <c r="AD94" i="13"/>
  <c r="AE15" i="13"/>
  <c r="AN12" i="13"/>
  <c r="AB86" i="13"/>
  <c r="AE68" i="13"/>
  <c r="AB78" i="13"/>
  <c r="AN24" i="13"/>
  <c r="AE100" i="13"/>
  <c r="AE70" i="13"/>
  <c r="AC30" i="13"/>
  <c r="AD97" i="13"/>
  <c r="AD115" i="13"/>
  <c r="AO27" i="13"/>
  <c r="AC74" i="13"/>
  <c r="AC33" i="13"/>
  <c r="AD103" i="13"/>
  <c r="AC35" i="13"/>
  <c r="AD140" i="13"/>
  <c r="AC71" i="13"/>
  <c r="AC80" i="13"/>
  <c r="AD89" i="13"/>
  <c r="AC98" i="13"/>
  <c r="AC108" i="13"/>
  <c r="AE118" i="13"/>
  <c r="AC96" i="13"/>
  <c r="AC18" i="13"/>
  <c r="AB109" i="13"/>
  <c r="AP27" i="13"/>
  <c r="AC123" i="13"/>
  <c r="AB104" i="13"/>
  <c r="AD91" i="13"/>
  <c r="AB60" i="13"/>
  <c r="AC20" i="13"/>
  <c r="AE33" i="13"/>
  <c r="AD53" i="13"/>
  <c r="AE48" i="13"/>
  <c r="AB22" i="13"/>
  <c r="AC85" i="13"/>
  <c r="AD21" i="13"/>
  <c r="AB29" i="13"/>
  <c r="AC41" i="13"/>
  <c r="AE121" i="13"/>
  <c r="AB61" i="13"/>
  <c r="AB59" i="13"/>
  <c r="AO31" i="13"/>
  <c r="AB95" i="13"/>
  <c r="AB19" i="13"/>
  <c r="AC70" i="13"/>
  <c r="AC27" i="13"/>
  <c r="AB44" i="13"/>
  <c r="AD27" i="13"/>
  <c r="AC93" i="13"/>
  <c r="AE64" i="13"/>
  <c r="AL17" i="13"/>
  <c r="AD41" i="13"/>
  <c r="AO13" i="13"/>
  <c r="AC103" i="13"/>
  <c r="AD57" i="13"/>
  <c r="AD73" i="13"/>
  <c r="AC94" i="13"/>
  <c r="AL21" i="13"/>
  <c r="AO8" i="13"/>
  <c r="AD49" i="13"/>
  <c r="AB76" i="13"/>
  <c r="AE81" i="13"/>
  <c r="AC37" i="13"/>
  <c r="AB7" i="13"/>
  <c r="AC92" i="13"/>
  <c r="AD104" i="13"/>
  <c r="AL13" i="13"/>
  <c r="AE11" i="13"/>
  <c r="AN14" i="13"/>
  <c r="AP34" i="13"/>
  <c r="AM27" i="13"/>
  <c r="AN31" i="13"/>
  <c r="AE10" i="13"/>
  <c r="AD23" i="13"/>
  <c r="AM16" i="13"/>
  <c r="AD65" i="13"/>
  <c r="AB35" i="13"/>
  <c r="AD17" i="13"/>
  <c r="AB40" i="13"/>
  <c r="AE14" i="13"/>
  <c r="AN29" i="13"/>
  <c r="AE65" i="13"/>
  <c r="AD40" i="13"/>
  <c r="AB94" i="13"/>
  <c r="AE113" i="13"/>
  <c r="AC11" i="13"/>
  <c r="AL19" i="13"/>
  <c r="AC83" i="13"/>
  <c r="AD33" i="13"/>
  <c r="AC76" i="13"/>
  <c r="AM33" i="13"/>
  <c r="AD132" i="13"/>
  <c r="AB118" i="13"/>
  <c r="AC46" i="13"/>
  <c r="AE90" i="13"/>
  <c r="AB119" i="13"/>
  <c r="AE83" i="13"/>
  <c r="AP33" i="13"/>
  <c r="AE53" i="13"/>
  <c r="AB18" i="13"/>
  <c r="AN30" i="13"/>
  <c r="AP31" i="13"/>
  <c r="AB74" i="13"/>
  <c r="AD26" i="13"/>
  <c r="AB82" i="13"/>
  <c r="AB67" i="13"/>
  <c r="AD100" i="13"/>
  <c r="AL30" i="13"/>
  <c r="AB124" i="13"/>
  <c r="AD75" i="13"/>
  <c r="AE78" i="13"/>
  <c r="AD16" i="13"/>
  <c r="AD119" i="13"/>
  <c r="AB77" i="13"/>
  <c r="AC23" i="13"/>
  <c r="AE117" i="13"/>
  <c r="AB23" i="13"/>
  <c r="AC5" i="13"/>
  <c r="AD22" i="13"/>
  <c r="AD28" i="13"/>
  <c r="AE5" i="13"/>
  <c r="AD72" i="13"/>
  <c r="AB46" i="13"/>
  <c r="AD43" i="13"/>
  <c r="AD86" i="13"/>
  <c r="AL29" i="13"/>
  <c r="AN20" i="13"/>
  <c r="AC36" i="13"/>
  <c r="AB113" i="13"/>
  <c r="AE22" i="13"/>
  <c r="AC45" i="13"/>
  <c r="AD109" i="13"/>
  <c r="AP19" i="13"/>
  <c r="AC124" i="13"/>
  <c r="AE12" i="13"/>
  <c r="AC66" i="13"/>
  <c r="AL25" i="13"/>
  <c r="AO28" i="13"/>
  <c r="AE116" i="13"/>
  <c r="AB105" i="13"/>
  <c r="AB106" i="13"/>
  <c r="AC8" i="13"/>
  <c r="AD59" i="13"/>
  <c r="AD12" i="13"/>
  <c r="AB11" i="13"/>
  <c r="AB125" i="13"/>
  <c r="AC109" i="13"/>
  <c r="AB51" i="13"/>
  <c r="AC68" i="13"/>
  <c r="AD52" i="13"/>
  <c r="AC38" i="13"/>
  <c r="AO14" i="13"/>
  <c r="AB73" i="13"/>
  <c r="AD9" i="13"/>
  <c r="AP13" i="13"/>
  <c r="AE37" i="13"/>
  <c r="AL8" i="13"/>
  <c r="AC110" i="13"/>
  <c r="AC106" i="13"/>
  <c r="AD78" i="13"/>
  <c r="AE106" i="13"/>
  <c r="AM25" i="13"/>
  <c r="AB21" i="13"/>
  <c r="AE23" i="13"/>
  <c r="AD37" i="13"/>
  <c r="AC117" i="13"/>
  <c r="AB43" i="13"/>
  <c r="AB25" i="13"/>
  <c r="AM13" i="13"/>
  <c r="AB79" i="13"/>
  <c r="AB30" i="13"/>
  <c r="AM9" i="13"/>
  <c r="AD71" i="13"/>
  <c r="AD18" i="13"/>
  <c r="AB10" i="13"/>
  <c r="AB24" i="13"/>
  <c r="AC99" i="13"/>
  <c r="AE34" i="13"/>
  <c r="AD67" i="13"/>
  <c r="AD113" i="13"/>
  <c r="AB12" i="13"/>
  <c r="AC88" i="13"/>
  <c r="AE66" i="13"/>
  <c r="AB117" i="13"/>
  <c r="AE96" i="13"/>
  <c r="AD85" i="13"/>
  <c r="AC12" i="13"/>
  <c r="AP22" i="13"/>
  <c r="AD38" i="13"/>
  <c r="AD96" i="13"/>
  <c r="AN9" i="13"/>
  <c r="AM29" i="13"/>
  <c r="AO26" i="13"/>
  <c r="AB57" i="13"/>
  <c r="AC13" i="13"/>
  <c r="AE111" i="13"/>
  <c r="AD46" i="13"/>
  <c r="AC125" i="13"/>
  <c r="AE87" i="13"/>
  <c r="AB45" i="13"/>
  <c r="AB56" i="13"/>
  <c r="AC65" i="13"/>
  <c r="AD84" i="13"/>
  <c r="AB72" i="13"/>
  <c r="AL7" i="13"/>
  <c r="AN17" i="13"/>
  <c r="AD106" i="13"/>
  <c r="AB83" i="13"/>
  <c r="AB102" i="13"/>
  <c r="AC6" i="13"/>
  <c r="AB15" i="13"/>
  <c r="AE45" i="13"/>
  <c r="AP15" i="13"/>
  <c r="AO18" i="13"/>
  <c r="AE51" i="13"/>
  <c r="AC120" i="13"/>
  <c r="AC95" i="13"/>
  <c r="AC116" i="13"/>
  <c r="AE38" i="13"/>
  <c r="AB41" i="13"/>
  <c r="AP5" i="13"/>
  <c r="AC50" i="13"/>
  <c r="AD35" i="13"/>
  <c r="AB123" i="13"/>
  <c r="AL14" i="13"/>
  <c r="AO30" i="13"/>
  <c r="AN11" i="13"/>
  <c r="AE77" i="13"/>
  <c r="AE44" i="13"/>
  <c r="AC73" i="13"/>
  <c r="AE41" i="13"/>
  <c r="AD77" i="13"/>
  <c r="AB5" i="13"/>
  <c r="AM35" i="13"/>
  <c r="AC84" i="13"/>
  <c r="AD10" i="13"/>
  <c r="AE9" i="13"/>
  <c r="AB33" i="13"/>
  <c r="AC10" i="13"/>
  <c r="AC121" i="13"/>
  <c r="AE120" i="13"/>
  <c r="AB70" i="13"/>
  <c r="AE73" i="13"/>
  <c r="AM17" i="13"/>
  <c r="AC104" i="13"/>
  <c r="AB48" i="13"/>
  <c r="AE60" i="13"/>
  <c r="AD76" i="13"/>
  <c r="AP16" i="13"/>
  <c r="AE92" i="13"/>
  <c r="AC51" i="13"/>
  <c r="AD30" i="13"/>
  <c r="AC89" i="13"/>
  <c r="AE123" i="13"/>
  <c r="AN22" i="13"/>
  <c r="AM28" i="13"/>
  <c r="AP18" i="13"/>
  <c r="AE101" i="13"/>
  <c r="AC48" i="13"/>
  <c r="AM22" i="13"/>
  <c r="AD95" i="13"/>
  <c r="AD25" i="13"/>
  <c r="AM6" i="13"/>
  <c r="AE104" i="13"/>
  <c r="AB32" i="13"/>
  <c r="AD125" i="13"/>
  <c r="AE43" i="13"/>
  <c r="AC34" i="13"/>
  <c r="AB14" i="13"/>
  <c r="AM5" i="13"/>
  <c r="AB13" i="13"/>
  <c r="AE115" i="13"/>
  <c r="AD105" i="13"/>
  <c r="AB39" i="13"/>
  <c r="AE49" i="13"/>
  <c r="AC87" i="13"/>
  <c r="AB34" i="13"/>
  <c r="AP21" i="13"/>
  <c r="AL18" i="13"/>
  <c r="AB115" i="13"/>
  <c r="AC49" i="13"/>
  <c r="AE105" i="13"/>
  <c r="AD42" i="13"/>
  <c r="AL33" i="13"/>
  <c r="AN27" i="13"/>
  <c r="AD32" i="13"/>
  <c r="AL32" i="13"/>
  <c r="AB111" i="13"/>
  <c r="AE28" i="13"/>
  <c r="AP32" i="13"/>
  <c r="AB97" i="13"/>
  <c r="AO10" i="13"/>
  <c r="AL9" i="13"/>
  <c r="AP24" i="13"/>
  <c r="AD50" i="13"/>
  <c r="AB114" i="13"/>
  <c r="AC57" i="13"/>
  <c r="AL24" i="13"/>
  <c r="AO35" i="13"/>
  <c r="AC62" i="13"/>
  <c r="AO15" i="13"/>
  <c r="AE109" i="13"/>
  <c r="AD36" i="13"/>
  <c r="AL5" i="13"/>
  <c r="AB87" i="13"/>
  <c r="AD51" i="13"/>
  <c r="AE91" i="13"/>
  <c r="AC28" i="13"/>
  <c r="AB49" i="13"/>
  <c r="AN8" i="13"/>
  <c r="AD64" i="13"/>
  <c r="AD90" i="13"/>
  <c r="AB91" i="13"/>
  <c r="AB62" i="13"/>
  <c r="AD8" i="13"/>
  <c r="AO21" i="13"/>
  <c r="AD34" i="13"/>
  <c r="AP9" i="13"/>
  <c r="AC9" i="13"/>
  <c r="AE36" i="13"/>
  <c r="AE82" i="13"/>
  <c r="AD99" i="13"/>
  <c r="AE102" i="13"/>
  <c r="AE40" i="13"/>
  <c r="AM24" i="13"/>
  <c r="AM30" i="13"/>
  <c r="AE18" i="13"/>
  <c r="AO19" i="13"/>
  <c r="AD15" i="13"/>
  <c r="AE99" i="13"/>
  <c r="AD111" i="13"/>
  <c r="AC112" i="13"/>
  <c r="AD14" i="13"/>
  <c r="AO9" i="13"/>
  <c r="AC59" i="13"/>
  <c r="AD107" i="13"/>
  <c r="AO34" i="13"/>
  <c r="AE32" i="13"/>
  <c r="AL26" i="13"/>
  <c r="AP10" i="13"/>
  <c r="AP29" i="13"/>
  <c r="AC16" i="13"/>
  <c r="AC52" i="13"/>
  <c r="AD7" i="13"/>
  <c r="AC17" i="13"/>
  <c r="AD19" i="13"/>
  <c r="AE119" i="13"/>
  <c r="AC82" i="13"/>
  <c r="AE52" i="13"/>
  <c r="AM21" i="13"/>
  <c r="AM8" i="13"/>
  <c r="AN32" i="13"/>
  <c r="AD123" i="13"/>
  <c r="AN25" i="13"/>
  <c r="AD70" i="13"/>
  <c r="AE75" i="13"/>
  <c r="AE76" i="13"/>
  <c r="AC24" i="13"/>
  <c r="AE29" i="13"/>
  <c r="AE72" i="13"/>
  <c r="AE84" i="13"/>
  <c r="AC122" i="13"/>
  <c r="AC58" i="13"/>
  <c r="AE35" i="13"/>
  <c r="AD48" i="13"/>
  <c r="AE103" i="13"/>
  <c r="AD54" i="13"/>
  <c r="AD124" i="13"/>
  <c r="AB8" i="13"/>
  <c r="AE69" i="13"/>
  <c r="AE79" i="13"/>
  <c r="AN16" i="13"/>
  <c r="AE20" i="13"/>
  <c r="AE54" i="13"/>
  <c r="AD24" i="13"/>
  <c r="AN10" i="13"/>
  <c r="AB116" i="13"/>
  <c r="AN13" i="13"/>
  <c r="AD5" i="13"/>
  <c r="AB16" i="13"/>
  <c r="AP6" i="13"/>
  <c r="AN26" i="13"/>
  <c r="AO6" i="13"/>
  <c r="AB9" i="13"/>
  <c r="AD60" i="13"/>
  <c r="AD121" i="13"/>
  <c r="AM31" i="13"/>
  <c r="AE30" i="13"/>
  <c r="AC22" i="13"/>
  <c r="AO23" i="13"/>
  <c r="AC42" i="13"/>
  <c r="H34" i="27"/>
  <c r="I34" i="27"/>
  <c r="J34" i="27"/>
  <c r="K34" i="27"/>
  <c r="I31" i="27"/>
  <c r="J31" i="27"/>
  <c r="K31" i="27"/>
  <c r="J27" i="27"/>
  <c r="K27" i="27"/>
  <c r="H27" i="27"/>
  <c r="I27" i="27"/>
  <c r="K186" i="13"/>
  <c r="J32" i="27"/>
  <c r="J30" i="27"/>
  <c r="I26" i="27"/>
  <c r="J26" i="27"/>
  <c r="K203" i="13"/>
  <c r="J25" i="27"/>
  <c r="I25" i="27"/>
  <c r="X205" i="19"/>
  <c r="X201" i="19"/>
  <c r="X165" i="19"/>
  <c r="X141" i="19"/>
  <c r="X101" i="19"/>
  <c r="X155" i="19"/>
  <c r="X151" i="19"/>
  <c r="X131" i="19"/>
  <c r="O168" i="19"/>
  <c r="O152" i="19"/>
  <c r="L205" i="18"/>
  <c r="M202" i="18"/>
  <c r="L201" i="18"/>
  <c r="M198" i="18"/>
  <c r="L197" i="18"/>
  <c r="L195" i="18"/>
  <c r="L193" i="18"/>
  <c r="L191" i="18"/>
  <c r="L189" i="18"/>
  <c r="L187" i="18"/>
  <c r="L185" i="18"/>
  <c r="L183" i="18"/>
  <c r="L181" i="18"/>
  <c r="L179" i="18"/>
  <c r="L177" i="18"/>
  <c r="L175" i="18"/>
  <c r="L173" i="18"/>
  <c r="L171" i="18"/>
  <c r="L169" i="18"/>
  <c r="L167" i="18"/>
  <c r="L165" i="18"/>
  <c r="L163" i="18"/>
  <c r="L161" i="18"/>
  <c r="L159" i="18"/>
  <c r="L157" i="18"/>
  <c r="L155" i="18"/>
  <c r="L153" i="18"/>
  <c r="L151" i="18"/>
  <c r="L149" i="18"/>
  <c r="L147" i="18"/>
  <c r="L145" i="18"/>
  <c r="L143" i="18"/>
  <c r="L141" i="18"/>
  <c r="L139" i="18"/>
  <c r="L137" i="18"/>
  <c r="L135" i="18"/>
  <c r="L133" i="18"/>
  <c r="L131" i="18"/>
  <c r="L129" i="18"/>
  <c r="L127" i="18"/>
  <c r="L125" i="18"/>
  <c r="L123" i="18"/>
  <c r="L121" i="18"/>
  <c r="L119" i="18"/>
  <c r="L117" i="18"/>
  <c r="L115" i="18"/>
  <c r="L113" i="18"/>
  <c r="L111" i="18"/>
  <c r="L109" i="18"/>
  <c r="L107" i="18"/>
  <c r="L105" i="18"/>
  <c r="L103" i="18"/>
  <c r="L101" i="18"/>
  <c r="L99" i="18"/>
  <c r="M8" i="18"/>
  <c r="L23" i="18"/>
  <c r="L28" i="18"/>
  <c r="M34" i="18"/>
  <c r="L36" i="18"/>
  <c r="M37" i="18"/>
  <c r="L39" i="18"/>
  <c r="M42" i="18"/>
  <c r="L44" i="18"/>
  <c r="M45" i="18"/>
  <c r="L47" i="18"/>
  <c r="M50" i="18"/>
  <c r="L52" i="18"/>
  <c r="M53" i="18"/>
  <c r="L55" i="18"/>
  <c r="M58" i="18"/>
  <c r="L60" i="18"/>
  <c r="M61" i="18"/>
  <c r="L63" i="18"/>
  <c r="L66" i="18"/>
  <c r="M67" i="18"/>
  <c r="L70" i="18"/>
  <c r="M71" i="18"/>
  <c r="L74" i="18"/>
  <c r="M75" i="18"/>
  <c r="L78" i="18"/>
  <c r="M79" i="18"/>
  <c r="L82" i="18"/>
  <c r="M83" i="18"/>
  <c r="L86" i="18"/>
  <c r="M87" i="18"/>
  <c r="L90" i="18"/>
  <c r="M91" i="18"/>
  <c r="L94" i="18"/>
  <c r="M95" i="18"/>
  <c r="L98" i="18"/>
  <c r="M99" i="18"/>
  <c r="L102" i="18"/>
  <c r="M103" i="18"/>
  <c r="L106" i="18"/>
  <c r="M107" i="18"/>
  <c r="L110" i="18"/>
  <c r="M111" i="18"/>
  <c r="L114" i="18"/>
  <c r="M115" i="18"/>
  <c r="L118" i="18"/>
  <c r="M119" i="18"/>
  <c r="L122" i="18"/>
  <c r="M123" i="18"/>
  <c r="L126" i="18"/>
  <c r="M127" i="18"/>
  <c r="L130" i="18"/>
  <c r="M131" i="18"/>
  <c r="L134" i="18"/>
  <c r="M135" i="18"/>
  <c r="L138" i="18"/>
  <c r="M139" i="18"/>
  <c r="L142" i="18"/>
  <c r="M143" i="18"/>
  <c r="L146" i="18"/>
  <c r="M147" i="18"/>
  <c r="L150" i="18"/>
  <c r="M151" i="18"/>
  <c r="L154" i="18"/>
  <c r="M155" i="18"/>
  <c r="L158" i="18"/>
  <c r="M159" i="18"/>
  <c r="L162" i="18"/>
  <c r="M163" i="18"/>
  <c r="L166" i="18"/>
  <c r="M167" i="18"/>
  <c r="L170" i="18"/>
  <c r="M171" i="18"/>
  <c r="L174" i="18"/>
  <c r="M175" i="18"/>
  <c r="L178" i="18"/>
  <c r="M179" i="18"/>
  <c r="L182" i="18"/>
  <c r="M183" i="18"/>
  <c r="L186" i="18"/>
  <c r="M187" i="18"/>
  <c r="L190" i="18"/>
  <c r="M191" i="18"/>
  <c r="L194" i="18"/>
  <c r="M195" i="18"/>
  <c r="L27" i="18"/>
  <c r="M29" i="18"/>
  <c r="L32" i="18"/>
  <c r="M33" i="18"/>
  <c r="L35" i="18"/>
  <c r="M38" i="18"/>
  <c r="L40" i="18"/>
  <c r="M41" i="18"/>
  <c r="L43" i="18"/>
  <c r="M46" i="18"/>
  <c r="L48" i="18"/>
  <c r="M49" i="18"/>
  <c r="L51" i="18"/>
  <c r="M54" i="18"/>
  <c r="L56" i="18"/>
  <c r="M57" i="18"/>
  <c r="L59" i="18"/>
  <c r="M62" i="18"/>
  <c r="L64" i="18"/>
  <c r="M65" i="18"/>
  <c r="L68" i="18"/>
  <c r="M69" i="18"/>
  <c r="L72" i="18"/>
  <c r="M73" i="18"/>
  <c r="L76" i="18"/>
  <c r="M77" i="18"/>
  <c r="L80" i="18"/>
  <c r="M81" i="18"/>
  <c r="L84" i="18"/>
  <c r="M85" i="18"/>
  <c r="L88" i="18"/>
  <c r="M89" i="18"/>
  <c r="L92" i="18"/>
  <c r="M93" i="18"/>
  <c r="L96" i="18"/>
  <c r="M97" i="18"/>
  <c r="L100" i="18"/>
  <c r="M101" i="18"/>
  <c r="L104" i="18"/>
  <c r="M105" i="18"/>
  <c r="L108" i="18"/>
  <c r="M109" i="18"/>
  <c r="L112" i="18"/>
  <c r="M113" i="18"/>
  <c r="L116" i="18"/>
  <c r="M117" i="18"/>
  <c r="L120" i="18"/>
  <c r="M121" i="18"/>
  <c r="L124" i="18"/>
  <c r="M125" i="18"/>
  <c r="L128" i="18"/>
  <c r="M129" i="18"/>
  <c r="L132" i="18"/>
  <c r="M133" i="18"/>
  <c r="L136" i="18"/>
  <c r="M137" i="18"/>
  <c r="L140" i="18"/>
  <c r="M141" i="18"/>
  <c r="L144" i="18"/>
  <c r="M145" i="18"/>
  <c r="L148" i="18"/>
  <c r="M149" i="18"/>
  <c r="L152" i="18"/>
  <c r="M153" i="18"/>
  <c r="L156" i="18"/>
  <c r="M157" i="18"/>
  <c r="L160" i="18"/>
  <c r="M161" i="18"/>
  <c r="L164" i="18"/>
  <c r="M165" i="18"/>
  <c r="L168" i="18"/>
  <c r="M169" i="18"/>
  <c r="L172" i="18"/>
  <c r="M173" i="18"/>
  <c r="L176" i="18"/>
  <c r="M177" i="18"/>
  <c r="L180" i="18"/>
  <c r="M181" i="18"/>
  <c r="L184" i="18"/>
  <c r="M185" i="18"/>
  <c r="L188" i="18"/>
  <c r="M189" i="18"/>
  <c r="L192" i="18"/>
  <c r="M193" i="18"/>
  <c r="L196" i="18"/>
  <c r="L20" i="18"/>
  <c r="M25" i="18"/>
  <c r="M32" i="18"/>
  <c r="L37" i="18"/>
  <c r="M40" i="18"/>
  <c r="L45" i="18"/>
  <c r="M48" i="18"/>
  <c r="L53" i="18"/>
  <c r="M56" i="18"/>
  <c r="L61" i="18"/>
  <c r="M64" i="18"/>
  <c r="L67" i="18"/>
  <c r="M68" i="18"/>
  <c r="L71" i="18"/>
  <c r="M72" i="18"/>
  <c r="L75" i="18"/>
  <c r="M76" i="18"/>
  <c r="L79" i="18"/>
  <c r="M80" i="18"/>
  <c r="L83" i="18"/>
  <c r="M84" i="18"/>
  <c r="L87" i="18"/>
  <c r="M88" i="18"/>
  <c r="L91" i="18"/>
  <c r="M92" i="18"/>
  <c r="L95" i="18"/>
  <c r="M204" i="18"/>
  <c r="L203" i="18"/>
  <c r="M200" i="18"/>
  <c r="L199" i="18"/>
  <c r="M196" i="18"/>
  <c r="M194" i="18"/>
  <c r="M192" i="18"/>
  <c r="M190" i="18"/>
  <c r="M188" i="18"/>
  <c r="M186" i="18"/>
  <c r="M184" i="18"/>
  <c r="M182" i="18"/>
  <c r="M180" i="18"/>
  <c r="M178" i="18"/>
  <c r="M176" i="18"/>
  <c r="M174" i="18"/>
  <c r="M172" i="18"/>
  <c r="M170" i="18"/>
  <c r="M168" i="18"/>
  <c r="M166" i="18"/>
  <c r="M164" i="18"/>
  <c r="M162" i="18"/>
  <c r="M160" i="18"/>
  <c r="M158" i="18"/>
  <c r="M156" i="18"/>
  <c r="M154" i="18"/>
  <c r="M152" i="18"/>
  <c r="M150" i="18"/>
  <c r="M148" i="18"/>
  <c r="M146" i="18"/>
  <c r="M144" i="18"/>
  <c r="M142" i="18"/>
  <c r="M140" i="18"/>
  <c r="M138" i="18"/>
  <c r="M136" i="18"/>
  <c r="M134" i="18"/>
  <c r="M132" i="18"/>
  <c r="M130" i="18"/>
  <c r="M128" i="18"/>
  <c r="M126" i="18"/>
  <c r="M124" i="18"/>
  <c r="M122" i="18"/>
  <c r="M120" i="18"/>
  <c r="M118" i="18"/>
  <c r="M116" i="18"/>
  <c r="M114" i="18"/>
  <c r="M112" i="18"/>
  <c r="M110" i="18"/>
  <c r="M108" i="18"/>
  <c r="M106" i="18"/>
  <c r="M104" i="18"/>
  <c r="M102" i="18"/>
  <c r="M100" i="18"/>
  <c r="M98" i="18"/>
  <c r="M96" i="18"/>
  <c r="M21" i="18"/>
  <c r="AD23" i="18"/>
  <c r="AD34" i="18"/>
  <c r="AD39" i="18"/>
  <c r="AD54" i="18"/>
  <c r="H42" i="27"/>
  <c r="I50" i="27"/>
  <c r="M63" i="18"/>
  <c r="L62" i="18"/>
  <c r="M59" i="18"/>
  <c r="L58" i="18"/>
  <c r="M55" i="18"/>
  <c r="L54" i="18"/>
  <c r="M51" i="18"/>
  <c r="L50" i="18"/>
  <c r="M47" i="18"/>
  <c r="L46" i="18"/>
  <c r="M43" i="18"/>
  <c r="L42" i="18"/>
  <c r="M39" i="18"/>
  <c r="L38" i="18"/>
  <c r="M35" i="18"/>
  <c r="L34" i="18"/>
  <c r="L31" i="18"/>
  <c r="L24" i="18"/>
  <c r="M13" i="18"/>
  <c r="L11" i="18"/>
  <c r="H47" i="27"/>
  <c r="M17" i="18"/>
  <c r="L15" i="18"/>
  <c r="L8" i="18"/>
  <c r="I43" i="27"/>
  <c r="L16" i="18"/>
  <c r="M9" i="18"/>
  <c r="L7" i="18"/>
  <c r="O5" i="18"/>
  <c r="M28" i="18"/>
  <c r="M24" i="18"/>
  <c r="M20" i="18"/>
  <c r="M16" i="18"/>
  <c r="M12" i="18"/>
  <c r="M7" i="18"/>
  <c r="L10" i="18"/>
  <c r="M11" i="18"/>
  <c r="L14" i="18"/>
  <c r="M15" i="18"/>
  <c r="L18" i="18"/>
  <c r="M19" i="18"/>
  <c r="L22" i="18"/>
  <c r="M23" i="18"/>
  <c r="L26" i="18"/>
  <c r="M27" i="18"/>
  <c r="L30" i="18"/>
  <c r="M31" i="18"/>
  <c r="M6" i="18"/>
  <c r="L9" i="18"/>
  <c r="M10" i="18"/>
  <c r="L13" i="18"/>
  <c r="M14" i="18"/>
  <c r="L17" i="18"/>
  <c r="M18" i="18"/>
  <c r="L21" i="18"/>
  <c r="M22" i="18"/>
  <c r="L25" i="18"/>
  <c r="M26" i="18"/>
  <c r="L29" i="18"/>
  <c r="M30" i="18"/>
  <c r="AO23" i="18"/>
  <c r="AE29" i="18"/>
  <c r="AO34" i="18"/>
  <c r="AE44" i="18"/>
  <c r="AE49" i="18"/>
  <c r="AE5" i="18"/>
  <c r="V193" i="27"/>
  <c r="V177" i="27"/>
  <c r="V209" i="27"/>
  <c r="L5" i="27"/>
  <c r="Q84" i="27" s="1"/>
  <c r="R84" i="27" s="1"/>
  <c r="O182" i="13"/>
  <c r="O166" i="13"/>
  <c r="J6" i="13"/>
  <c r="AN34" i="18"/>
  <c r="AD29" i="18"/>
  <c r="H83" i="18"/>
  <c r="H83" i="19"/>
  <c r="F66" i="27"/>
  <c r="H85" i="19"/>
  <c r="H88" i="19"/>
  <c r="H90" i="19"/>
  <c r="H92" i="19"/>
  <c r="E61" i="27"/>
  <c r="E58" i="27"/>
  <c r="E45" i="27"/>
  <c r="E41" i="27"/>
  <c r="AD5" i="18"/>
  <c r="AD44" i="18"/>
  <c r="H84" i="18"/>
  <c r="H85" i="18"/>
  <c r="AN29" i="18"/>
  <c r="AN5" i="18"/>
  <c r="F43" i="27"/>
  <c r="F39" i="27"/>
  <c r="H88" i="18"/>
  <c r="H86" i="18"/>
  <c r="H90" i="18"/>
  <c r="H84" i="19"/>
  <c r="X196" i="19"/>
  <c r="X148" i="19"/>
  <c r="G36" i="18"/>
  <c r="J49" i="27"/>
  <c r="H41" i="27"/>
  <c r="H45" i="27"/>
  <c r="G40" i="18"/>
  <c r="G33" i="18"/>
  <c r="G28" i="18"/>
  <c r="O170" i="19"/>
  <c r="O171" i="19"/>
  <c r="O181" i="19"/>
  <c r="O165" i="19"/>
  <c r="O149" i="19"/>
  <c r="O142" i="19"/>
  <c r="O197" i="19"/>
  <c r="O190" i="19"/>
  <c r="O174" i="19"/>
  <c r="K136" i="19"/>
  <c r="K133" i="19"/>
  <c r="O133" i="19" s="1"/>
  <c r="K129" i="19"/>
  <c r="K128" i="19"/>
  <c r="K120" i="19"/>
  <c r="K117" i="19"/>
  <c r="O117" i="19" s="1"/>
  <c r="K113" i="19"/>
  <c r="K104" i="19"/>
  <c r="O104" i="19" s="1"/>
  <c r="K101" i="19"/>
  <c r="O101" i="19" s="1"/>
  <c r="K97" i="19"/>
  <c r="K96" i="19"/>
  <c r="T180" i="19"/>
  <c r="X180" i="19" s="1"/>
  <c r="X179" i="19"/>
  <c r="X177" i="19"/>
  <c r="K138" i="19"/>
  <c r="K126" i="19"/>
  <c r="K122" i="19"/>
  <c r="O122" i="19" s="1"/>
  <c r="K118" i="19"/>
  <c r="K110" i="19"/>
  <c r="O110" i="19" s="1"/>
  <c r="K106" i="19"/>
  <c r="O106" i="19" s="1"/>
  <c r="X203" i="19"/>
  <c r="X193" i="19"/>
  <c r="X171" i="19"/>
  <c r="X167" i="19"/>
  <c r="X197" i="19"/>
  <c r="X161" i="19"/>
  <c r="H67" i="27"/>
  <c r="X185" i="19"/>
  <c r="X175" i="19"/>
  <c r="X173" i="19"/>
  <c r="X163" i="19"/>
  <c r="T132" i="19"/>
  <c r="X132" i="19" s="1"/>
  <c r="J6" i="19"/>
  <c r="J7" i="19" s="1"/>
  <c r="J8" i="19" s="1"/>
  <c r="X133" i="19"/>
  <c r="X107" i="19"/>
  <c r="X97" i="19"/>
  <c r="X137" i="19"/>
  <c r="X127" i="19"/>
  <c r="X125" i="19"/>
  <c r="X115" i="19"/>
  <c r="X113" i="19"/>
  <c r="X121" i="19"/>
  <c r="X116" i="19"/>
  <c r="X111" i="19"/>
  <c r="X109" i="19"/>
  <c r="X99" i="19"/>
  <c r="X200" i="19"/>
  <c r="X184" i="19"/>
  <c r="X152" i="19"/>
  <c r="X136" i="19"/>
  <c r="X120" i="19"/>
  <c r="X204" i="19"/>
  <c r="X172" i="19"/>
  <c r="X156" i="19"/>
  <c r="X140" i="19"/>
  <c r="X108" i="19"/>
  <c r="T5" i="19"/>
  <c r="X176" i="19"/>
  <c r="X160" i="19"/>
  <c r="X144" i="19"/>
  <c r="X112" i="19"/>
  <c r="X96" i="19"/>
  <c r="X198" i="19"/>
  <c r="X194" i="19"/>
  <c r="X190" i="19"/>
  <c r="X186" i="19"/>
  <c r="X182" i="19"/>
  <c r="X178" i="19"/>
  <c r="X174" i="19"/>
  <c r="X170" i="19"/>
  <c r="X166" i="19"/>
  <c r="X158" i="19"/>
  <c r="X154" i="19"/>
  <c r="X150" i="19"/>
  <c r="X146" i="19"/>
  <c r="X142" i="19"/>
  <c r="X134" i="19"/>
  <c r="X130" i="19"/>
  <c r="X126" i="19"/>
  <c r="X122" i="19"/>
  <c r="X118" i="19"/>
  <c r="X114" i="19"/>
  <c r="X110" i="19"/>
  <c r="X106" i="19"/>
  <c r="X102" i="19"/>
  <c r="J55" i="27"/>
  <c r="J56" i="27"/>
  <c r="J66" i="27"/>
  <c r="I67" i="27"/>
  <c r="K55" i="27"/>
  <c r="K56" i="27"/>
  <c r="K66" i="27"/>
  <c r="J67" i="27"/>
  <c r="H55" i="27"/>
  <c r="H56" i="27"/>
  <c r="H66" i="27"/>
  <c r="K67" i="27"/>
  <c r="I55" i="27"/>
  <c r="I66" i="27"/>
  <c r="I56" i="27"/>
  <c r="V221" i="27"/>
  <c r="V217" i="27"/>
  <c r="V213" i="27"/>
  <c r="V205" i="27"/>
  <c r="V201" i="27"/>
  <c r="V197" i="27"/>
  <c r="V189" i="27"/>
  <c r="V185" i="27"/>
  <c r="V181" i="27"/>
  <c r="V173" i="27"/>
  <c r="L21" i="27"/>
  <c r="P25" i="27"/>
  <c r="R25" i="27" s="1"/>
  <c r="P22" i="27"/>
  <c r="R22" i="27" s="1"/>
  <c r="P24" i="27"/>
  <c r="R24" i="27" s="1"/>
  <c r="O21" i="27"/>
  <c r="R21" i="27" s="1"/>
  <c r="P26" i="27"/>
  <c r="R26" i="27" s="1"/>
  <c r="V220" i="27"/>
  <c r="V219" i="27"/>
  <c r="V218" i="27"/>
  <c r="V216" i="27"/>
  <c r="V215" i="27"/>
  <c r="V214" i="27"/>
  <c r="V212" i="27"/>
  <c r="V211" i="27"/>
  <c r="V210" i="27"/>
  <c r="V208" i="27"/>
  <c r="V207" i="27"/>
  <c r="V206" i="27"/>
  <c r="V204" i="27"/>
  <c r="V203" i="27"/>
  <c r="V202" i="27"/>
  <c r="V200" i="27"/>
  <c r="V199" i="27"/>
  <c r="V198" i="27"/>
  <c r="V196" i="27"/>
  <c r="V195" i="27"/>
  <c r="V194" i="27"/>
  <c r="V192" i="27"/>
  <c r="V191" i="27"/>
  <c r="V190" i="27"/>
  <c r="V188" i="27"/>
  <c r="V187" i="27"/>
  <c r="V186" i="27"/>
  <c r="V184" i="27"/>
  <c r="V183" i="27"/>
  <c r="V182" i="27"/>
  <c r="V180" i="27"/>
  <c r="V179" i="27"/>
  <c r="P23" i="27"/>
  <c r="R23" i="27" s="1"/>
  <c r="U21" i="27"/>
  <c r="V178" i="27"/>
  <c r="V176" i="27"/>
  <c r="V175" i="27"/>
  <c r="V174" i="27"/>
  <c r="V172" i="27"/>
  <c r="I11" i="24"/>
  <c r="S24" i="27" s="1"/>
  <c r="G29" i="18"/>
  <c r="Q6" i="18"/>
  <c r="R6" i="18" s="1"/>
  <c r="Q9" i="18"/>
  <c r="Q13" i="18"/>
  <c r="Q14" i="18"/>
  <c r="Q8" i="18"/>
  <c r="Q12" i="18"/>
  <c r="Q7" i="18"/>
  <c r="Q11" i="18"/>
  <c r="Q10" i="18"/>
  <c r="G42" i="18"/>
  <c r="G38" i="18"/>
  <c r="G34" i="18"/>
  <c r="G30" i="18"/>
  <c r="G26" i="18"/>
  <c r="Q15" i="18" s="1"/>
  <c r="G39" i="18"/>
  <c r="Q58" i="18" s="1"/>
  <c r="G27" i="18"/>
  <c r="Q18" i="18" s="1"/>
  <c r="G35" i="18"/>
  <c r="G31" i="18"/>
  <c r="H94" i="18"/>
  <c r="J6" i="18"/>
  <c r="X5" i="18"/>
  <c r="H50" i="27"/>
  <c r="I45" i="27"/>
  <c r="I51" i="27"/>
  <c r="I47" i="27"/>
  <c r="K49" i="27"/>
  <c r="K41" i="27"/>
  <c r="H43" i="27"/>
  <c r="K45" i="27"/>
  <c r="H48" i="27"/>
  <c r="L48" i="27" s="1"/>
  <c r="H51" i="27"/>
  <c r="K47" i="27"/>
  <c r="J43" i="27"/>
  <c r="I41" i="27"/>
  <c r="J51" i="27"/>
  <c r="H46" i="27"/>
  <c r="O102" i="26" l="1"/>
  <c r="O118" i="26"/>
  <c r="O189" i="26"/>
  <c r="O205" i="26"/>
  <c r="O166" i="19"/>
  <c r="L83" i="27"/>
  <c r="O158" i="19"/>
  <c r="O154" i="19"/>
  <c r="O179" i="13"/>
  <c r="O195" i="13"/>
  <c r="O138" i="26"/>
  <c r="O104" i="26"/>
  <c r="O155" i="26"/>
  <c r="O114" i="26"/>
  <c r="O130" i="26"/>
  <c r="O185" i="26"/>
  <c r="O201" i="26"/>
  <c r="X183" i="19"/>
  <c r="X119" i="19"/>
  <c r="X104" i="19"/>
  <c r="X202" i="19"/>
  <c r="X168" i="19"/>
  <c r="X138" i="19"/>
  <c r="X187" i="19"/>
  <c r="X164" i="19"/>
  <c r="X157" i="19"/>
  <c r="X145" i="19"/>
  <c r="X100" i="19"/>
  <c r="X123" i="19"/>
  <c r="O172" i="19"/>
  <c r="O202" i="19"/>
  <c r="O138" i="19"/>
  <c r="O126" i="19"/>
  <c r="O127" i="19"/>
  <c r="O114" i="19"/>
  <c r="L44" i="27"/>
  <c r="O194" i="13"/>
  <c r="K180" i="13"/>
  <c r="O180" i="13" s="1"/>
  <c r="O172" i="13"/>
  <c r="O202" i="13"/>
  <c r="O168" i="13"/>
  <c r="O184" i="13"/>
  <c r="O200" i="13"/>
  <c r="O190" i="13"/>
  <c r="O176" i="13"/>
  <c r="O192" i="13"/>
  <c r="J97" i="21"/>
  <c r="K96" i="21"/>
  <c r="O96" i="21" s="1"/>
  <c r="O184" i="26"/>
  <c r="O200" i="26"/>
  <c r="O159" i="26"/>
  <c r="K72" i="27"/>
  <c r="X128" i="19"/>
  <c r="X105" i="19"/>
  <c r="X169" i="19"/>
  <c r="X188" i="19"/>
  <c r="X117" i="19"/>
  <c r="X98" i="19"/>
  <c r="X162" i="19"/>
  <c r="X181" i="19"/>
  <c r="X147" i="19"/>
  <c r="X124" i="19"/>
  <c r="O120" i="19"/>
  <c r="O124" i="19"/>
  <c r="O96" i="19"/>
  <c r="O173" i="19"/>
  <c r="O112" i="19"/>
  <c r="AL75" i="18"/>
  <c r="AT75" i="18" s="1"/>
  <c r="AL85" i="18"/>
  <c r="AB85" i="18"/>
  <c r="O171" i="13"/>
  <c r="O187" i="13"/>
  <c r="O205" i="13"/>
  <c r="O167" i="19"/>
  <c r="O156" i="19"/>
  <c r="O199" i="19"/>
  <c r="O140" i="19"/>
  <c r="O103" i="19"/>
  <c r="O192" i="19"/>
  <c r="O188" i="19"/>
  <c r="O144" i="19"/>
  <c r="O143" i="19"/>
  <c r="O176" i="19"/>
  <c r="O100" i="19"/>
  <c r="O116" i="19"/>
  <c r="O132" i="19"/>
  <c r="O105" i="19"/>
  <c r="O121" i="19"/>
  <c r="O137" i="19"/>
  <c r="O98" i="19"/>
  <c r="O118" i="19"/>
  <c r="O119" i="19"/>
  <c r="O109" i="19"/>
  <c r="O125" i="19"/>
  <c r="O102" i="19"/>
  <c r="O151" i="19"/>
  <c r="O162" i="19"/>
  <c r="O183" i="19"/>
  <c r="O160" i="19"/>
  <c r="O204" i="19"/>
  <c r="O135" i="19"/>
  <c r="O169" i="19"/>
  <c r="O165" i="26"/>
  <c r="J72" i="27"/>
  <c r="H72" i="27"/>
  <c r="S91" i="20"/>
  <c r="R92" i="20"/>
  <c r="T90" i="20"/>
  <c r="X90" i="20" s="1"/>
  <c r="Y90" i="20" s="1"/>
  <c r="AF91" i="20"/>
  <c r="AI90" i="20"/>
  <c r="Q60" i="18"/>
  <c r="Q66" i="18"/>
  <c r="Q59" i="18"/>
  <c r="L50" i="27"/>
  <c r="Q64" i="18"/>
  <c r="Q63" i="18"/>
  <c r="Q65" i="18"/>
  <c r="O188" i="26"/>
  <c r="O204" i="26"/>
  <c r="O156" i="26"/>
  <c r="O172" i="26"/>
  <c r="O143" i="26"/>
  <c r="O142" i="26"/>
  <c r="O99" i="19"/>
  <c r="O115" i="19"/>
  <c r="O131" i="19"/>
  <c r="O147" i="19"/>
  <c r="O163" i="19"/>
  <c r="O179" i="19"/>
  <c r="O195" i="19"/>
  <c r="O145" i="19"/>
  <c r="O161" i="19"/>
  <c r="O177" i="19"/>
  <c r="O193" i="19"/>
  <c r="O134" i="19"/>
  <c r="O107" i="19"/>
  <c r="O123" i="19"/>
  <c r="O187" i="19"/>
  <c r="O203" i="19"/>
  <c r="O139" i="19"/>
  <c r="O164" i="19"/>
  <c r="O136" i="19"/>
  <c r="O196" i="19"/>
  <c r="O155" i="19"/>
  <c r="O148" i="19"/>
  <c r="O180" i="19"/>
  <c r="O111" i="19"/>
  <c r="O159" i="19"/>
  <c r="O175" i="19"/>
  <c r="O191" i="19"/>
  <c r="O130" i="19"/>
  <c r="Q121" i="27"/>
  <c r="R121" i="27" s="1"/>
  <c r="Q57" i="27"/>
  <c r="R57" i="27" s="1"/>
  <c r="Q140" i="27"/>
  <c r="R140" i="27" s="1"/>
  <c r="Q130" i="27"/>
  <c r="R130" i="27" s="1"/>
  <c r="Q79" i="27"/>
  <c r="R79" i="27" s="1"/>
  <c r="Q56" i="27"/>
  <c r="R56" i="27" s="1"/>
  <c r="I78" i="27"/>
  <c r="L77" i="27"/>
  <c r="AT15" i="18"/>
  <c r="AR33" i="18"/>
  <c r="AT25" i="18"/>
  <c r="AS21" i="18"/>
  <c r="H49" i="27"/>
  <c r="L49" i="27" s="1"/>
  <c r="AR23" i="18"/>
  <c r="AQ23" i="18"/>
  <c r="Q89" i="27"/>
  <c r="R89" i="27" s="1"/>
  <c r="Q47" i="27"/>
  <c r="R47" i="27" s="1"/>
  <c r="Q196" i="27"/>
  <c r="R196" i="27" s="1"/>
  <c r="Q98" i="27"/>
  <c r="R98" i="27" s="1"/>
  <c r="Q156" i="27"/>
  <c r="R156" i="27" s="1"/>
  <c r="Q68" i="27"/>
  <c r="R68" i="27" s="1"/>
  <c r="Q66" i="27"/>
  <c r="R66" i="27" s="1"/>
  <c r="Q34" i="27"/>
  <c r="R34" i="27" s="1"/>
  <c r="Q111" i="27"/>
  <c r="R111" i="27" s="1"/>
  <c r="AT97" i="13"/>
  <c r="Z113" i="27" s="1"/>
  <c r="AQ28" i="18"/>
  <c r="AS35" i="18"/>
  <c r="Q20" i="18"/>
  <c r="Q27" i="18"/>
  <c r="Q16" i="18"/>
  <c r="L112" i="27"/>
  <c r="L106" i="27"/>
  <c r="O108" i="26"/>
  <c r="O124" i="26"/>
  <c r="O164" i="26"/>
  <c r="L104" i="27"/>
  <c r="L108" i="27"/>
  <c r="S85" i="21"/>
  <c r="T85" i="21" s="1"/>
  <c r="X85" i="21" s="1"/>
  <c r="Y85" i="21" s="1"/>
  <c r="R86" i="21"/>
  <c r="L109" i="27"/>
  <c r="AI87" i="21"/>
  <c r="AF88" i="21"/>
  <c r="AB213" i="27"/>
  <c r="L115" i="27"/>
  <c r="O111" i="26"/>
  <c r="O127" i="26"/>
  <c r="O133" i="26"/>
  <c r="O149" i="26"/>
  <c r="O120" i="26"/>
  <c r="O144" i="26"/>
  <c r="L82" i="27"/>
  <c r="L73" i="27"/>
  <c r="L81" i="27"/>
  <c r="L79" i="27"/>
  <c r="K78" i="27"/>
  <c r="H78" i="27"/>
  <c r="O178" i="19"/>
  <c r="O205" i="19"/>
  <c r="O185" i="19"/>
  <c r="O150" i="19"/>
  <c r="O182" i="19"/>
  <c r="O157" i="19"/>
  <c r="O189" i="19"/>
  <c r="O141" i="19"/>
  <c r="O201" i="19"/>
  <c r="O153" i="19"/>
  <c r="O194" i="19"/>
  <c r="O128" i="19"/>
  <c r="O97" i="19"/>
  <c r="O113" i="19"/>
  <c r="O129" i="19"/>
  <c r="O146" i="19"/>
  <c r="T169" i="13"/>
  <c r="X169" i="13" s="1"/>
  <c r="AQ72" i="13"/>
  <c r="T171" i="13"/>
  <c r="X171" i="13" s="1"/>
  <c r="T189" i="13"/>
  <c r="T178" i="13"/>
  <c r="X178" i="13" s="1"/>
  <c r="T197" i="13"/>
  <c r="X197" i="13" s="1"/>
  <c r="T167" i="13"/>
  <c r="X167" i="13" s="1"/>
  <c r="T172" i="13"/>
  <c r="X172" i="13" s="1"/>
  <c r="T175" i="13"/>
  <c r="X175" i="13" s="1"/>
  <c r="T193" i="13"/>
  <c r="X193" i="13" s="1"/>
  <c r="T205" i="13"/>
  <c r="X205" i="13" s="1"/>
  <c r="T179" i="13"/>
  <c r="X179" i="13" s="1"/>
  <c r="X5" i="19"/>
  <c r="Y5" i="19" s="1"/>
  <c r="O170" i="13"/>
  <c r="O178" i="13"/>
  <c r="O197" i="13"/>
  <c r="O188" i="13"/>
  <c r="O204" i="13"/>
  <c r="O181" i="13"/>
  <c r="O173" i="13"/>
  <c r="O196" i="13"/>
  <c r="O189" i="13"/>
  <c r="O186" i="13"/>
  <c r="O203" i="13"/>
  <c r="Q38" i="18"/>
  <c r="Q19" i="18"/>
  <c r="Q17" i="18"/>
  <c r="AS75" i="18"/>
  <c r="AR75" i="18"/>
  <c r="AQ75" i="18"/>
  <c r="AT40" i="18"/>
  <c r="AQ40" i="18"/>
  <c r="AR40" i="18"/>
  <c r="AS40" i="18"/>
  <c r="AQ74" i="18"/>
  <c r="AT74" i="18"/>
  <c r="AS74" i="18"/>
  <c r="AR74" i="18"/>
  <c r="AB75" i="18"/>
  <c r="AR35" i="18"/>
  <c r="AT23" i="18"/>
  <c r="AR50" i="18"/>
  <c r="AT50" i="18"/>
  <c r="AQ50" i="18"/>
  <c r="AS50" i="18"/>
  <c r="AQ60" i="18"/>
  <c r="AR60" i="18"/>
  <c r="AT60" i="18"/>
  <c r="AS60" i="18"/>
  <c r="AT35" i="18"/>
  <c r="AQ35" i="18"/>
  <c r="AS45" i="18"/>
  <c r="AR45" i="18"/>
  <c r="AT45" i="18"/>
  <c r="AQ45" i="18"/>
  <c r="AS23" i="18"/>
  <c r="AT73" i="18"/>
  <c r="AS73" i="18"/>
  <c r="AR73" i="18"/>
  <c r="AQ73" i="18"/>
  <c r="AQ71" i="18"/>
  <c r="AT71" i="18"/>
  <c r="AR71" i="18"/>
  <c r="AS71" i="18"/>
  <c r="AS72" i="18"/>
  <c r="AQ72" i="18"/>
  <c r="AT72" i="18"/>
  <c r="AR72" i="18"/>
  <c r="AT55" i="18"/>
  <c r="AS55" i="18"/>
  <c r="AR55" i="18"/>
  <c r="AQ55" i="18"/>
  <c r="O174" i="26"/>
  <c r="O182" i="26"/>
  <c r="O198" i="26"/>
  <c r="O158" i="26"/>
  <c r="O161" i="26"/>
  <c r="O145" i="26"/>
  <c r="O98" i="26"/>
  <c r="O171" i="26"/>
  <c r="O179" i="26"/>
  <c r="O99" i="26"/>
  <c r="O107" i="26"/>
  <c r="O195" i="26"/>
  <c r="O139" i="26"/>
  <c r="O167" i="26"/>
  <c r="O180" i="26"/>
  <c r="O183" i="26"/>
  <c r="O199" i="26"/>
  <c r="O136" i="26"/>
  <c r="O97" i="26"/>
  <c r="O166" i="26"/>
  <c r="O196" i="26"/>
  <c r="O150" i="26"/>
  <c r="O175" i="26"/>
  <c r="O116" i="26"/>
  <c r="O187" i="26"/>
  <c r="O203" i="26"/>
  <c r="O140" i="26"/>
  <c r="O126" i="26"/>
  <c r="O123" i="26"/>
  <c r="O134" i="26"/>
  <c r="O115" i="26"/>
  <c r="O153" i="26"/>
  <c r="O169" i="26"/>
  <c r="O131" i="26"/>
  <c r="O181" i="26"/>
  <c r="L89" i="27"/>
  <c r="O110" i="26"/>
  <c r="O137" i="26"/>
  <c r="AT67" i="18"/>
  <c r="AS67" i="18"/>
  <c r="AR67" i="18"/>
  <c r="AQ67" i="18"/>
  <c r="AS69" i="18"/>
  <c r="AR69" i="18"/>
  <c r="AQ69" i="18"/>
  <c r="AT69" i="18"/>
  <c r="AT66" i="18"/>
  <c r="AS66" i="18"/>
  <c r="AR66" i="18"/>
  <c r="AQ66" i="18"/>
  <c r="AR70" i="18"/>
  <c r="AQ70" i="18"/>
  <c r="AT70" i="18"/>
  <c r="AS70" i="18"/>
  <c r="AT68" i="18"/>
  <c r="AS68" i="18"/>
  <c r="AR68" i="18"/>
  <c r="AQ68" i="18"/>
  <c r="C51" i="27"/>
  <c r="L51" i="27" s="1"/>
  <c r="AB70" i="18"/>
  <c r="L103" i="27"/>
  <c r="L110" i="27"/>
  <c r="L113" i="27"/>
  <c r="L105" i="27"/>
  <c r="L107" i="27"/>
  <c r="L111" i="27"/>
  <c r="L114" i="27"/>
  <c r="O202" i="26"/>
  <c r="O100" i="26"/>
  <c r="O186" i="26"/>
  <c r="O157" i="26"/>
  <c r="O148" i="26"/>
  <c r="O141" i="26"/>
  <c r="O132" i="26"/>
  <c r="O173" i="26"/>
  <c r="O103" i="26"/>
  <c r="O119" i="26"/>
  <c r="O163" i="26"/>
  <c r="O170" i="26"/>
  <c r="O191" i="26"/>
  <c r="O154" i="26"/>
  <c r="O113" i="26"/>
  <c r="O129" i="26"/>
  <c r="O101" i="26"/>
  <c r="O194" i="26"/>
  <c r="O147" i="26"/>
  <c r="O178" i="26"/>
  <c r="O109" i="26"/>
  <c r="O125" i="26"/>
  <c r="O160" i="26"/>
  <c r="O176" i="26"/>
  <c r="L87" i="27"/>
  <c r="O106" i="26"/>
  <c r="O122" i="26"/>
  <c r="O151" i="26"/>
  <c r="O197" i="26"/>
  <c r="K6" i="26"/>
  <c r="O6" i="26" s="1"/>
  <c r="Y6" i="26" s="1"/>
  <c r="O177" i="26"/>
  <c r="O135" i="26"/>
  <c r="O190" i="26"/>
  <c r="O105" i="26"/>
  <c r="O193" i="26"/>
  <c r="O112" i="26"/>
  <c r="O128" i="26"/>
  <c r="O192" i="26"/>
  <c r="O146" i="26"/>
  <c r="O162" i="26"/>
  <c r="O117" i="26"/>
  <c r="O96" i="26"/>
  <c r="O121" i="26"/>
  <c r="L90" i="27"/>
  <c r="L91" i="27"/>
  <c r="J8" i="26"/>
  <c r="K7" i="26"/>
  <c r="O7" i="26" s="1"/>
  <c r="L93" i="27"/>
  <c r="Y5" i="26"/>
  <c r="L94" i="27"/>
  <c r="L88" i="27"/>
  <c r="L92" i="27"/>
  <c r="S7" i="26"/>
  <c r="R8" i="26"/>
  <c r="H95" i="27"/>
  <c r="I95" i="27"/>
  <c r="J95" i="27"/>
  <c r="K95" i="27"/>
  <c r="L75" i="27"/>
  <c r="L76" i="27"/>
  <c r="H23" i="24"/>
  <c r="L74" i="27"/>
  <c r="L71" i="27"/>
  <c r="H80" i="27"/>
  <c r="I80" i="27"/>
  <c r="J80" i="27"/>
  <c r="K80" i="27"/>
  <c r="T170" i="13"/>
  <c r="T181" i="13"/>
  <c r="T192" i="13"/>
  <c r="T166" i="13"/>
  <c r="T196" i="13"/>
  <c r="X201" i="13"/>
  <c r="X203" i="13"/>
  <c r="T200" i="13"/>
  <c r="T174" i="13"/>
  <c r="T204" i="13"/>
  <c r="T177" i="13"/>
  <c r="T188" i="13"/>
  <c r="T186" i="13"/>
  <c r="T182" i="13"/>
  <c r="T173" i="13"/>
  <c r="T184" i="13"/>
  <c r="T185" i="13"/>
  <c r="T194" i="13"/>
  <c r="T190" i="13"/>
  <c r="T202" i="13"/>
  <c r="T187" i="13"/>
  <c r="T198" i="13"/>
  <c r="T183" i="13"/>
  <c r="T168" i="13"/>
  <c r="T195" i="13"/>
  <c r="T191" i="13"/>
  <c r="T176" i="13"/>
  <c r="T180" i="13"/>
  <c r="T199" i="13"/>
  <c r="Q202" i="27"/>
  <c r="R202" i="27" s="1"/>
  <c r="Q138" i="27"/>
  <c r="R138" i="27" s="1"/>
  <c r="Q165" i="27"/>
  <c r="R165" i="27" s="1"/>
  <c r="AQ15" i="18"/>
  <c r="Q36" i="18"/>
  <c r="AR30" i="18"/>
  <c r="AT8" i="18"/>
  <c r="Q42" i="18"/>
  <c r="Q117" i="27"/>
  <c r="R117" i="27" s="1"/>
  <c r="Q85" i="27"/>
  <c r="R85" i="27" s="1"/>
  <c r="Q53" i="27"/>
  <c r="R53" i="27" s="1"/>
  <c r="Q126" i="27"/>
  <c r="R126" i="27" s="1"/>
  <c r="Q94" i="27"/>
  <c r="R94" i="27" s="1"/>
  <c r="Q62" i="27"/>
  <c r="R62" i="27" s="1"/>
  <c r="Q30" i="27"/>
  <c r="R30" i="27" s="1"/>
  <c r="Q107" i="27"/>
  <c r="R107" i="27" s="1"/>
  <c r="Q75" i="27"/>
  <c r="R75" i="27" s="1"/>
  <c r="Q43" i="27"/>
  <c r="R43" i="27" s="1"/>
  <c r="Q153" i="27"/>
  <c r="R153" i="27" s="1"/>
  <c r="Q212" i="27"/>
  <c r="R212" i="27" s="1"/>
  <c r="Q187" i="27"/>
  <c r="R187" i="27" s="1"/>
  <c r="Q40" i="27"/>
  <c r="R40" i="27" s="1"/>
  <c r="Q198" i="27"/>
  <c r="R198" i="27" s="1"/>
  <c r="Q134" i="27"/>
  <c r="R134" i="27" s="1"/>
  <c r="Q160" i="27"/>
  <c r="R160" i="27" s="1"/>
  <c r="Q60" i="27"/>
  <c r="R60" i="27" s="1"/>
  <c r="Q113" i="27"/>
  <c r="R113" i="27" s="1"/>
  <c r="Q81" i="27"/>
  <c r="R81" i="27" s="1"/>
  <c r="Q49" i="27"/>
  <c r="R49" i="27" s="1"/>
  <c r="Q122" i="27"/>
  <c r="R122" i="27" s="1"/>
  <c r="Q90" i="27"/>
  <c r="R90" i="27" s="1"/>
  <c r="Q58" i="27"/>
  <c r="R58" i="27" s="1"/>
  <c r="Q135" i="27"/>
  <c r="R135" i="27" s="1"/>
  <c r="Q103" i="27"/>
  <c r="R103" i="27" s="1"/>
  <c r="Q71" i="27"/>
  <c r="R71" i="27" s="1"/>
  <c r="Q39" i="27"/>
  <c r="R39" i="27" s="1"/>
  <c r="Q179" i="27"/>
  <c r="R179" i="27" s="1"/>
  <c r="Q203" i="27"/>
  <c r="R203" i="27" s="1"/>
  <c r="Q200" i="27"/>
  <c r="R200" i="27" s="1"/>
  <c r="Q199" i="27"/>
  <c r="R199" i="27" s="1"/>
  <c r="Q186" i="27"/>
  <c r="R186" i="27" s="1"/>
  <c r="Q213" i="27"/>
  <c r="R213" i="27" s="1"/>
  <c r="Q149" i="27"/>
  <c r="R149" i="27" s="1"/>
  <c r="Q36" i="27"/>
  <c r="R36" i="27" s="1"/>
  <c r="Q109" i="27"/>
  <c r="R109" i="27" s="1"/>
  <c r="Q77" i="27"/>
  <c r="R77" i="27" s="1"/>
  <c r="Q45" i="27"/>
  <c r="R45" i="27" s="1"/>
  <c r="Q118" i="27"/>
  <c r="R118" i="27" s="1"/>
  <c r="Q86" i="27"/>
  <c r="R86" i="27" s="1"/>
  <c r="Q54" i="27"/>
  <c r="R54" i="27" s="1"/>
  <c r="Q131" i="27"/>
  <c r="R131" i="27" s="1"/>
  <c r="Q99" i="27"/>
  <c r="R99" i="27" s="1"/>
  <c r="Q67" i="27"/>
  <c r="R67" i="27" s="1"/>
  <c r="Q35" i="27"/>
  <c r="R35" i="27" s="1"/>
  <c r="Q195" i="27"/>
  <c r="R195" i="27" s="1"/>
  <c r="Q219" i="27"/>
  <c r="R219" i="27" s="1"/>
  <c r="Q184" i="27"/>
  <c r="R184" i="27" s="1"/>
  <c r="Q183" i="27"/>
  <c r="R183" i="27" s="1"/>
  <c r="Q178" i="27"/>
  <c r="R178" i="27" s="1"/>
  <c r="Q205" i="27"/>
  <c r="R205" i="27" s="1"/>
  <c r="Q141" i="27"/>
  <c r="R141" i="27" s="1"/>
  <c r="Q105" i="27"/>
  <c r="R105" i="27" s="1"/>
  <c r="Q73" i="27"/>
  <c r="R73" i="27" s="1"/>
  <c r="Q41" i="27"/>
  <c r="R41" i="27" s="1"/>
  <c r="Q114" i="27"/>
  <c r="R114" i="27" s="1"/>
  <c r="Q82" i="27"/>
  <c r="R82" i="27" s="1"/>
  <c r="Q50" i="27"/>
  <c r="R50" i="27" s="1"/>
  <c r="Q127" i="27"/>
  <c r="R127" i="27" s="1"/>
  <c r="Q95" i="27"/>
  <c r="R95" i="27" s="1"/>
  <c r="Q63" i="27"/>
  <c r="R63" i="27" s="1"/>
  <c r="Q31" i="27"/>
  <c r="R31" i="27" s="1"/>
  <c r="Q32" i="27"/>
  <c r="R32" i="27" s="1"/>
  <c r="Q211" i="27"/>
  <c r="R211" i="27" s="1"/>
  <c r="Q48" i="27"/>
  <c r="R48" i="27" s="1"/>
  <c r="Q164" i="27"/>
  <c r="R164" i="27" s="1"/>
  <c r="Q166" i="27"/>
  <c r="R166" i="27" s="1"/>
  <c r="Q170" i="27"/>
  <c r="R170" i="27" s="1"/>
  <c r="Q197" i="27"/>
  <c r="R197" i="27" s="1"/>
  <c r="Q132" i="27"/>
  <c r="R132" i="27" s="1"/>
  <c r="Q37" i="27"/>
  <c r="R37" i="27" s="1"/>
  <c r="Q161" i="27"/>
  <c r="R161" i="27" s="1"/>
  <c r="Q163" i="27"/>
  <c r="R163" i="27" s="1"/>
  <c r="Q167" i="27"/>
  <c r="R167" i="27" s="1"/>
  <c r="Q193" i="27"/>
  <c r="R193" i="27" s="1"/>
  <c r="Q124" i="27"/>
  <c r="R124" i="27" s="1"/>
  <c r="Q139" i="27"/>
  <c r="R139" i="27" s="1"/>
  <c r="Q133" i="27"/>
  <c r="R133" i="27" s="1"/>
  <c r="Q101" i="27"/>
  <c r="R101" i="27" s="1"/>
  <c r="Q69" i="27"/>
  <c r="R69" i="27" s="1"/>
  <c r="Q110" i="27"/>
  <c r="R110" i="27" s="1"/>
  <c r="Q78" i="27"/>
  <c r="R78" i="27" s="1"/>
  <c r="Q46" i="27"/>
  <c r="R46" i="27" s="1"/>
  <c r="Q123" i="27"/>
  <c r="R123" i="27" s="1"/>
  <c r="Q91" i="27"/>
  <c r="R91" i="27" s="1"/>
  <c r="Q59" i="27"/>
  <c r="R59" i="27" s="1"/>
  <c r="Q27" i="27"/>
  <c r="R27" i="27" s="1"/>
  <c r="Q64" i="27"/>
  <c r="R64" i="27" s="1"/>
  <c r="Q142" i="27"/>
  <c r="R142" i="27" s="1"/>
  <c r="Q80" i="27"/>
  <c r="R80" i="27" s="1"/>
  <c r="Q129" i="27"/>
  <c r="R129" i="27" s="1"/>
  <c r="Q97" i="27"/>
  <c r="R97" i="27" s="1"/>
  <c r="Q65" i="27"/>
  <c r="R65" i="27" s="1"/>
  <c r="Q33" i="27"/>
  <c r="R33" i="27" s="1"/>
  <c r="Q106" i="27"/>
  <c r="R106" i="27" s="1"/>
  <c r="Q74" i="27"/>
  <c r="R74" i="27" s="1"/>
  <c r="Q42" i="27"/>
  <c r="R42" i="27" s="1"/>
  <c r="Q119" i="27"/>
  <c r="R119" i="27" s="1"/>
  <c r="Q87" i="27"/>
  <c r="R87" i="27" s="1"/>
  <c r="Q55" i="27"/>
  <c r="R55" i="27" s="1"/>
  <c r="Q96" i="27"/>
  <c r="R96" i="27" s="1"/>
  <c r="Q155" i="27"/>
  <c r="R155" i="27" s="1"/>
  <c r="Q112" i="27"/>
  <c r="R112" i="27" s="1"/>
  <c r="Q120" i="27"/>
  <c r="R120" i="27" s="1"/>
  <c r="Q218" i="27"/>
  <c r="R218" i="27" s="1"/>
  <c r="Q154" i="27"/>
  <c r="R154" i="27" s="1"/>
  <c r="Q181" i="27"/>
  <c r="R181" i="27" s="1"/>
  <c r="Q100" i="27"/>
  <c r="R100" i="27" s="1"/>
  <c r="Q220" i="27"/>
  <c r="R220" i="27" s="1"/>
  <c r="Q125" i="27"/>
  <c r="R125" i="27" s="1"/>
  <c r="Q93" i="27"/>
  <c r="R93" i="27" s="1"/>
  <c r="Q61" i="27"/>
  <c r="R61" i="27" s="1"/>
  <c r="Q29" i="27"/>
  <c r="R29" i="27" s="1"/>
  <c r="Q102" i="27"/>
  <c r="R102" i="27" s="1"/>
  <c r="Q70" i="27"/>
  <c r="R70" i="27" s="1"/>
  <c r="Q38" i="27"/>
  <c r="R38" i="27" s="1"/>
  <c r="Q115" i="27"/>
  <c r="R115" i="27" s="1"/>
  <c r="Q83" i="27"/>
  <c r="R83" i="27" s="1"/>
  <c r="Q51" i="27"/>
  <c r="R51" i="27" s="1"/>
  <c r="Q128" i="27"/>
  <c r="R128" i="27" s="1"/>
  <c r="Q180" i="27"/>
  <c r="R180" i="27" s="1"/>
  <c r="Q137" i="27"/>
  <c r="R137" i="27" s="1"/>
  <c r="Q88" i="27"/>
  <c r="R88" i="27" s="1"/>
  <c r="Q210" i="27"/>
  <c r="R210" i="27" s="1"/>
  <c r="Q146" i="27"/>
  <c r="R146" i="27" s="1"/>
  <c r="Q173" i="27"/>
  <c r="R173" i="27" s="1"/>
  <c r="Y5" i="13"/>
  <c r="AS112" i="13"/>
  <c r="Y128" i="27" s="1"/>
  <c r="AS72" i="13"/>
  <c r="AT87" i="13"/>
  <c r="AT39" i="13"/>
  <c r="AQ90" i="13"/>
  <c r="AQ16" i="18"/>
  <c r="AT129" i="13"/>
  <c r="Z145" i="27" s="1"/>
  <c r="H39" i="27"/>
  <c r="J39" i="27"/>
  <c r="I39" i="27"/>
  <c r="AT105" i="13"/>
  <c r="Z121" i="27" s="1"/>
  <c r="AT113" i="13"/>
  <c r="Z129" i="27" s="1"/>
  <c r="AR105" i="13"/>
  <c r="X121" i="27" s="1"/>
  <c r="AR54" i="18"/>
  <c r="AT54" i="18"/>
  <c r="AQ54" i="18"/>
  <c r="AS54" i="18"/>
  <c r="AR59" i="18"/>
  <c r="AS59" i="18"/>
  <c r="AQ59" i="18"/>
  <c r="AT59" i="18"/>
  <c r="AQ42" i="18"/>
  <c r="AS42" i="18"/>
  <c r="AR42" i="18"/>
  <c r="AT42" i="18"/>
  <c r="AQ58" i="18"/>
  <c r="AS58" i="18"/>
  <c r="AT58" i="18"/>
  <c r="AR58" i="18"/>
  <c r="AS36" i="18"/>
  <c r="AT36" i="18"/>
  <c r="AQ36" i="18"/>
  <c r="AR36" i="18"/>
  <c r="AQ52" i="18"/>
  <c r="AR52" i="18"/>
  <c r="AT52" i="18"/>
  <c r="AS52" i="18"/>
  <c r="AT39" i="18"/>
  <c r="AS39" i="18"/>
  <c r="AQ39" i="18"/>
  <c r="AR39" i="18"/>
  <c r="AT62" i="18"/>
  <c r="AS62" i="18"/>
  <c r="AQ62" i="18"/>
  <c r="AR62" i="18"/>
  <c r="AR56" i="18"/>
  <c r="AQ56" i="18"/>
  <c r="AT56" i="18"/>
  <c r="AS56" i="18"/>
  <c r="AR44" i="18"/>
  <c r="AS44" i="18"/>
  <c r="AQ44" i="18"/>
  <c r="AT44" i="18"/>
  <c r="AT41" i="18"/>
  <c r="AR41" i="18"/>
  <c r="AQ41" i="18"/>
  <c r="AS41" i="18"/>
  <c r="AT46" i="18"/>
  <c r="AR46" i="18"/>
  <c r="AQ46" i="18"/>
  <c r="AS46" i="18"/>
  <c r="AQ51" i="18"/>
  <c r="AS51" i="18"/>
  <c r="AT51" i="18"/>
  <c r="AR51" i="18"/>
  <c r="AQ61" i="18"/>
  <c r="AS61" i="18"/>
  <c r="AT61" i="18"/>
  <c r="AR61" i="18"/>
  <c r="AT49" i="18"/>
  <c r="AQ49" i="18"/>
  <c r="AR49" i="18"/>
  <c r="AS49" i="18"/>
  <c r="AR57" i="18"/>
  <c r="AS57" i="18"/>
  <c r="AQ57" i="18"/>
  <c r="AT57" i="18"/>
  <c r="AR47" i="18"/>
  <c r="AT47" i="18"/>
  <c r="AQ47" i="18"/>
  <c r="AS47" i="18"/>
  <c r="AQ63" i="18"/>
  <c r="AT63" i="18"/>
  <c r="AS63" i="18"/>
  <c r="AR63" i="18"/>
  <c r="AR48" i="18"/>
  <c r="AT48" i="18"/>
  <c r="AQ48" i="18"/>
  <c r="AS48" i="18"/>
  <c r="AT65" i="18"/>
  <c r="AS65" i="18"/>
  <c r="AR65" i="18"/>
  <c r="AQ65" i="18"/>
  <c r="AS38" i="18"/>
  <c r="AR38" i="18"/>
  <c r="AT38" i="18"/>
  <c r="AQ38" i="18"/>
  <c r="AT43" i="18"/>
  <c r="AR43" i="18"/>
  <c r="AS43" i="18"/>
  <c r="AQ43" i="18"/>
  <c r="AQ64" i="18"/>
  <c r="AS64" i="18"/>
  <c r="AR64" i="18"/>
  <c r="AT64" i="18"/>
  <c r="AT37" i="18"/>
  <c r="AQ37" i="18"/>
  <c r="AR37" i="18"/>
  <c r="AS37" i="18"/>
  <c r="AR53" i="18"/>
  <c r="AQ53" i="18"/>
  <c r="AS53" i="18"/>
  <c r="AT53" i="18"/>
  <c r="AT111" i="13"/>
  <c r="Z127" i="27" s="1"/>
  <c r="AT63" i="13"/>
  <c r="AS27" i="13"/>
  <c r="AT27" i="13"/>
  <c r="AS90" i="13"/>
  <c r="AS96" i="13"/>
  <c r="Y112" i="27" s="1"/>
  <c r="AR72" i="13"/>
  <c r="AS80" i="13"/>
  <c r="AT95" i="13"/>
  <c r="AR80" i="13"/>
  <c r="AT80" i="13"/>
  <c r="AQ80" i="13"/>
  <c r="AT47" i="13"/>
  <c r="AT112" i="13"/>
  <c r="Z128" i="27" s="1"/>
  <c r="AS128" i="13"/>
  <c r="Y144" i="27" s="1"/>
  <c r="AR89" i="13"/>
  <c r="AT122" i="13"/>
  <c r="Z138" i="27" s="1"/>
  <c r="AT145" i="13"/>
  <c r="Z161" i="27" s="1"/>
  <c r="AS104" i="13"/>
  <c r="Y120" i="27" s="1"/>
  <c r="AT152" i="13"/>
  <c r="Z168" i="27" s="1"/>
  <c r="AT114" i="13"/>
  <c r="Z130" i="27" s="1"/>
  <c r="AT88" i="13"/>
  <c r="AS88" i="13"/>
  <c r="AT104" i="13"/>
  <c r="Z120" i="27" s="1"/>
  <c r="AR97" i="13"/>
  <c r="X113" i="27" s="1"/>
  <c r="AQ30" i="18"/>
  <c r="AG6" i="18"/>
  <c r="AG7" i="18" s="1"/>
  <c r="AG8" i="18" s="1"/>
  <c r="AG9" i="18" s="1"/>
  <c r="AG10" i="18" s="1"/>
  <c r="AG11" i="18" s="1"/>
  <c r="AG12" i="18" s="1"/>
  <c r="AG13" i="18" s="1"/>
  <c r="AG14" i="18" s="1"/>
  <c r="AG15" i="18" s="1"/>
  <c r="AG16" i="18" s="1"/>
  <c r="AG17" i="18" s="1"/>
  <c r="AG18" i="18" s="1"/>
  <c r="AG19" i="18" s="1"/>
  <c r="AG20" i="18" s="1"/>
  <c r="AG21" i="18" s="1"/>
  <c r="AG22" i="18" s="1"/>
  <c r="AG23" i="18" s="1"/>
  <c r="AG24" i="18" s="1"/>
  <c r="AG25" i="18" s="1"/>
  <c r="AG26" i="18" s="1"/>
  <c r="AG27" i="18" s="1"/>
  <c r="AG28" i="18" s="1"/>
  <c r="AG29" i="18" s="1"/>
  <c r="AG30" i="18" s="1"/>
  <c r="AG31" i="18" s="1"/>
  <c r="AG32" i="18" s="1"/>
  <c r="AG33" i="18" s="1"/>
  <c r="AG34" i="18" s="1"/>
  <c r="AG35" i="18" s="1"/>
  <c r="AG36" i="18" s="1"/>
  <c r="AG37" i="18" s="1"/>
  <c r="AG38" i="18" s="1"/>
  <c r="AG39" i="18" s="1"/>
  <c r="AG40" i="18" s="1"/>
  <c r="AG41" i="18" s="1"/>
  <c r="AG42" i="18" s="1"/>
  <c r="AG43" i="18" s="1"/>
  <c r="AG44" i="18" s="1"/>
  <c r="AG45" i="18" s="1"/>
  <c r="AG46" i="18" s="1"/>
  <c r="AG47" i="18" s="1"/>
  <c r="AG48" i="18" s="1"/>
  <c r="AG49" i="18" s="1"/>
  <c r="AG50" i="18" s="1"/>
  <c r="AG51" i="18" s="1"/>
  <c r="AG52" i="18" s="1"/>
  <c r="AG53" i="18" s="1"/>
  <c r="AG54" i="18" s="1"/>
  <c r="AG55" i="18" s="1"/>
  <c r="AG56" i="18" s="1"/>
  <c r="AG57" i="18" s="1"/>
  <c r="AG58" i="18" s="1"/>
  <c r="AG59" i="18" s="1"/>
  <c r="AG60" i="18" s="1"/>
  <c r="AG61" i="18" s="1"/>
  <c r="AG62" i="18" s="1"/>
  <c r="AG63" i="18" s="1"/>
  <c r="AG64" i="18" s="1"/>
  <c r="AG65" i="18" s="1"/>
  <c r="AG66" i="18" s="1"/>
  <c r="AG67" i="18" s="1"/>
  <c r="AG68" i="18" s="1"/>
  <c r="AG69" i="18" s="1"/>
  <c r="AG70" i="18" s="1"/>
  <c r="AG71" i="18" s="1"/>
  <c r="AG72" i="18" s="1"/>
  <c r="AG73" i="18" s="1"/>
  <c r="AG74" i="18" s="1"/>
  <c r="AS30" i="18"/>
  <c r="AT20" i="18"/>
  <c r="AS19" i="18"/>
  <c r="AQ12" i="18"/>
  <c r="AR25" i="18"/>
  <c r="AQ20" i="18"/>
  <c r="AR20" i="18"/>
  <c r="AS20" i="18"/>
  <c r="AR27" i="18"/>
  <c r="AT30" i="18"/>
  <c r="AS31" i="18"/>
  <c r="AR28" i="18"/>
  <c r="AR21" i="18"/>
  <c r="AQ26" i="18"/>
  <c r="AR12" i="18"/>
  <c r="AS12" i="18"/>
  <c r="AS29" i="18"/>
  <c r="AR8" i="18"/>
  <c r="AQ17" i="18"/>
  <c r="AS5" i="18"/>
  <c r="AQ44" i="13"/>
  <c r="AS44" i="13"/>
  <c r="AT44" i="13"/>
  <c r="AR44" i="13"/>
  <c r="AS53" i="13"/>
  <c r="AT53" i="13"/>
  <c r="AR53" i="13"/>
  <c r="AQ53" i="13"/>
  <c r="AT40" i="13"/>
  <c r="AQ40" i="13"/>
  <c r="AR40" i="13"/>
  <c r="AS69" i="13"/>
  <c r="AR69" i="13"/>
  <c r="AT69" i="13"/>
  <c r="AQ69" i="13"/>
  <c r="AQ50" i="13"/>
  <c r="AT50" i="13"/>
  <c r="AR50" i="13"/>
  <c r="AS50" i="13"/>
  <c r="AQ45" i="13"/>
  <c r="AR45" i="13"/>
  <c r="AS45" i="13"/>
  <c r="AT45" i="13"/>
  <c r="AQ27" i="13"/>
  <c r="AR150" i="13"/>
  <c r="X166" i="27" s="1"/>
  <c r="AQ150" i="13"/>
  <c r="W166" i="27" s="1"/>
  <c r="AT150" i="13"/>
  <c r="Z166" i="27" s="1"/>
  <c r="AS150" i="13"/>
  <c r="Y166" i="27" s="1"/>
  <c r="AQ65" i="13"/>
  <c r="AT65" i="13"/>
  <c r="AS65" i="13"/>
  <c r="AR65" i="13"/>
  <c r="AQ124" i="13"/>
  <c r="W140" i="27" s="1"/>
  <c r="AT124" i="13"/>
  <c r="Z140" i="27" s="1"/>
  <c r="AS124" i="13"/>
  <c r="Y140" i="27" s="1"/>
  <c r="AR124" i="13"/>
  <c r="X140" i="27" s="1"/>
  <c r="AQ92" i="13"/>
  <c r="AS92" i="13"/>
  <c r="AT92" i="13"/>
  <c r="AR92" i="13"/>
  <c r="AQ151" i="13"/>
  <c r="W167" i="27" s="1"/>
  <c r="AR151" i="13"/>
  <c r="X167" i="27" s="1"/>
  <c r="AS151" i="13"/>
  <c r="Y167" i="27" s="1"/>
  <c r="AR142" i="13"/>
  <c r="X158" i="27" s="1"/>
  <c r="AS142" i="13"/>
  <c r="Y158" i="27" s="1"/>
  <c r="AT142" i="13"/>
  <c r="Z158" i="27" s="1"/>
  <c r="AQ142" i="13"/>
  <c r="W158" i="27" s="1"/>
  <c r="AQ114" i="13"/>
  <c r="W130" i="27" s="1"/>
  <c r="AR114" i="13"/>
  <c r="X130" i="27" s="1"/>
  <c r="AS114" i="13"/>
  <c r="Y130" i="27" s="1"/>
  <c r="AR54" i="13"/>
  <c r="AQ54" i="13"/>
  <c r="AT54" i="13"/>
  <c r="AS54" i="13"/>
  <c r="AQ154" i="13"/>
  <c r="W170" i="27" s="1"/>
  <c r="AT154" i="13"/>
  <c r="Z170" i="27" s="1"/>
  <c r="AS154" i="13"/>
  <c r="Y170" i="27" s="1"/>
  <c r="AR154" i="13"/>
  <c r="X170" i="27" s="1"/>
  <c r="AS117" i="13"/>
  <c r="Y133" i="27" s="1"/>
  <c r="AT117" i="13"/>
  <c r="Z133" i="27" s="1"/>
  <c r="AR117" i="13"/>
  <c r="X133" i="27" s="1"/>
  <c r="AQ117" i="13"/>
  <c r="W133" i="27" s="1"/>
  <c r="AS149" i="13"/>
  <c r="Y165" i="27" s="1"/>
  <c r="AR149" i="13"/>
  <c r="X165" i="27" s="1"/>
  <c r="AT149" i="13"/>
  <c r="Z165" i="27" s="1"/>
  <c r="AQ149" i="13"/>
  <c r="W165" i="27" s="1"/>
  <c r="AQ130" i="13"/>
  <c r="W146" i="27" s="1"/>
  <c r="AS130" i="13"/>
  <c r="Y146" i="27" s="1"/>
  <c r="AR130" i="13"/>
  <c r="X146" i="27" s="1"/>
  <c r="AQ136" i="13"/>
  <c r="W152" i="27" s="1"/>
  <c r="AR136" i="13"/>
  <c r="X152" i="27" s="1"/>
  <c r="AQ55" i="13"/>
  <c r="AS55" i="13"/>
  <c r="AR55" i="13"/>
  <c r="AS109" i="13"/>
  <c r="Y125" i="27" s="1"/>
  <c r="AR109" i="13"/>
  <c r="X125" i="27" s="1"/>
  <c r="AT109" i="13"/>
  <c r="Z125" i="27" s="1"/>
  <c r="AQ109" i="13"/>
  <c r="W125" i="27" s="1"/>
  <c r="AQ63" i="13"/>
  <c r="AS63" i="13"/>
  <c r="AR63" i="13"/>
  <c r="AT89" i="13"/>
  <c r="AR46" i="13"/>
  <c r="AQ46" i="13"/>
  <c r="AT46" i="13"/>
  <c r="AS46" i="13"/>
  <c r="AQ66" i="13"/>
  <c r="AT66" i="13"/>
  <c r="AS66" i="13"/>
  <c r="AR66" i="13"/>
  <c r="AQ67" i="13"/>
  <c r="AT67" i="13"/>
  <c r="AR67" i="13"/>
  <c r="AS67" i="13"/>
  <c r="AQ68" i="13"/>
  <c r="AT68" i="13"/>
  <c r="AS68" i="13"/>
  <c r="AR68" i="13"/>
  <c r="AQ143" i="13"/>
  <c r="W159" i="27" s="1"/>
  <c r="AS143" i="13"/>
  <c r="Y159" i="27" s="1"/>
  <c r="AR143" i="13"/>
  <c r="X159" i="27" s="1"/>
  <c r="AQ144" i="13"/>
  <c r="W160" i="27" s="1"/>
  <c r="AR144" i="13"/>
  <c r="X160" i="27" s="1"/>
  <c r="AR126" i="13"/>
  <c r="X142" i="27" s="1"/>
  <c r="AS126" i="13"/>
  <c r="Y142" i="27" s="1"/>
  <c r="AQ126" i="13"/>
  <c r="W142" i="27" s="1"/>
  <c r="AT126" i="13"/>
  <c r="Z142" i="27" s="1"/>
  <c r="AQ76" i="13"/>
  <c r="AS76" i="13"/>
  <c r="AT76" i="13"/>
  <c r="AR76" i="13"/>
  <c r="AQ152" i="13"/>
  <c r="W168" i="27" s="1"/>
  <c r="AR152" i="13"/>
  <c r="X168" i="27" s="1"/>
  <c r="AT144" i="13"/>
  <c r="Z160" i="27" s="1"/>
  <c r="AR121" i="13"/>
  <c r="X137" i="27" s="1"/>
  <c r="AQ121" i="13"/>
  <c r="W137" i="27" s="1"/>
  <c r="AS121" i="13"/>
  <c r="Y137" i="27" s="1"/>
  <c r="AQ88" i="13"/>
  <c r="AQ108" i="13"/>
  <c r="W124" i="27" s="1"/>
  <c r="AS108" i="13"/>
  <c r="Y124" i="27" s="1"/>
  <c r="AT108" i="13"/>
  <c r="Z124" i="27" s="1"/>
  <c r="AR108" i="13"/>
  <c r="X124" i="27" s="1"/>
  <c r="AT151" i="13"/>
  <c r="Z167" i="27" s="1"/>
  <c r="AR137" i="13"/>
  <c r="X153" i="27" s="1"/>
  <c r="AQ137" i="13"/>
  <c r="W153" i="27" s="1"/>
  <c r="AS137" i="13"/>
  <c r="Y153" i="27" s="1"/>
  <c r="AQ82" i="13"/>
  <c r="AT127" i="13"/>
  <c r="Z143" i="27" s="1"/>
  <c r="AQ120" i="13"/>
  <c r="W136" i="27" s="1"/>
  <c r="AR120" i="13"/>
  <c r="X136" i="27" s="1"/>
  <c r="AQ131" i="13"/>
  <c r="W147" i="27" s="1"/>
  <c r="AS131" i="13"/>
  <c r="Y147" i="27" s="1"/>
  <c r="AT131" i="13"/>
  <c r="Z147" i="27" s="1"/>
  <c r="AR131" i="13"/>
  <c r="X147" i="27" s="1"/>
  <c r="AQ122" i="13"/>
  <c r="W138" i="27" s="1"/>
  <c r="AR122" i="13"/>
  <c r="X138" i="27" s="1"/>
  <c r="AS122" i="13"/>
  <c r="Y138" i="27" s="1"/>
  <c r="AQ111" i="13"/>
  <c r="W127" i="27" s="1"/>
  <c r="AS111" i="13"/>
  <c r="Y127" i="27" s="1"/>
  <c r="AR111" i="13"/>
  <c r="X127" i="27" s="1"/>
  <c r="AT98" i="13"/>
  <c r="Z114" i="27" s="1"/>
  <c r="AR62" i="13"/>
  <c r="AT62" i="13"/>
  <c r="AS62" i="13"/>
  <c r="AQ62" i="13"/>
  <c r="AT139" i="13"/>
  <c r="Z155" i="27" s="1"/>
  <c r="AQ139" i="13"/>
  <c r="W155" i="27" s="1"/>
  <c r="AS139" i="13"/>
  <c r="Y155" i="27" s="1"/>
  <c r="AR139" i="13"/>
  <c r="X155" i="27" s="1"/>
  <c r="AR129" i="13"/>
  <c r="X145" i="27" s="1"/>
  <c r="AQ129" i="13"/>
  <c r="W145" i="27" s="1"/>
  <c r="AS129" i="13"/>
  <c r="Y145" i="27" s="1"/>
  <c r="AQ116" i="13"/>
  <c r="W132" i="27" s="1"/>
  <c r="AS116" i="13"/>
  <c r="Y132" i="27" s="1"/>
  <c r="AT116" i="13"/>
  <c r="Z132" i="27" s="1"/>
  <c r="AR116" i="13"/>
  <c r="X132" i="27" s="1"/>
  <c r="AR88" i="13"/>
  <c r="AS77" i="13"/>
  <c r="AR77" i="13"/>
  <c r="AT77" i="13"/>
  <c r="AQ77" i="13"/>
  <c r="AQ52" i="13"/>
  <c r="AS52" i="13"/>
  <c r="AT52" i="13"/>
  <c r="AR52" i="13"/>
  <c r="AQ147" i="13"/>
  <c r="W163" i="27" s="1"/>
  <c r="AR147" i="13"/>
  <c r="X163" i="27" s="1"/>
  <c r="AS147" i="13"/>
  <c r="Y163" i="27" s="1"/>
  <c r="AT147" i="13"/>
  <c r="Z163" i="27" s="1"/>
  <c r="AQ64" i="13"/>
  <c r="AT64" i="13"/>
  <c r="AR64" i="13"/>
  <c r="AQ59" i="13"/>
  <c r="AT59" i="13"/>
  <c r="AR59" i="13"/>
  <c r="AS59" i="13"/>
  <c r="AQ98" i="13"/>
  <c r="W114" i="27" s="1"/>
  <c r="AQ135" i="13"/>
  <c r="W151" i="27" s="1"/>
  <c r="AR135" i="13"/>
  <c r="X151" i="27" s="1"/>
  <c r="AS135" i="13"/>
  <c r="Y151" i="27" s="1"/>
  <c r="AS56" i="13"/>
  <c r="AT135" i="13"/>
  <c r="Z151" i="27" s="1"/>
  <c r="AQ99" i="13"/>
  <c r="W115" i="27" s="1"/>
  <c r="AS99" i="13"/>
  <c r="Y115" i="27" s="1"/>
  <c r="AT99" i="13"/>
  <c r="Z115" i="27" s="1"/>
  <c r="AR99" i="13"/>
  <c r="X115" i="27" s="1"/>
  <c r="AS64" i="13"/>
  <c r="AQ132" i="13"/>
  <c r="W148" i="27" s="1"/>
  <c r="AS132" i="13"/>
  <c r="Y148" i="27" s="1"/>
  <c r="AT132" i="13"/>
  <c r="Z148" i="27" s="1"/>
  <c r="AR27" i="13"/>
  <c r="AQ146" i="13"/>
  <c r="W162" i="27" s="1"/>
  <c r="AR146" i="13"/>
  <c r="X162" i="27" s="1"/>
  <c r="AS146" i="13"/>
  <c r="Y162" i="27" s="1"/>
  <c r="AR118" i="13"/>
  <c r="X134" i="27" s="1"/>
  <c r="AQ118" i="13"/>
  <c r="W134" i="27" s="1"/>
  <c r="AT118" i="13"/>
  <c r="Z134" i="27" s="1"/>
  <c r="AS118" i="13"/>
  <c r="Y134" i="27" s="1"/>
  <c r="AQ148" i="13"/>
  <c r="W164" i="27" s="1"/>
  <c r="AS148" i="13"/>
  <c r="Y164" i="27" s="1"/>
  <c r="AT148" i="13"/>
  <c r="Z164" i="27" s="1"/>
  <c r="AR148" i="13"/>
  <c r="X164" i="27" s="1"/>
  <c r="AQ73" i="13"/>
  <c r="AT73" i="13"/>
  <c r="AS73" i="13"/>
  <c r="AR73" i="13"/>
  <c r="AS40" i="13"/>
  <c r="AT128" i="13"/>
  <c r="Z144" i="27" s="1"/>
  <c r="AS93" i="13"/>
  <c r="AR93" i="13"/>
  <c r="AT93" i="13"/>
  <c r="AQ93" i="13"/>
  <c r="AR132" i="13"/>
  <c r="X148" i="27" s="1"/>
  <c r="AT119" i="13"/>
  <c r="Z135" i="27" s="1"/>
  <c r="AR110" i="13"/>
  <c r="X126" i="27" s="1"/>
  <c r="AS110" i="13"/>
  <c r="Y126" i="27" s="1"/>
  <c r="AT110" i="13"/>
  <c r="Z126" i="27" s="1"/>
  <c r="AQ110" i="13"/>
  <c r="W126" i="27" s="1"/>
  <c r="AQ95" i="13"/>
  <c r="AR95" i="13"/>
  <c r="AS95" i="13"/>
  <c r="AQ84" i="13"/>
  <c r="AT84" i="13"/>
  <c r="AS84" i="13"/>
  <c r="AR84" i="13"/>
  <c r="AQ51" i="13"/>
  <c r="AT51" i="13"/>
  <c r="AS51" i="13"/>
  <c r="AR51" i="13"/>
  <c r="AQ39" i="13"/>
  <c r="AS39" i="13"/>
  <c r="AR39" i="13"/>
  <c r="AR112" i="13"/>
  <c r="X128" i="27" s="1"/>
  <c r="AQ112" i="13"/>
  <c r="W128" i="27" s="1"/>
  <c r="AS82" i="13"/>
  <c r="AT72" i="13"/>
  <c r="AQ61" i="13"/>
  <c r="AT61" i="13"/>
  <c r="AS61" i="13"/>
  <c r="AR61" i="13"/>
  <c r="AT137" i="13"/>
  <c r="Z153" i="27" s="1"/>
  <c r="AQ87" i="13"/>
  <c r="AR87" i="13"/>
  <c r="AS87" i="13"/>
  <c r="AQ43" i="13"/>
  <c r="AT43" i="13"/>
  <c r="AR43" i="13"/>
  <c r="AS43" i="13"/>
  <c r="AT143" i="13"/>
  <c r="Z159" i="27" s="1"/>
  <c r="AQ119" i="13"/>
  <c r="W135" i="27" s="1"/>
  <c r="AR119" i="13"/>
  <c r="X135" i="27" s="1"/>
  <c r="AS119" i="13"/>
  <c r="Y135" i="27" s="1"/>
  <c r="AQ83" i="13"/>
  <c r="AT83" i="13"/>
  <c r="AR83" i="13"/>
  <c r="AS83" i="13"/>
  <c r="AR134" i="13"/>
  <c r="X150" i="27" s="1"/>
  <c r="AQ134" i="13"/>
  <c r="W150" i="27" s="1"/>
  <c r="AT134" i="13"/>
  <c r="Z150" i="27" s="1"/>
  <c r="AS134" i="13"/>
  <c r="Y150" i="27" s="1"/>
  <c r="AR82" i="13"/>
  <c r="AT82" i="13"/>
  <c r="AR153" i="13"/>
  <c r="X169" i="27" s="1"/>
  <c r="AQ153" i="13"/>
  <c r="W169" i="27" s="1"/>
  <c r="AS153" i="13"/>
  <c r="Y169" i="27" s="1"/>
  <c r="AS141" i="13"/>
  <c r="Y157" i="27" s="1"/>
  <c r="AR141" i="13"/>
  <c r="X157" i="27" s="1"/>
  <c r="AT141" i="13"/>
  <c r="Z157" i="27" s="1"/>
  <c r="AQ141" i="13"/>
  <c r="W157" i="27" s="1"/>
  <c r="AS133" i="13"/>
  <c r="Y149" i="27" s="1"/>
  <c r="AT133" i="13"/>
  <c r="Z149" i="27" s="1"/>
  <c r="AR133" i="13"/>
  <c r="X149" i="27" s="1"/>
  <c r="AQ133" i="13"/>
  <c r="W149" i="27" s="1"/>
  <c r="AQ107" i="13"/>
  <c r="W123" i="27" s="1"/>
  <c r="AT107" i="13"/>
  <c r="Z123" i="27" s="1"/>
  <c r="AS107" i="13"/>
  <c r="Y123" i="27" s="1"/>
  <c r="AR107" i="13"/>
  <c r="X123" i="27" s="1"/>
  <c r="AQ103" i="13"/>
  <c r="W119" i="27" s="1"/>
  <c r="AR103" i="13"/>
  <c r="X119" i="27" s="1"/>
  <c r="AS103" i="13"/>
  <c r="Y119" i="27" s="1"/>
  <c r="AQ74" i="13"/>
  <c r="AS74" i="13"/>
  <c r="AT74" i="13"/>
  <c r="AR74" i="13"/>
  <c r="AT115" i="13"/>
  <c r="Z131" i="27" s="1"/>
  <c r="AQ115" i="13"/>
  <c r="W131" i="27" s="1"/>
  <c r="AR115" i="13"/>
  <c r="X131" i="27" s="1"/>
  <c r="AS115" i="13"/>
  <c r="Y131" i="27" s="1"/>
  <c r="AS105" i="13"/>
  <c r="Y121" i="27" s="1"/>
  <c r="AQ105" i="13"/>
  <c r="W121" i="27" s="1"/>
  <c r="AT130" i="13"/>
  <c r="Z146" i="27" s="1"/>
  <c r="AR94" i="13"/>
  <c r="AS94" i="13"/>
  <c r="AT94" i="13"/>
  <c r="AQ94" i="13"/>
  <c r="AQ60" i="13"/>
  <c r="AT60" i="13"/>
  <c r="AS60" i="13"/>
  <c r="AR60" i="13"/>
  <c r="AT120" i="13"/>
  <c r="Z136" i="27" s="1"/>
  <c r="AS136" i="13"/>
  <c r="Y152" i="27" s="1"/>
  <c r="AR113" i="13"/>
  <c r="X129" i="27" s="1"/>
  <c r="AQ113" i="13"/>
  <c r="W129" i="27" s="1"/>
  <c r="AS113" i="13"/>
  <c r="Y129" i="27" s="1"/>
  <c r="AS98" i="13"/>
  <c r="Y114" i="27" s="1"/>
  <c r="AR86" i="13"/>
  <c r="AQ86" i="13"/>
  <c r="AS86" i="13"/>
  <c r="AT86" i="13"/>
  <c r="AQ42" i="13"/>
  <c r="AT42" i="13"/>
  <c r="AS42" i="13"/>
  <c r="AR42" i="13"/>
  <c r="AQ91" i="13"/>
  <c r="AT91" i="13"/>
  <c r="AR91" i="13"/>
  <c r="AS91" i="13"/>
  <c r="AT123" i="13"/>
  <c r="Z139" i="27" s="1"/>
  <c r="AQ123" i="13"/>
  <c r="W139" i="27" s="1"/>
  <c r="AR123" i="13"/>
  <c r="X139" i="27" s="1"/>
  <c r="AS123" i="13"/>
  <c r="Y139" i="27" s="1"/>
  <c r="AR70" i="13"/>
  <c r="AQ70" i="13"/>
  <c r="AT70" i="13"/>
  <c r="AS70" i="13"/>
  <c r="AQ127" i="13"/>
  <c r="W143" i="27" s="1"/>
  <c r="AS127" i="13"/>
  <c r="Y143" i="27" s="1"/>
  <c r="AR127" i="13"/>
  <c r="X143" i="27" s="1"/>
  <c r="AQ58" i="13"/>
  <c r="AT58" i="13"/>
  <c r="AS58" i="13"/>
  <c r="AR58" i="13"/>
  <c r="AS37" i="13"/>
  <c r="AR37" i="13"/>
  <c r="AT37" i="13"/>
  <c r="AQ37" i="13"/>
  <c r="AQ79" i="13"/>
  <c r="AS79" i="13"/>
  <c r="AR79" i="13"/>
  <c r="AR78" i="13"/>
  <c r="AT78" i="13"/>
  <c r="AQ78" i="13"/>
  <c r="AS78" i="13"/>
  <c r="AQ71" i="13"/>
  <c r="AS71" i="13"/>
  <c r="AR71" i="13"/>
  <c r="AT146" i="13"/>
  <c r="Z162" i="27" s="1"/>
  <c r="AQ104" i="13"/>
  <c r="W120" i="27" s="1"/>
  <c r="AR104" i="13"/>
  <c r="X120" i="27" s="1"/>
  <c r="AR145" i="13"/>
  <c r="X161" i="27" s="1"/>
  <c r="AQ145" i="13"/>
  <c r="W161" i="27" s="1"/>
  <c r="AS145" i="13"/>
  <c r="Y161" i="27" s="1"/>
  <c r="AR102" i="13"/>
  <c r="X118" i="27" s="1"/>
  <c r="AQ102" i="13"/>
  <c r="W118" i="27" s="1"/>
  <c r="AS102" i="13"/>
  <c r="Y118" i="27" s="1"/>
  <c r="AT102" i="13"/>
  <c r="Z118" i="27" s="1"/>
  <c r="AQ36" i="13"/>
  <c r="AS36" i="13"/>
  <c r="AT36" i="13"/>
  <c r="AR36" i="13"/>
  <c r="AR38" i="13"/>
  <c r="AQ38" i="13"/>
  <c r="AT38" i="13"/>
  <c r="AS38" i="13"/>
  <c r="AR81" i="13"/>
  <c r="AQ106" i="13"/>
  <c r="W122" i="27" s="1"/>
  <c r="AT106" i="13"/>
  <c r="Z122" i="27" s="1"/>
  <c r="AS106" i="13"/>
  <c r="Y122" i="27" s="1"/>
  <c r="AR106" i="13"/>
  <c r="X122" i="27" s="1"/>
  <c r="AT121" i="13"/>
  <c r="Z137" i="27" s="1"/>
  <c r="AQ97" i="13"/>
  <c r="W113" i="27" s="1"/>
  <c r="AS97" i="13"/>
  <c r="Y113" i="27" s="1"/>
  <c r="AQ48" i="13"/>
  <c r="AT48" i="13"/>
  <c r="AR98" i="13"/>
  <c r="X114" i="27" s="1"/>
  <c r="AS125" i="13"/>
  <c r="Y141" i="27" s="1"/>
  <c r="AR125" i="13"/>
  <c r="X141" i="27" s="1"/>
  <c r="AT125" i="13"/>
  <c r="Z141" i="27" s="1"/>
  <c r="AQ125" i="13"/>
  <c r="W141" i="27" s="1"/>
  <c r="AQ138" i="13"/>
  <c r="W154" i="27" s="1"/>
  <c r="AT138" i="13"/>
  <c r="Z154" i="27" s="1"/>
  <c r="AR138" i="13"/>
  <c r="X154" i="27" s="1"/>
  <c r="AS138" i="13"/>
  <c r="Y154" i="27" s="1"/>
  <c r="AQ56" i="13"/>
  <c r="AT56" i="13"/>
  <c r="AR56" i="13"/>
  <c r="AQ81" i="13"/>
  <c r="AT81" i="13"/>
  <c r="AS81" i="13"/>
  <c r="AQ100" i="13"/>
  <c r="W116" i="27" s="1"/>
  <c r="AT100" i="13"/>
  <c r="Z116" i="27" s="1"/>
  <c r="AS100" i="13"/>
  <c r="Y116" i="27" s="1"/>
  <c r="AR100" i="13"/>
  <c r="X116" i="27" s="1"/>
  <c r="AQ49" i="13"/>
  <c r="AT49" i="13"/>
  <c r="AS49" i="13"/>
  <c r="AR49" i="13"/>
  <c r="AS144" i="13"/>
  <c r="Y160" i="27" s="1"/>
  <c r="AQ89" i="13"/>
  <c r="AS89" i="13"/>
  <c r="AR128" i="13"/>
  <c r="X144" i="27" s="1"/>
  <c r="AQ128" i="13"/>
  <c r="W144" i="27" s="1"/>
  <c r="AS101" i="13"/>
  <c r="Y117" i="27" s="1"/>
  <c r="AR101" i="13"/>
  <c r="X117" i="27" s="1"/>
  <c r="AT101" i="13"/>
  <c r="Z117" i="27" s="1"/>
  <c r="AQ101" i="13"/>
  <c r="W117" i="27" s="1"/>
  <c r="AQ140" i="13"/>
  <c r="W156" i="27" s="1"/>
  <c r="AS140" i="13"/>
  <c r="Y156" i="27" s="1"/>
  <c r="AT140" i="13"/>
  <c r="Z156" i="27" s="1"/>
  <c r="AR140" i="13"/>
  <c r="X156" i="27" s="1"/>
  <c r="AT79" i="13"/>
  <c r="AQ47" i="13"/>
  <c r="AS47" i="13"/>
  <c r="AR47" i="13"/>
  <c r="AT103" i="13"/>
  <c r="Z119" i="27" s="1"/>
  <c r="AR90" i="13"/>
  <c r="AT90" i="13"/>
  <c r="AT55" i="13"/>
  <c r="AQ41" i="13"/>
  <c r="AT41" i="13"/>
  <c r="AR41" i="13"/>
  <c r="AS41" i="13"/>
  <c r="AS120" i="13"/>
  <c r="Y136" i="27" s="1"/>
  <c r="AQ96" i="13"/>
  <c r="W112" i="27" s="1"/>
  <c r="AR96" i="13"/>
  <c r="X112" i="27" s="1"/>
  <c r="AT96" i="13"/>
  <c r="Z112" i="27" s="1"/>
  <c r="AT71" i="13"/>
  <c r="AQ57" i="13"/>
  <c r="AT57" i="13"/>
  <c r="AR57" i="13"/>
  <c r="AS57" i="13"/>
  <c r="AF6" i="18"/>
  <c r="AF7" i="18" s="1"/>
  <c r="AF8" i="18" s="1"/>
  <c r="AF9" i="18" s="1"/>
  <c r="AF10" i="18" s="1"/>
  <c r="AF11" i="18" s="1"/>
  <c r="AF12" i="18" s="1"/>
  <c r="AS28" i="18"/>
  <c r="AT28" i="18"/>
  <c r="AT34" i="18"/>
  <c r="AQ21" i="18"/>
  <c r="AT9" i="18"/>
  <c r="AS33" i="18"/>
  <c r="AT33" i="18"/>
  <c r="AR10" i="18"/>
  <c r="AS8" i="18"/>
  <c r="AR14" i="18"/>
  <c r="AR32" i="18"/>
  <c r="AS6" i="18"/>
  <c r="AR19" i="18"/>
  <c r="AS32" i="18"/>
  <c r="AR18" i="18"/>
  <c r="AQ31" i="18"/>
  <c r="AS15" i="18"/>
  <c r="AT21" i="18"/>
  <c r="AQ5" i="18"/>
  <c r="AR5" i="18"/>
  <c r="AR22" i="18"/>
  <c r="AQ10" i="18"/>
  <c r="AT10" i="18"/>
  <c r="AH6" i="18"/>
  <c r="AH7" i="18" s="1"/>
  <c r="AH8" i="18" s="1"/>
  <c r="AH9" i="18" s="1"/>
  <c r="AH10" i="18" s="1"/>
  <c r="AQ22" i="18"/>
  <c r="AS10" i="18"/>
  <c r="AS22" i="18"/>
  <c r="AQ11" i="18"/>
  <c r="AR9" i="18"/>
  <c r="AR15" i="18"/>
  <c r="AS17" i="18"/>
  <c r="AQ33" i="18"/>
  <c r="AT5" i="18"/>
  <c r="AS18" i="18"/>
  <c r="AR17" i="18"/>
  <c r="AS34" i="18"/>
  <c r="AT32" i="18"/>
  <c r="AQ9" i="18"/>
  <c r="AT18" i="18"/>
  <c r="AT19" i="18"/>
  <c r="AT24" i="18"/>
  <c r="AQ8" i="18"/>
  <c r="AR34" i="18"/>
  <c r="AQ34" i="18"/>
  <c r="AT27" i="18"/>
  <c r="AY7" i="18"/>
  <c r="AY8" i="18" s="1"/>
  <c r="AY9" i="18" s="1"/>
  <c r="AY10" i="18" s="1"/>
  <c r="AY11" i="18" s="1"/>
  <c r="AY12" i="18" s="1"/>
  <c r="AY13" i="18" s="1"/>
  <c r="AY14" i="18" s="1"/>
  <c r="AY15" i="18" s="1"/>
  <c r="AY16" i="18" s="1"/>
  <c r="AY17" i="18" s="1"/>
  <c r="AY18" i="18" s="1"/>
  <c r="AY19" i="18" s="1"/>
  <c r="AY20" i="18" s="1"/>
  <c r="AY21" i="18" s="1"/>
  <c r="AY22" i="18" s="1"/>
  <c r="AY23" i="18" s="1"/>
  <c r="AY24" i="18" s="1"/>
  <c r="AY25" i="18" s="1"/>
  <c r="AY26" i="18" s="1"/>
  <c r="AY27" i="18" s="1"/>
  <c r="AY28" i="18" s="1"/>
  <c r="AY29" i="18" s="1"/>
  <c r="AY30" i="18" s="1"/>
  <c r="AY31" i="18" s="1"/>
  <c r="AY32" i="18" s="1"/>
  <c r="AY33" i="18" s="1"/>
  <c r="AY34" i="18" s="1"/>
  <c r="AY35" i="18" s="1"/>
  <c r="C123" i="18" s="1"/>
  <c r="AT17" i="18"/>
  <c r="AQ18" i="18"/>
  <c r="AS9" i="18"/>
  <c r="AS14" i="18"/>
  <c r="AQ27" i="18"/>
  <c r="AS27" i="18"/>
  <c r="AT31" i="18"/>
  <c r="AR6" i="18"/>
  <c r="AQ19" i="18"/>
  <c r="AT29" i="18"/>
  <c r="AR31" i="18"/>
  <c r="AQ6" i="18"/>
  <c r="AR16" i="18"/>
  <c r="AT6" i="18"/>
  <c r="AT12" i="18"/>
  <c r="AT16" i="18"/>
  <c r="AS16" i="18"/>
  <c r="AR29" i="18"/>
  <c r="AR7" i="18"/>
  <c r="AQ29" i="18"/>
  <c r="AT7" i="18"/>
  <c r="AQ7" i="18"/>
  <c r="AS7" i="18"/>
  <c r="AT13" i="18"/>
  <c r="AS25" i="18"/>
  <c r="AQ25" i="18"/>
  <c r="AR13" i="18"/>
  <c r="AT11" i="18"/>
  <c r="AS13" i="18"/>
  <c r="L40" i="27"/>
  <c r="L46" i="27"/>
  <c r="AT26" i="18"/>
  <c r="AS24" i="18"/>
  <c r="Q22" i="18"/>
  <c r="AR26" i="18"/>
  <c r="AR11" i="18"/>
  <c r="AS26" i="18"/>
  <c r="AT14" i="18"/>
  <c r="Q41" i="18"/>
  <c r="L42" i="27"/>
  <c r="AR24" i="18"/>
  <c r="AQ24" i="18"/>
  <c r="Q40" i="18"/>
  <c r="AS11" i="18"/>
  <c r="AQ13" i="18"/>
  <c r="AT22" i="18"/>
  <c r="Q29" i="18"/>
  <c r="Q21" i="18"/>
  <c r="Q43" i="18"/>
  <c r="Q28" i="18"/>
  <c r="Q61" i="18"/>
  <c r="Q62" i="18"/>
  <c r="Q56" i="18"/>
  <c r="Q57" i="18"/>
  <c r="Q30" i="18"/>
  <c r="Q35" i="18"/>
  <c r="Q23" i="18"/>
  <c r="K57" i="27"/>
  <c r="I57" i="27"/>
  <c r="H57" i="27"/>
  <c r="AB194" i="27"/>
  <c r="S32" i="27"/>
  <c r="Q176" i="27"/>
  <c r="R176" i="27" s="1"/>
  <c r="Q72" i="27"/>
  <c r="R72" i="27" s="1"/>
  <c r="Q175" i="27"/>
  <c r="R175" i="27" s="1"/>
  <c r="Q206" i="27"/>
  <c r="R206" i="27" s="1"/>
  <c r="Q174" i="27"/>
  <c r="R174" i="27" s="1"/>
  <c r="Q143" i="27"/>
  <c r="R143" i="27" s="1"/>
  <c r="Q201" i="27"/>
  <c r="R201" i="27" s="1"/>
  <c r="Q168" i="27"/>
  <c r="R168" i="27" s="1"/>
  <c r="Q136" i="27"/>
  <c r="R136" i="27" s="1"/>
  <c r="Q76" i="27"/>
  <c r="R76" i="27" s="1"/>
  <c r="Q158" i="27"/>
  <c r="R158" i="27" s="1"/>
  <c r="Q188" i="27"/>
  <c r="R188" i="27" s="1"/>
  <c r="Q216" i="27"/>
  <c r="R216" i="27" s="1"/>
  <c r="Q148" i="27"/>
  <c r="R148" i="27" s="1"/>
  <c r="Q215" i="27"/>
  <c r="R215" i="27" s="1"/>
  <c r="Q150" i="27"/>
  <c r="R150" i="27" s="1"/>
  <c r="Q194" i="27"/>
  <c r="R194" i="27" s="1"/>
  <c r="Q162" i="27"/>
  <c r="R162" i="27" s="1"/>
  <c r="Q221" i="27"/>
  <c r="R221" i="27" s="1"/>
  <c r="Q189" i="27"/>
  <c r="R189" i="27" s="1"/>
  <c r="Q157" i="27"/>
  <c r="R157" i="27" s="1"/>
  <c r="Q116" i="27"/>
  <c r="R116" i="27" s="1"/>
  <c r="Q52" i="27"/>
  <c r="R52" i="27" s="1"/>
  <c r="Q171" i="27"/>
  <c r="R171" i="27" s="1"/>
  <c r="Q169" i="27"/>
  <c r="R169" i="27" s="1"/>
  <c r="Q208" i="27"/>
  <c r="R208" i="27" s="1"/>
  <c r="Q145" i="27"/>
  <c r="R145" i="27" s="1"/>
  <c r="Q207" i="27"/>
  <c r="R207" i="27" s="1"/>
  <c r="Q147" i="27"/>
  <c r="R147" i="27" s="1"/>
  <c r="Q190" i="27"/>
  <c r="R190" i="27" s="1"/>
  <c r="Q159" i="27"/>
  <c r="R159" i="27" s="1"/>
  <c r="Q217" i="27"/>
  <c r="R217" i="27" s="1"/>
  <c r="Q185" i="27"/>
  <c r="R185" i="27" s="1"/>
  <c r="Q152" i="27"/>
  <c r="R152" i="27" s="1"/>
  <c r="Q108" i="27"/>
  <c r="R108" i="27" s="1"/>
  <c r="Q44" i="27"/>
  <c r="R44" i="27" s="1"/>
  <c r="Q204" i="27"/>
  <c r="R204" i="27" s="1"/>
  <c r="Q192" i="27"/>
  <c r="R192" i="27" s="1"/>
  <c r="Q104" i="27"/>
  <c r="R104" i="27" s="1"/>
  <c r="Q191" i="27"/>
  <c r="R191" i="27" s="1"/>
  <c r="Q214" i="27"/>
  <c r="R214" i="27" s="1"/>
  <c r="Q182" i="27"/>
  <c r="R182" i="27" s="1"/>
  <c r="Q151" i="27"/>
  <c r="R151" i="27" s="1"/>
  <c r="Q209" i="27"/>
  <c r="R209" i="27" s="1"/>
  <c r="Q177" i="27"/>
  <c r="R177" i="27" s="1"/>
  <c r="Q144" i="27"/>
  <c r="R144" i="27" s="1"/>
  <c r="Q92" i="27"/>
  <c r="R92" i="27" s="1"/>
  <c r="Q28" i="27"/>
  <c r="R28" i="27" s="1"/>
  <c r="Q172" i="27"/>
  <c r="R172" i="27" s="1"/>
  <c r="B58" i="27"/>
  <c r="Q44" i="18"/>
  <c r="Q25" i="18"/>
  <c r="Q46" i="18"/>
  <c r="Q45" i="18"/>
  <c r="Q34" i="18"/>
  <c r="Q32" i="18"/>
  <c r="Q31" i="18"/>
  <c r="AQ19" i="13"/>
  <c r="AR19" i="13"/>
  <c r="AT19" i="13"/>
  <c r="AS19" i="13"/>
  <c r="AQ17" i="13"/>
  <c r="AR17" i="13"/>
  <c r="AS17" i="13"/>
  <c r="AT17" i="13"/>
  <c r="AT10" i="13"/>
  <c r="AQ10" i="13"/>
  <c r="AS10" i="13"/>
  <c r="AR10" i="13"/>
  <c r="I35" i="27"/>
  <c r="J35" i="27"/>
  <c r="K35" i="27"/>
  <c r="H35" i="27"/>
  <c r="AS24" i="13"/>
  <c r="AT24" i="13"/>
  <c r="AR24" i="13"/>
  <c r="AQ24" i="13"/>
  <c r="AQ29" i="13"/>
  <c r="AR29" i="13"/>
  <c r="AT29" i="13"/>
  <c r="AS29" i="13"/>
  <c r="AQ21" i="13"/>
  <c r="AR21" i="13"/>
  <c r="AT21" i="13"/>
  <c r="AS21" i="13"/>
  <c r="AT12" i="13"/>
  <c r="AQ12" i="13"/>
  <c r="AS12" i="13"/>
  <c r="AR12" i="13"/>
  <c r="AS16" i="13"/>
  <c r="AT16" i="13"/>
  <c r="AR16" i="13"/>
  <c r="AQ16" i="13"/>
  <c r="AS20" i="13"/>
  <c r="AT20" i="13"/>
  <c r="AR20" i="13"/>
  <c r="AQ20" i="13"/>
  <c r="AS11" i="13"/>
  <c r="AT11" i="13"/>
  <c r="AR11" i="13"/>
  <c r="AQ11" i="13"/>
  <c r="AQ28" i="13"/>
  <c r="AR28" i="13"/>
  <c r="AT28" i="13"/>
  <c r="AS28" i="13"/>
  <c r="AS26" i="13"/>
  <c r="AT26" i="13"/>
  <c r="AR26" i="13"/>
  <c r="AQ26" i="13"/>
  <c r="AS32" i="13"/>
  <c r="AT32" i="13"/>
  <c r="AR32" i="13"/>
  <c r="AQ32" i="13"/>
  <c r="AY6" i="13"/>
  <c r="AY7" i="13" s="1"/>
  <c r="AY8" i="13" s="1"/>
  <c r="AY9" i="13" s="1"/>
  <c r="AY10" i="13" s="1"/>
  <c r="AY11" i="13" s="1"/>
  <c r="AY12" i="13" s="1"/>
  <c r="AY13" i="13" s="1"/>
  <c r="AY14" i="13" s="1"/>
  <c r="AY15" i="13" s="1"/>
  <c r="AY16" i="13" s="1"/>
  <c r="AY17" i="13" s="1"/>
  <c r="AY18" i="13" s="1"/>
  <c r="AY19" i="13" s="1"/>
  <c r="AY20" i="13" s="1"/>
  <c r="AY21" i="13" s="1"/>
  <c r="AY22" i="13" s="1"/>
  <c r="AY23" i="13" s="1"/>
  <c r="AY24" i="13" s="1"/>
  <c r="AY25" i="13" s="1"/>
  <c r="AY26" i="13" s="1"/>
  <c r="AY27" i="13" s="1"/>
  <c r="AY28" i="13" s="1"/>
  <c r="AY29" i="13" s="1"/>
  <c r="AY30" i="13" s="1"/>
  <c r="AY31" i="13" s="1"/>
  <c r="AY32" i="13" s="1"/>
  <c r="AY33" i="13" s="1"/>
  <c r="AY34" i="13" s="1"/>
  <c r="AY35" i="13" s="1"/>
  <c r="C123" i="13" s="1"/>
  <c r="AS6" i="13"/>
  <c r="AT6" i="13"/>
  <c r="AQ6" i="13"/>
  <c r="AR6" i="13"/>
  <c r="AS9" i="13"/>
  <c r="AT9" i="13"/>
  <c r="AR9" i="13"/>
  <c r="AQ9" i="13"/>
  <c r="AQ14" i="13"/>
  <c r="AR14" i="13"/>
  <c r="AS14" i="13"/>
  <c r="AT14" i="13"/>
  <c r="AQ7" i="13"/>
  <c r="AR7" i="13"/>
  <c r="AS7" i="13"/>
  <c r="AT7" i="13"/>
  <c r="AQ8" i="13"/>
  <c r="AR8" i="13"/>
  <c r="AT8" i="13"/>
  <c r="AS8" i="13"/>
  <c r="AT25" i="13"/>
  <c r="AQ25" i="13"/>
  <c r="AR25" i="13"/>
  <c r="AS25" i="13"/>
  <c r="AF6" i="13"/>
  <c r="AG6" i="13"/>
  <c r="AG7" i="13" s="1"/>
  <c r="AG8" i="13" s="1"/>
  <c r="AG9" i="13" s="1"/>
  <c r="AG10" i="13" s="1"/>
  <c r="AG11" i="13" s="1"/>
  <c r="AG12" i="13" s="1"/>
  <c r="AG13" i="13" s="1"/>
  <c r="AG14" i="13" s="1"/>
  <c r="AG15" i="13" s="1"/>
  <c r="AG16" i="13" s="1"/>
  <c r="AG17" i="13" s="1"/>
  <c r="AG18" i="13" s="1"/>
  <c r="AG19" i="13" s="1"/>
  <c r="AG20" i="13" s="1"/>
  <c r="AG21" i="13" s="1"/>
  <c r="AG22" i="13" s="1"/>
  <c r="AG23" i="13" s="1"/>
  <c r="AG24" i="13" s="1"/>
  <c r="AG25" i="13" s="1"/>
  <c r="AG26" i="13" s="1"/>
  <c r="AG27" i="13" s="1"/>
  <c r="AG28" i="13" s="1"/>
  <c r="AG29" i="13" s="1"/>
  <c r="AG30" i="13" s="1"/>
  <c r="AG31" i="13" s="1"/>
  <c r="AG32" i="13" s="1"/>
  <c r="AG33" i="13" s="1"/>
  <c r="AG34" i="13" s="1"/>
  <c r="AG35" i="13" s="1"/>
  <c r="AG36" i="13" s="1"/>
  <c r="AG37" i="13" s="1"/>
  <c r="AG38" i="13" s="1"/>
  <c r="AG39" i="13" s="1"/>
  <c r="AG40" i="13" s="1"/>
  <c r="AG41" i="13" s="1"/>
  <c r="AG42" i="13" s="1"/>
  <c r="AG43" i="13" s="1"/>
  <c r="AG44" i="13" s="1"/>
  <c r="AG45" i="13" s="1"/>
  <c r="AG46" i="13" s="1"/>
  <c r="AG47" i="13" s="1"/>
  <c r="AG48" i="13" s="1"/>
  <c r="AG49" i="13" s="1"/>
  <c r="AG50" i="13" s="1"/>
  <c r="AG51" i="13" s="1"/>
  <c r="AG52" i="13" s="1"/>
  <c r="AG53" i="13" s="1"/>
  <c r="AG54" i="13" s="1"/>
  <c r="AG55" i="13" s="1"/>
  <c r="AG56" i="13" s="1"/>
  <c r="AG57" i="13" s="1"/>
  <c r="AG58" i="13" s="1"/>
  <c r="AG59" i="13" s="1"/>
  <c r="AG60" i="13" s="1"/>
  <c r="AG61" i="13" s="1"/>
  <c r="AG62" i="13" s="1"/>
  <c r="AG63" i="13" s="1"/>
  <c r="AG64" i="13" s="1"/>
  <c r="AG65" i="13" s="1"/>
  <c r="AG66" i="13" s="1"/>
  <c r="AG67" i="13" s="1"/>
  <c r="AG68" i="13" s="1"/>
  <c r="AG69" i="13" s="1"/>
  <c r="AG70" i="13" s="1"/>
  <c r="AG71" i="13" s="1"/>
  <c r="AG72" i="13" s="1"/>
  <c r="AG73" i="13" s="1"/>
  <c r="AG74" i="13" s="1"/>
  <c r="AH6" i="13"/>
  <c r="AH7" i="13" s="1"/>
  <c r="AH8" i="13" s="1"/>
  <c r="AH9" i="13" s="1"/>
  <c r="AH10" i="13" s="1"/>
  <c r="AH11" i="13" s="1"/>
  <c r="AH12" i="13" s="1"/>
  <c r="AH13" i="13" s="1"/>
  <c r="AH14" i="13" s="1"/>
  <c r="AH15" i="13" s="1"/>
  <c r="AH16" i="13" s="1"/>
  <c r="AH17" i="13" s="1"/>
  <c r="AH18" i="13" s="1"/>
  <c r="AH19" i="13" s="1"/>
  <c r="AH20" i="13" s="1"/>
  <c r="AH21" i="13" s="1"/>
  <c r="AH22" i="13" s="1"/>
  <c r="AH23" i="13" s="1"/>
  <c r="AH24" i="13" s="1"/>
  <c r="AH25" i="13" s="1"/>
  <c r="AH26" i="13" s="1"/>
  <c r="AH27" i="13" s="1"/>
  <c r="AH28" i="13" s="1"/>
  <c r="AH29" i="13" s="1"/>
  <c r="AH30" i="13" s="1"/>
  <c r="AH31" i="13" s="1"/>
  <c r="AH32" i="13" s="1"/>
  <c r="AH33" i="13" s="1"/>
  <c r="AH34" i="13" s="1"/>
  <c r="AH35" i="13" s="1"/>
  <c r="AH36" i="13" s="1"/>
  <c r="AH37" i="13" s="1"/>
  <c r="AH38" i="13" s="1"/>
  <c r="AH39" i="13" s="1"/>
  <c r="AH40" i="13" s="1"/>
  <c r="AH41" i="13" s="1"/>
  <c r="AH42" i="13" s="1"/>
  <c r="AH43" i="13" s="1"/>
  <c r="AH44" i="13" s="1"/>
  <c r="AH45" i="13" s="1"/>
  <c r="AH46" i="13" s="1"/>
  <c r="AH47" i="13" s="1"/>
  <c r="AH48" i="13" s="1"/>
  <c r="AH49" i="13" s="1"/>
  <c r="AH50" i="13" s="1"/>
  <c r="AH51" i="13" s="1"/>
  <c r="AH52" i="13" s="1"/>
  <c r="AH53" i="13" s="1"/>
  <c r="AH54" i="13" s="1"/>
  <c r="AH55" i="13" s="1"/>
  <c r="AH56" i="13" s="1"/>
  <c r="AH57" i="13" s="1"/>
  <c r="AH58" i="13" s="1"/>
  <c r="AH59" i="13" s="1"/>
  <c r="AH60" i="13" s="1"/>
  <c r="AH61" i="13" s="1"/>
  <c r="AH62" i="13" s="1"/>
  <c r="AH63" i="13" s="1"/>
  <c r="AH64" i="13" s="1"/>
  <c r="AH65" i="13" s="1"/>
  <c r="AH66" i="13" s="1"/>
  <c r="AH67" i="13" s="1"/>
  <c r="AH68" i="13" s="1"/>
  <c r="AH69" i="13" s="1"/>
  <c r="AH70" i="13" s="1"/>
  <c r="AH71" i="13" s="1"/>
  <c r="AH72" i="13" s="1"/>
  <c r="AH73" i="13" s="1"/>
  <c r="AH74" i="13" s="1"/>
  <c r="AT35" i="13"/>
  <c r="AS35" i="13"/>
  <c r="AR35" i="13"/>
  <c r="AQ35" i="13"/>
  <c r="AT23" i="13"/>
  <c r="AQ23" i="13"/>
  <c r="AS23" i="13"/>
  <c r="AR23" i="13"/>
  <c r="AT22" i="13"/>
  <c r="AQ22" i="13"/>
  <c r="AR22" i="13"/>
  <c r="AS22" i="13"/>
  <c r="H23" i="27"/>
  <c r="K23" i="27"/>
  <c r="J23" i="27"/>
  <c r="I23" i="27"/>
  <c r="AQ18" i="13"/>
  <c r="AR18" i="13"/>
  <c r="AS18" i="13"/>
  <c r="AT18" i="13"/>
  <c r="AQ13" i="13"/>
  <c r="AR13" i="13"/>
  <c r="AS13" i="13"/>
  <c r="AT13" i="13"/>
  <c r="AS5" i="13"/>
  <c r="AT5" i="13"/>
  <c r="AR5" i="13"/>
  <c r="AQ5" i="13"/>
  <c r="AS33" i="13"/>
  <c r="AT33" i="13"/>
  <c r="AR33" i="13"/>
  <c r="AQ33" i="13"/>
  <c r="AS30" i="13"/>
  <c r="AT30" i="13"/>
  <c r="AR30" i="13"/>
  <c r="AQ30" i="13"/>
  <c r="AS34" i="13"/>
  <c r="AT34" i="13"/>
  <c r="AR34" i="13"/>
  <c r="AQ34" i="13"/>
  <c r="AT15" i="13"/>
  <c r="AQ15" i="13"/>
  <c r="AS15" i="13"/>
  <c r="AR15" i="13"/>
  <c r="AS31" i="13"/>
  <c r="AT31" i="13"/>
  <c r="AR31" i="13"/>
  <c r="AQ31" i="13"/>
  <c r="AB197" i="27"/>
  <c r="AB212" i="27"/>
  <c r="AB219" i="27"/>
  <c r="AB196" i="27"/>
  <c r="AB210" i="27"/>
  <c r="Y5" i="18"/>
  <c r="S43" i="27"/>
  <c r="S107" i="27"/>
  <c r="S85" i="27"/>
  <c r="S96" i="27"/>
  <c r="S75" i="27"/>
  <c r="S128" i="27"/>
  <c r="S64" i="27"/>
  <c r="S117" i="27"/>
  <c r="S53" i="27"/>
  <c r="S123" i="27"/>
  <c r="S59" i="27"/>
  <c r="S112" i="27"/>
  <c r="S48" i="27"/>
  <c r="S101" i="27"/>
  <c r="S37" i="27"/>
  <c r="S91" i="27"/>
  <c r="S27" i="27"/>
  <c r="S80" i="27"/>
  <c r="S133" i="27"/>
  <c r="S69" i="27"/>
  <c r="K6" i="13"/>
  <c r="J7" i="13"/>
  <c r="Q48" i="18"/>
  <c r="Q39" i="18"/>
  <c r="Q37" i="18"/>
  <c r="Q24" i="18"/>
  <c r="Q33" i="18"/>
  <c r="Q47" i="18"/>
  <c r="Q26" i="18"/>
  <c r="D5" i="27"/>
  <c r="P12" i="24" s="1"/>
  <c r="AB206" i="27"/>
  <c r="AB190" i="27"/>
  <c r="AB209" i="27"/>
  <c r="AB193" i="27"/>
  <c r="AB208" i="27"/>
  <c r="AB192" i="27"/>
  <c r="J9" i="19"/>
  <c r="K8" i="19"/>
  <c r="O8" i="19" s="1"/>
  <c r="K7" i="19"/>
  <c r="O7" i="19" s="1"/>
  <c r="K6" i="19"/>
  <c r="O6" i="19" s="1"/>
  <c r="AB183" i="27"/>
  <c r="AB199" i="27"/>
  <c r="AB215" i="27"/>
  <c r="AB187" i="27"/>
  <c r="AB218" i="27"/>
  <c r="AB202" i="27"/>
  <c r="AB186" i="27"/>
  <c r="AB221" i="27"/>
  <c r="AB205" i="27"/>
  <c r="AB189" i="27"/>
  <c r="AB220" i="27"/>
  <c r="AB204" i="27"/>
  <c r="AB188" i="27"/>
  <c r="AB191" i="27"/>
  <c r="AB211" i="27"/>
  <c r="AB203" i="27"/>
  <c r="AB214" i="27"/>
  <c r="AB198" i="27"/>
  <c r="AB182" i="27"/>
  <c r="AB217" i="27"/>
  <c r="AB201" i="27"/>
  <c r="AB185" i="27"/>
  <c r="AB216" i="27"/>
  <c r="AB200" i="27"/>
  <c r="AB184" i="27"/>
  <c r="AB207" i="27"/>
  <c r="L66" i="27"/>
  <c r="L55" i="27"/>
  <c r="L56" i="27"/>
  <c r="S119" i="27"/>
  <c r="S103" i="27"/>
  <c r="S87" i="27"/>
  <c r="S71" i="27"/>
  <c r="S55" i="27"/>
  <c r="S39" i="27"/>
  <c r="S26" i="27"/>
  <c r="S124" i="27"/>
  <c r="S108" i="27"/>
  <c r="S92" i="27"/>
  <c r="S76" i="27"/>
  <c r="S60" i="27"/>
  <c r="S44" i="27"/>
  <c r="S28" i="27"/>
  <c r="S129" i="27"/>
  <c r="S113" i="27"/>
  <c r="S97" i="27"/>
  <c r="S81" i="27"/>
  <c r="S65" i="27"/>
  <c r="S49" i="27"/>
  <c r="S33" i="27"/>
  <c r="S131" i="27"/>
  <c r="S115" i="27"/>
  <c r="S99" i="27"/>
  <c r="S83" i="27"/>
  <c r="S67" i="27"/>
  <c r="S51" i="27"/>
  <c r="S35" i="27"/>
  <c r="S25" i="27"/>
  <c r="S120" i="27"/>
  <c r="S104" i="27"/>
  <c r="S88" i="27"/>
  <c r="S72" i="27"/>
  <c r="S56" i="27"/>
  <c r="S40" i="27"/>
  <c r="S23" i="27"/>
  <c r="S125" i="27"/>
  <c r="S109" i="27"/>
  <c r="S93" i="27"/>
  <c r="S77" i="27"/>
  <c r="S61" i="27"/>
  <c r="S45" i="27"/>
  <c r="S29" i="27"/>
  <c r="S127" i="27"/>
  <c r="S111" i="27"/>
  <c r="S95" i="27"/>
  <c r="S79" i="27"/>
  <c r="S63" i="27"/>
  <c r="S47" i="27"/>
  <c r="S31" i="27"/>
  <c r="S132" i="27"/>
  <c r="S116" i="27"/>
  <c r="S100" i="27"/>
  <c r="S84" i="27"/>
  <c r="S68" i="27"/>
  <c r="S52" i="27"/>
  <c r="S36" i="27"/>
  <c r="S21" i="27"/>
  <c r="S121" i="27"/>
  <c r="S105" i="27"/>
  <c r="S89" i="27"/>
  <c r="S73" i="27"/>
  <c r="S57" i="27"/>
  <c r="S41" i="27"/>
  <c r="S137" i="27"/>
  <c r="S142" i="27"/>
  <c r="S145" i="27"/>
  <c r="S150" i="27"/>
  <c r="S153" i="27"/>
  <c r="S158" i="27"/>
  <c r="S161" i="27"/>
  <c r="S166" i="27"/>
  <c r="S169" i="27"/>
  <c r="S173" i="27"/>
  <c r="S177" i="27"/>
  <c r="S181" i="27"/>
  <c r="S185" i="27"/>
  <c r="S189" i="27"/>
  <c r="S193" i="27"/>
  <c r="S197" i="27"/>
  <c r="S201" i="27"/>
  <c r="S205" i="27"/>
  <c r="S209" i="27"/>
  <c r="S213" i="27"/>
  <c r="S217" i="27"/>
  <c r="S221" i="27"/>
  <c r="S30" i="27"/>
  <c r="S38" i="27"/>
  <c r="S46" i="27"/>
  <c r="S54" i="27"/>
  <c r="S62" i="27"/>
  <c r="S70" i="27"/>
  <c r="S78" i="27"/>
  <c r="S86" i="27"/>
  <c r="S94" i="27"/>
  <c r="S102" i="27"/>
  <c r="S110" i="27"/>
  <c r="S118" i="27"/>
  <c r="S126" i="27"/>
  <c r="S136" i="27"/>
  <c r="S139" i="27"/>
  <c r="S144" i="27"/>
  <c r="S147" i="27"/>
  <c r="S152" i="27"/>
  <c r="S155" i="27"/>
  <c r="S160" i="27"/>
  <c r="S163" i="27"/>
  <c r="S168" i="27"/>
  <c r="S171" i="27"/>
  <c r="S174" i="27"/>
  <c r="S178" i="27"/>
  <c r="S182" i="27"/>
  <c r="S186" i="27"/>
  <c r="S190" i="27"/>
  <c r="S194" i="27"/>
  <c r="S198" i="27"/>
  <c r="S202" i="27"/>
  <c r="S206" i="27"/>
  <c r="S210" i="27"/>
  <c r="S214" i="27"/>
  <c r="S218" i="27"/>
  <c r="S34" i="27"/>
  <c r="S50" i="27"/>
  <c r="S66" i="27"/>
  <c r="S82" i="27"/>
  <c r="S98" i="27"/>
  <c r="S114" i="27"/>
  <c r="S130" i="27"/>
  <c r="S140" i="27"/>
  <c r="S143" i="27"/>
  <c r="S156" i="27"/>
  <c r="S159" i="27"/>
  <c r="S172" i="27"/>
  <c r="S180" i="27"/>
  <c r="S188" i="27"/>
  <c r="S196" i="27"/>
  <c r="S204" i="27"/>
  <c r="S212" i="27"/>
  <c r="S220" i="27"/>
  <c r="S134" i="27"/>
  <c r="S138" i="27"/>
  <c r="S141" i="27"/>
  <c r="S154" i="27"/>
  <c r="S157" i="27"/>
  <c r="S170" i="27"/>
  <c r="S175" i="27"/>
  <c r="S183" i="27"/>
  <c r="S191" i="27"/>
  <c r="S199" i="27"/>
  <c r="S207" i="27"/>
  <c r="S215" i="27"/>
  <c r="S146" i="27"/>
  <c r="S165" i="27"/>
  <c r="S187" i="27"/>
  <c r="S203" i="27"/>
  <c r="S219" i="27"/>
  <c r="S42" i="27"/>
  <c r="S74" i="27"/>
  <c r="S106" i="27"/>
  <c r="S135" i="27"/>
  <c r="S148" i="27"/>
  <c r="S167" i="27"/>
  <c r="S176" i="27"/>
  <c r="S192" i="27"/>
  <c r="S208" i="27"/>
  <c r="S22" i="27"/>
  <c r="S149" i="27"/>
  <c r="S162" i="27"/>
  <c r="S179" i="27"/>
  <c r="S195" i="27"/>
  <c r="S211" i="27"/>
  <c r="S58" i="27"/>
  <c r="S90" i="27"/>
  <c r="S122" i="27"/>
  <c r="S151" i="27"/>
  <c r="S164" i="27"/>
  <c r="S184" i="27"/>
  <c r="S200" i="27"/>
  <c r="S216" i="27"/>
  <c r="L24" i="27"/>
  <c r="L31" i="27"/>
  <c r="L25" i="27"/>
  <c r="L29" i="27"/>
  <c r="L33" i="27"/>
  <c r="L34" i="27"/>
  <c r="L27" i="27"/>
  <c r="L30" i="27"/>
  <c r="L26" i="27"/>
  <c r="L28" i="27"/>
  <c r="L32" i="27"/>
  <c r="Q49" i="18"/>
  <c r="Q53" i="18"/>
  <c r="Q52" i="18"/>
  <c r="Q54" i="18"/>
  <c r="Q51" i="18"/>
  <c r="Q55" i="18"/>
  <c r="Q50" i="18"/>
  <c r="R7" i="18"/>
  <c r="S6" i="18"/>
  <c r="T6" i="18" s="1"/>
  <c r="X6" i="18" s="1"/>
  <c r="K6" i="18"/>
  <c r="O6" i="18" s="1"/>
  <c r="J7" i="18"/>
  <c r="L41" i="27"/>
  <c r="L43" i="27"/>
  <c r="L45" i="27"/>
  <c r="L47" i="27"/>
  <c r="J98" i="21" l="1"/>
  <c r="K97" i="21"/>
  <c r="O97" i="21" s="1"/>
  <c r="L72" i="27"/>
  <c r="AR85" i="18"/>
  <c r="AQ85" i="18"/>
  <c r="AT85" i="18"/>
  <c r="AS85" i="18"/>
  <c r="AF92" i="20"/>
  <c r="AI91" i="20"/>
  <c r="S92" i="20"/>
  <c r="R93" i="20"/>
  <c r="T91" i="20"/>
  <c r="X91" i="20" s="1"/>
  <c r="Y91" i="20" s="1"/>
  <c r="L78" i="27"/>
  <c r="S86" i="21"/>
  <c r="T86" i="21" s="1"/>
  <c r="X86" i="21" s="1"/>
  <c r="Y86" i="21" s="1"/>
  <c r="R87" i="21"/>
  <c r="AF89" i="21"/>
  <c r="AI88" i="21"/>
  <c r="X189" i="13"/>
  <c r="X184" i="13"/>
  <c r="X173" i="13"/>
  <c r="X166" i="13"/>
  <c r="X181" i="13"/>
  <c r="X188" i="13"/>
  <c r="O6" i="13"/>
  <c r="AG75" i="18"/>
  <c r="AG76" i="18" s="1"/>
  <c r="AG77" i="18" s="1"/>
  <c r="AG78" i="18" s="1"/>
  <c r="AG79" i="18" s="1"/>
  <c r="AG80" i="18" s="1"/>
  <c r="AG81" i="18" s="1"/>
  <c r="AG82" i="18" s="1"/>
  <c r="AG83" i="18" s="1"/>
  <c r="AG84" i="18" s="1"/>
  <c r="AG85" i="18" s="1"/>
  <c r="AG86" i="18" s="1"/>
  <c r="AG87" i="18" s="1"/>
  <c r="AG88" i="18" s="1"/>
  <c r="AG89" i="18" s="1"/>
  <c r="AG90" i="18" s="1"/>
  <c r="AG91" i="18" s="1"/>
  <c r="AG92" i="18" s="1"/>
  <c r="AG93" i="18" s="1"/>
  <c r="AG94" i="18" s="1"/>
  <c r="AG95" i="18" s="1"/>
  <c r="AG96" i="18" s="1"/>
  <c r="AG97" i="18" s="1"/>
  <c r="AG98" i="18" s="1"/>
  <c r="AG99" i="18" s="1"/>
  <c r="AG100" i="18" s="1"/>
  <c r="AG101" i="18" s="1"/>
  <c r="AG102" i="18" s="1"/>
  <c r="AG103" i="18" s="1"/>
  <c r="AG104" i="18" s="1"/>
  <c r="AG105" i="18" s="1"/>
  <c r="AG106" i="18" s="1"/>
  <c r="AG107" i="18" s="1"/>
  <c r="AG108" i="18" s="1"/>
  <c r="AG109" i="18" s="1"/>
  <c r="AG110" i="18" s="1"/>
  <c r="AG111" i="18" s="1"/>
  <c r="AG112" i="18" s="1"/>
  <c r="AG113" i="18" s="1"/>
  <c r="AG114" i="18" s="1"/>
  <c r="AG115" i="18" s="1"/>
  <c r="AG116" i="18" s="1"/>
  <c r="AG117" i="18" s="1"/>
  <c r="AG118" i="18" s="1"/>
  <c r="AG119" i="18" s="1"/>
  <c r="AG120" i="18" s="1"/>
  <c r="AG121" i="18" s="1"/>
  <c r="AG122" i="18" s="1"/>
  <c r="AG123" i="18" s="1"/>
  <c r="AG124" i="18" s="1"/>
  <c r="AG125" i="18" s="1"/>
  <c r="AG126" i="18" s="1"/>
  <c r="AG127" i="18" s="1"/>
  <c r="AG128" i="18" s="1"/>
  <c r="AG129" i="18" s="1"/>
  <c r="AG130" i="18" s="1"/>
  <c r="AG131" i="18" s="1"/>
  <c r="AG132" i="18" s="1"/>
  <c r="AG133" i="18" s="1"/>
  <c r="AG134" i="18" s="1"/>
  <c r="AG135" i="18" s="1"/>
  <c r="AG136" i="18" s="1"/>
  <c r="AG137" i="18" s="1"/>
  <c r="AG138" i="18" s="1"/>
  <c r="AG139" i="18" s="1"/>
  <c r="AG140" i="18" s="1"/>
  <c r="AG141" i="18" s="1"/>
  <c r="AG142" i="18" s="1"/>
  <c r="AG143" i="18" s="1"/>
  <c r="AG144" i="18" s="1"/>
  <c r="AG145" i="18" s="1"/>
  <c r="AG146" i="18" s="1"/>
  <c r="AG147" i="18" s="1"/>
  <c r="AG148" i="18" s="1"/>
  <c r="AG149" i="18" s="1"/>
  <c r="AG150" i="18" s="1"/>
  <c r="AG151" i="18" s="1"/>
  <c r="AG152" i="18" s="1"/>
  <c r="AG153" i="18" s="1"/>
  <c r="AG154" i="18" s="1"/>
  <c r="AG155" i="18" s="1"/>
  <c r="AG156" i="18" s="1"/>
  <c r="AG157" i="18" s="1"/>
  <c r="AG158" i="18" s="1"/>
  <c r="AG159" i="18" s="1"/>
  <c r="AG160" i="18" s="1"/>
  <c r="AG161" i="18" s="1"/>
  <c r="AG162" i="18" s="1"/>
  <c r="AG163" i="18" s="1"/>
  <c r="AG164" i="18" s="1"/>
  <c r="AG165" i="18" s="1"/>
  <c r="AG166" i="18" s="1"/>
  <c r="AG167" i="18" s="1"/>
  <c r="AG168" i="18" s="1"/>
  <c r="AG169" i="18" s="1"/>
  <c r="AG170" i="18" s="1"/>
  <c r="AG171" i="18" s="1"/>
  <c r="AG172" i="18" s="1"/>
  <c r="AG173" i="18" s="1"/>
  <c r="AG174" i="18" s="1"/>
  <c r="AG175" i="18" s="1"/>
  <c r="AG176" i="18" s="1"/>
  <c r="AG177" i="18" s="1"/>
  <c r="AG178" i="18" s="1"/>
  <c r="AG179" i="18" s="1"/>
  <c r="AG180" i="18" s="1"/>
  <c r="AG181" i="18" s="1"/>
  <c r="AG182" i="18" s="1"/>
  <c r="AG183" i="18" s="1"/>
  <c r="AG184" i="18" s="1"/>
  <c r="AG185" i="18" s="1"/>
  <c r="AG186" i="18" s="1"/>
  <c r="AG187" i="18" s="1"/>
  <c r="AG188" i="18" s="1"/>
  <c r="AG189" i="18" s="1"/>
  <c r="AG190" i="18" s="1"/>
  <c r="AG191" i="18" s="1"/>
  <c r="AG192" i="18" s="1"/>
  <c r="AG193" i="18" s="1"/>
  <c r="AG194" i="18" s="1"/>
  <c r="AG195" i="18" s="1"/>
  <c r="AG196" i="18" s="1"/>
  <c r="AG197" i="18" s="1"/>
  <c r="AG198" i="18" s="1"/>
  <c r="AG199" i="18" s="1"/>
  <c r="AG200" i="18" s="1"/>
  <c r="AG201" i="18" s="1"/>
  <c r="AG202" i="18" s="1"/>
  <c r="AG203" i="18" s="1"/>
  <c r="AG204" i="18" s="1"/>
  <c r="AG205" i="18" s="1"/>
  <c r="K8" i="26"/>
  <c r="O8" i="26" s="1"/>
  <c r="J9" i="26"/>
  <c r="S8" i="26"/>
  <c r="T8" i="26" s="1"/>
  <c r="X8" i="26" s="1"/>
  <c r="R9" i="26"/>
  <c r="T7" i="26"/>
  <c r="X7" i="26" s="1"/>
  <c r="B97" i="27"/>
  <c r="B96" i="27"/>
  <c r="L95" i="27"/>
  <c r="L80" i="27"/>
  <c r="X199" i="13"/>
  <c r="X202" i="13"/>
  <c r="X182" i="13"/>
  <c r="X177" i="13"/>
  <c r="X196" i="13"/>
  <c r="X170" i="13"/>
  <c r="X180" i="13"/>
  <c r="X191" i="13"/>
  <c r="X183" i="13"/>
  <c r="X185" i="13"/>
  <c r="X186" i="13"/>
  <c r="X204" i="13"/>
  <c r="X176" i="13"/>
  <c r="X195" i="13"/>
  <c r="X198" i="13"/>
  <c r="X190" i="13"/>
  <c r="X174" i="13"/>
  <c r="X192" i="13"/>
  <c r="X168" i="13"/>
  <c r="X187" i="13"/>
  <c r="X194" i="13"/>
  <c r="X200" i="13"/>
  <c r="L39" i="27"/>
  <c r="W21" i="27"/>
  <c r="Y21" i="27"/>
  <c r="V145" i="27"/>
  <c r="V144" i="27"/>
  <c r="V155" i="27"/>
  <c r="V138" i="27"/>
  <c r="V124" i="27"/>
  <c r="V149" i="27"/>
  <c r="V143" i="27"/>
  <c r="V131" i="27"/>
  <c r="V140" i="27"/>
  <c r="X21" i="27"/>
  <c r="V166" i="27"/>
  <c r="V156" i="27"/>
  <c r="V141" i="27"/>
  <c r="V113" i="27"/>
  <c r="V170" i="27"/>
  <c r="V158" i="27"/>
  <c r="V117" i="27"/>
  <c r="V118" i="27"/>
  <c r="V121" i="27"/>
  <c r="V123" i="27"/>
  <c r="V150" i="27"/>
  <c r="V135" i="27"/>
  <c r="V128" i="27"/>
  <c r="V126" i="27"/>
  <c r="V151" i="27"/>
  <c r="V160" i="27"/>
  <c r="V125" i="27"/>
  <c r="V152" i="27"/>
  <c r="V133" i="27"/>
  <c r="V114" i="27"/>
  <c r="V169" i="27"/>
  <c r="V162" i="27"/>
  <c r="V137" i="27"/>
  <c r="V132" i="27"/>
  <c r="V161" i="27"/>
  <c r="V139" i="27"/>
  <c r="V129" i="27"/>
  <c r="V164" i="27"/>
  <c r="V115" i="27"/>
  <c r="V147" i="27"/>
  <c r="V159" i="27"/>
  <c r="V146" i="27"/>
  <c r="V153" i="27"/>
  <c r="V116" i="27"/>
  <c r="V122" i="27"/>
  <c r="V119" i="27"/>
  <c r="V163" i="27"/>
  <c r="V127" i="27"/>
  <c r="V142" i="27"/>
  <c r="V165" i="27"/>
  <c r="V157" i="27"/>
  <c r="V136" i="27"/>
  <c r="V167" i="27"/>
  <c r="V112" i="27"/>
  <c r="V154" i="27"/>
  <c r="V120" i="27"/>
  <c r="V134" i="27"/>
  <c r="V148" i="27"/>
  <c r="V168" i="27"/>
  <c r="V130" i="27"/>
  <c r="Z21" i="27"/>
  <c r="AI6" i="18"/>
  <c r="AI9" i="18"/>
  <c r="AI7" i="18"/>
  <c r="AI8" i="18"/>
  <c r="L23" i="27"/>
  <c r="L57" i="27"/>
  <c r="B59" i="27"/>
  <c r="J58" i="27"/>
  <c r="K58" i="27"/>
  <c r="H58" i="27"/>
  <c r="I58" i="27"/>
  <c r="Q165" i="13"/>
  <c r="C95" i="13"/>
  <c r="Q126" i="13"/>
  <c r="Q130" i="13"/>
  <c r="Q134" i="13"/>
  <c r="Q138" i="13"/>
  <c r="Q142" i="13"/>
  <c r="Q146" i="13"/>
  <c r="Q13" i="13"/>
  <c r="Q29" i="13"/>
  <c r="Q45" i="13"/>
  <c r="Q61" i="13"/>
  <c r="Q77" i="13"/>
  <c r="Q93" i="13"/>
  <c r="Q12" i="13"/>
  <c r="Q28" i="13"/>
  <c r="Q44" i="13"/>
  <c r="Q60" i="13"/>
  <c r="Q76" i="13"/>
  <c r="Q92" i="13"/>
  <c r="Q11" i="13"/>
  <c r="Q27" i="13"/>
  <c r="Q43" i="13"/>
  <c r="Q59" i="13"/>
  <c r="Q75" i="13"/>
  <c r="Q18" i="13"/>
  <c r="Q82" i="13"/>
  <c r="Q113" i="13"/>
  <c r="Q22" i="13"/>
  <c r="Q120" i="13"/>
  <c r="Q42" i="13"/>
  <c r="Q102" i="13"/>
  <c r="Q119" i="13"/>
  <c r="Q14" i="13"/>
  <c r="Q123" i="13"/>
  <c r="Q94" i="13"/>
  <c r="Q110" i="13"/>
  <c r="Q133" i="13"/>
  <c r="Q141" i="13"/>
  <c r="Q127" i="13"/>
  <c r="Q131" i="13"/>
  <c r="Q135" i="13"/>
  <c r="Q139" i="13"/>
  <c r="Q143" i="13"/>
  <c r="Q17" i="13"/>
  <c r="Q33" i="13"/>
  <c r="Q49" i="13"/>
  <c r="Q65" i="13"/>
  <c r="Q81" i="13"/>
  <c r="Q97" i="13"/>
  <c r="Q16" i="13"/>
  <c r="Q32" i="13"/>
  <c r="Q48" i="13"/>
  <c r="Q64" i="13"/>
  <c r="Q80" i="13"/>
  <c r="Q96" i="13"/>
  <c r="Q15" i="13"/>
  <c r="Q31" i="13"/>
  <c r="Q47" i="13"/>
  <c r="Q63" i="13"/>
  <c r="Q79" i="13"/>
  <c r="Q95" i="13"/>
  <c r="Q34" i="13"/>
  <c r="Q98" i="13"/>
  <c r="Q117" i="13"/>
  <c r="Q38" i="13"/>
  <c r="Q108" i="13"/>
  <c r="Q124" i="13"/>
  <c r="Q58" i="13"/>
  <c r="Q107" i="13"/>
  <c r="Q62" i="13"/>
  <c r="Q78" i="13"/>
  <c r="Q46" i="13"/>
  <c r="Q106" i="13"/>
  <c r="Q118" i="13"/>
  <c r="Q129" i="13"/>
  <c r="Q145" i="13"/>
  <c r="Q9" i="13"/>
  <c r="Q128" i="13"/>
  <c r="Q132" i="13"/>
  <c r="Q136" i="13"/>
  <c r="Q140" i="13"/>
  <c r="Q144" i="13"/>
  <c r="Q6" i="13"/>
  <c r="Q21" i="13"/>
  <c r="Q37" i="13"/>
  <c r="Q53" i="13"/>
  <c r="Q69" i="13"/>
  <c r="Q85" i="13"/>
  <c r="Q101" i="13"/>
  <c r="Q20" i="13"/>
  <c r="Q36" i="13"/>
  <c r="Q52" i="13"/>
  <c r="Q68" i="13"/>
  <c r="Q84" i="13"/>
  <c r="Q100" i="13"/>
  <c r="Q19" i="13"/>
  <c r="Q35" i="13"/>
  <c r="Q51" i="13"/>
  <c r="Q67" i="13"/>
  <c r="Q83" i="13"/>
  <c r="Q99" i="13"/>
  <c r="Q50" i="13"/>
  <c r="Q105" i="13"/>
  <c r="Q121" i="13"/>
  <c r="Q54" i="13"/>
  <c r="Q112" i="13"/>
  <c r="Q10" i="13"/>
  <c r="Q74" i="13"/>
  <c r="Q111" i="13"/>
  <c r="Q114" i="13"/>
  <c r="Q137" i="13"/>
  <c r="Q25" i="13"/>
  <c r="Q56" i="13"/>
  <c r="Q23" i="13"/>
  <c r="Q125" i="13"/>
  <c r="Q30" i="13"/>
  <c r="Q40" i="13"/>
  <c r="Q71" i="13"/>
  <c r="Q26" i="13"/>
  <c r="Q41" i="13"/>
  <c r="Q8" i="13"/>
  <c r="Q72" i="13"/>
  <c r="Q39" i="13"/>
  <c r="Q103" i="13"/>
  <c r="Q70" i="13"/>
  <c r="Q115" i="13"/>
  <c r="Q73" i="13"/>
  <c r="Q109" i="13"/>
  <c r="Q122" i="13"/>
  <c r="Q57" i="13"/>
  <c r="Q24" i="13"/>
  <c r="Q55" i="13"/>
  <c r="Q66" i="13"/>
  <c r="Q116" i="13"/>
  <c r="Q104" i="13"/>
  <c r="Q7" i="13"/>
  <c r="Q149" i="13"/>
  <c r="AF7" i="13"/>
  <c r="AI6" i="13"/>
  <c r="K7" i="13"/>
  <c r="J8" i="13"/>
  <c r="Y6" i="18"/>
  <c r="K9" i="19"/>
  <c r="O9" i="19" s="1"/>
  <c r="J10" i="19"/>
  <c r="R8" i="18"/>
  <c r="S7" i="18"/>
  <c r="T7" i="18" s="1"/>
  <c r="X7" i="18" s="1"/>
  <c r="K7" i="18"/>
  <c r="O7" i="18" s="1"/>
  <c r="J8" i="18"/>
  <c r="AF13" i="18"/>
  <c r="AH11" i="18"/>
  <c r="AI10" i="18"/>
  <c r="J99" i="21" l="1"/>
  <c r="K98" i="21"/>
  <c r="O98" i="21" s="1"/>
  <c r="AB85" i="13"/>
  <c r="AL85" i="13"/>
  <c r="S93" i="20"/>
  <c r="R94" i="20"/>
  <c r="T92" i="20"/>
  <c r="X92" i="20" s="1"/>
  <c r="Y92" i="20" s="1"/>
  <c r="AF93" i="20"/>
  <c r="AI92" i="20"/>
  <c r="AB75" i="13"/>
  <c r="AL75" i="13"/>
  <c r="Q86" i="13"/>
  <c r="Q88" i="13"/>
  <c r="Q91" i="13"/>
  <c r="S87" i="21"/>
  <c r="T87" i="21" s="1"/>
  <c r="X87" i="21" s="1"/>
  <c r="Y87" i="21" s="1"/>
  <c r="R88" i="21"/>
  <c r="AF90" i="21"/>
  <c r="AI89" i="21"/>
  <c r="Q87" i="13"/>
  <c r="Q89" i="13"/>
  <c r="Q90" i="13"/>
  <c r="O7" i="13"/>
  <c r="Y8" i="26"/>
  <c r="J10" i="26"/>
  <c r="K9" i="26"/>
  <c r="O9" i="26" s="1"/>
  <c r="Y7" i="26"/>
  <c r="S9" i="26"/>
  <c r="T9" i="26" s="1"/>
  <c r="X9" i="26" s="1"/>
  <c r="R10" i="26"/>
  <c r="H96" i="27"/>
  <c r="I96" i="27"/>
  <c r="J96" i="27"/>
  <c r="K96" i="27"/>
  <c r="I97" i="27"/>
  <c r="J97" i="27"/>
  <c r="K97" i="27"/>
  <c r="H97" i="27"/>
  <c r="AE13" i="26"/>
  <c r="AN5" i="26"/>
  <c r="AP5" i="26"/>
  <c r="AO5" i="26"/>
  <c r="R6" i="13"/>
  <c r="R7" i="13" s="1"/>
  <c r="V21" i="27"/>
  <c r="AL155" i="13"/>
  <c r="AB155" i="13"/>
  <c r="Q163" i="13"/>
  <c r="Q153" i="13"/>
  <c r="Q162" i="13"/>
  <c r="Q152" i="13"/>
  <c r="Q159" i="13"/>
  <c r="Q160" i="13"/>
  <c r="Q164" i="13"/>
  <c r="Q161" i="13"/>
  <c r="Q147" i="13"/>
  <c r="Q154" i="13"/>
  <c r="L58" i="27"/>
  <c r="B60" i="27"/>
  <c r="J59" i="27"/>
  <c r="K59" i="27"/>
  <c r="H59" i="27"/>
  <c r="I59" i="27"/>
  <c r="Q157" i="13"/>
  <c r="Q150" i="13"/>
  <c r="AB165" i="13"/>
  <c r="C35" i="27"/>
  <c r="L35" i="27" s="1"/>
  <c r="H95" i="13"/>
  <c r="Q148" i="13"/>
  <c r="Q155" i="13"/>
  <c r="Q158" i="13"/>
  <c r="Q156" i="13"/>
  <c r="Q151" i="13"/>
  <c r="AI7" i="13"/>
  <c r="AF8" i="13"/>
  <c r="K8" i="13"/>
  <c r="J9" i="13"/>
  <c r="K10" i="19"/>
  <c r="O10" i="19" s="1"/>
  <c r="J11" i="19"/>
  <c r="R9" i="18"/>
  <c r="S8" i="18"/>
  <c r="T8" i="18" s="1"/>
  <c r="X8" i="18" s="1"/>
  <c r="Y7" i="18"/>
  <c r="K8" i="18"/>
  <c r="O8" i="18" s="1"/>
  <c r="J9" i="18"/>
  <c r="AH12" i="18"/>
  <c r="AI11" i="18"/>
  <c r="AF14" i="18"/>
  <c r="J100" i="21" l="1"/>
  <c r="K99" i="21"/>
  <c r="O99" i="21" s="1"/>
  <c r="AS85" i="13"/>
  <c r="AR85" i="13"/>
  <c r="AT85" i="13"/>
  <c r="AQ85" i="13"/>
  <c r="AF94" i="20"/>
  <c r="AI93" i="20"/>
  <c r="S94" i="20"/>
  <c r="R95" i="20"/>
  <c r="S95" i="20" s="1"/>
  <c r="T93" i="20"/>
  <c r="X93" i="20" s="1"/>
  <c r="Y93" i="20" s="1"/>
  <c r="AT75" i="13"/>
  <c r="AQ75" i="13"/>
  <c r="AR75" i="13"/>
  <c r="AS75" i="13"/>
  <c r="AH75" i="13"/>
  <c r="AH76" i="13" s="1"/>
  <c r="AH77" i="13" s="1"/>
  <c r="AH78" i="13" s="1"/>
  <c r="AH79" i="13" s="1"/>
  <c r="AH80" i="13" s="1"/>
  <c r="AH81" i="13" s="1"/>
  <c r="AH82" i="13" s="1"/>
  <c r="AH83" i="13" s="1"/>
  <c r="AH84" i="13" s="1"/>
  <c r="AH85" i="13" s="1"/>
  <c r="AH86" i="13" s="1"/>
  <c r="AH87" i="13" s="1"/>
  <c r="AH88" i="13" s="1"/>
  <c r="AH89" i="13" s="1"/>
  <c r="AH90" i="13" s="1"/>
  <c r="AH91" i="13" s="1"/>
  <c r="AH92" i="13" s="1"/>
  <c r="AH93" i="13" s="1"/>
  <c r="AH94" i="13" s="1"/>
  <c r="AH95" i="13" s="1"/>
  <c r="AH96" i="13" s="1"/>
  <c r="AH97" i="13" s="1"/>
  <c r="AH98" i="13" s="1"/>
  <c r="AH99" i="13" s="1"/>
  <c r="AH100" i="13" s="1"/>
  <c r="AH101" i="13" s="1"/>
  <c r="AH102" i="13" s="1"/>
  <c r="AH103" i="13" s="1"/>
  <c r="AH104" i="13" s="1"/>
  <c r="AH105" i="13" s="1"/>
  <c r="AH106" i="13" s="1"/>
  <c r="AH107" i="13" s="1"/>
  <c r="AH108" i="13" s="1"/>
  <c r="AH109" i="13" s="1"/>
  <c r="AH110" i="13" s="1"/>
  <c r="AH111" i="13" s="1"/>
  <c r="AH112" i="13" s="1"/>
  <c r="AH113" i="13" s="1"/>
  <c r="AH114" i="13" s="1"/>
  <c r="AH115" i="13" s="1"/>
  <c r="AH116" i="13" s="1"/>
  <c r="AH117" i="13" s="1"/>
  <c r="AH118" i="13" s="1"/>
  <c r="AH119" i="13" s="1"/>
  <c r="AH120" i="13" s="1"/>
  <c r="AH121" i="13" s="1"/>
  <c r="AH122" i="13" s="1"/>
  <c r="AH123" i="13" s="1"/>
  <c r="AH124" i="13" s="1"/>
  <c r="AH125" i="13" s="1"/>
  <c r="AH126" i="13" s="1"/>
  <c r="AH127" i="13" s="1"/>
  <c r="AH128" i="13" s="1"/>
  <c r="AH129" i="13" s="1"/>
  <c r="AH130" i="13" s="1"/>
  <c r="AH131" i="13" s="1"/>
  <c r="AH132" i="13" s="1"/>
  <c r="AH133" i="13" s="1"/>
  <c r="AH134" i="13" s="1"/>
  <c r="AH135" i="13" s="1"/>
  <c r="AH136" i="13" s="1"/>
  <c r="AH137" i="13" s="1"/>
  <c r="AH138" i="13" s="1"/>
  <c r="AH139" i="13" s="1"/>
  <c r="AH140" i="13" s="1"/>
  <c r="AH141" i="13" s="1"/>
  <c r="AH142" i="13" s="1"/>
  <c r="AH143" i="13" s="1"/>
  <c r="AH144" i="13" s="1"/>
  <c r="AH145" i="13" s="1"/>
  <c r="AH146" i="13" s="1"/>
  <c r="AH147" i="13" s="1"/>
  <c r="AH148" i="13" s="1"/>
  <c r="AH149" i="13" s="1"/>
  <c r="AH150" i="13" s="1"/>
  <c r="AH151" i="13" s="1"/>
  <c r="AH152" i="13" s="1"/>
  <c r="AH153" i="13" s="1"/>
  <c r="AH154" i="13" s="1"/>
  <c r="AG75" i="13"/>
  <c r="AG76" i="13" s="1"/>
  <c r="AG77" i="13" s="1"/>
  <c r="AG78" i="13" s="1"/>
  <c r="AG79" i="13" s="1"/>
  <c r="AG80" i="13" s="1"/>
  <c r="AG81" i="13" s="1"/>
  <c r="AG82" i="13" s="1"/>
  <c r="AG83" i="13" s="1"/>
  <c r="AG84" i="13" s="1"/>
  <c r="AG85" i="13" s="1"/>
  <c r="AG86" i="13" s="1"/>
  <c r="AG87" i="13" s="1"/>
  <c r="AG88" i="13" s="1"/>
  <c r="AG89" i="13" s="1"/>
  <c r="AG90" i="13" s="1"/>
  <c r="AG91" i="13" s="1"/>
  <c r="AG92" i="13" s="1"/>
  <c r="AG93" i="13" s="1"/>
  <c r="AG94" i="13" s="1"/>
  <c r="AG95" i="13" s="1"/>
  <c r="AG96" i="13" s="1"/>
  <c r="AG97" i="13" s="1"/>
  <c r="AG98" i="13" s="1"/>
  <c r="AG99" i="13" s="1"/>
  <c r="AG100" i="13" s="1"/>
  <c r="AG101" i="13" s="1"/>
  <c r="AG102" i="13" s="1"/>
  <c r="AG103" i="13" s="1"/>
  <c r="AG104" i="13" s="1"/>
  <c r="AG105" i="13" s="1"/>
  <c r="AG106" i="13" s="1"/>
  <c r="AG107" i="13" s="1"/>
  <c r="AG108" i="13" s="1"/>
  <c r="AG109" i="13" s="1"/>
  <c r="AG110" i="13" s="1"/>
  <c r="AG111" i="13" s="1"/>
  <c r="AG112" i="13" s="1"/>
  <c r="AG113" i="13" s="1"/>
  <c r="AG114" i="13" s="1"/>
  <c r="AG115" i="13" s="1"/>
  <c r="AG116" i="13" s="1"/>
  <c r="AG117" i="13" s="1"/>
  <c r="AG118" i="13" s="1"/>
  <c r="AG119" i="13" s="1"/>
  <c r="AG120" i="13" s="1"/>
  <c r="AG121" i="13" s="1"/>
  <c r="AG122" i="13" s="1"/>
  <c r="AG123" i="13" s="1"/>
  <c r="AG124" i="13" s="1"/>
  <c r="AG125" i="13" s="1"/>
  <c r="AG126" i="13" s="1"/>
  <c r="AG127" i="13" s="1"/>
  <c r="AG128" i="13" s="1"/>
  <c r="AG129" i="13" s="1"/>
  <c r="AG130" i="13" s="1"/>
  <c r="AG131" i="13" s="1"/>
  <c r="AG132" i="13" s="1"/>
  <c r="AG133" i="13" s="1"/>
  <c r="AG134" i="13" s="1"/>
  <c r="AG135" i="13" s="1"/>
  <c r="AG136" i="13" s="1"/>
  <c r="AG137" i="13" s="1"/>
  <c r="AG138" i="13" s="1"/>
  <c r="AG139" i="13" s="1"/>
  <c r="AG140" i="13" s="1"/>
  <c r="AG141" i="13" s="1"/>
  <c r="AG142" i="13" s="1"/>
  <c r="AG143" i="13" s="1"/>
  <c r="AG144" i="13" s="1"/>
  <c r="AG145" i="13" s="1"/>
  <c r="AG146" i="13" s="1"/>
  <c r="AG147" i="13" s="1"/>
  <c r="AG148" i="13" s="1"/>
  <c r="AG149" i="13" s="1"/>
  <c r="AG150" i="13" s="1"/>
  <c r="AG151" i="13" s="1"/>
  <c r="AG152" i="13" s="1"/>
  <c r="AG153" i="13" s="1"/>
  <c r="AG154" i="13" s="1"/>
  <c r="R89" i="21"/>
  <c r="S88" i="21"/>
  <c r="T88" i="21" s="1"/>
  <c r="X88" i="21" s="1"/>
  <c r="Y88" i="21" s="1"/>
  <c r="AF91" i="21"/>
  <c r="AI90" i="21"/>
  <c r="O8" i="13"/>
  <c r="Y9" i="26"/>
  <c r="AN7" i="26"/>
  <c r="AD59" i="26"/>
  <c r="AB57" i="26"/>
  <c r="AB6" i="26"/>
  <c r="AM24" i="26"/>
  <c r="AD62" i="26"/>
  <c r="AO30" i="26"/>
  <c r="AD51" i="26"/>
  <c r="AM9" i="26"/>
  <c r="AD39" i="26"/>
  <c r="AD20" i="26"/>
  <c r="AD45" i="26"/>
  <c r="AE11" i="26"/>
  <c r="AN18" i="26"/>
  <c r="AE9" i="26"/>
  <c r="AE37" i="26"/>
  <c r="AM32" i="26"/>
  <c r="AL8" i="26"/>
  <c r="AP31" i="26"/>
  <c r="AB22" i="26"/>
  <c r="AP7" i="26"/>
  <c r="AD36" i="26"/>
  <c r="AN8" i="26"/>
  <c r="AO13" i="26"/>
  <c r="AB11" i="26"/>
  <c r="AC8" i="26"/>
  <c r="AC16" i="26"/>
  <c r="AE30" i="26"/>
  <c r="AC24" i="26"/>
  <c r="AL19" i="26"/>
  <c r="AE17" i="26"/>
  <c r="AC28" i="26"/>
  <c r="AE33" i="26"/>
  <c r="AM10" i="26"/>
  <c r="AE46" i="26"/>
  <c r="J11" i="26"/>
  <c r="K10" i="26"/>
  <c r="O10" i="26" s="1"/>
  <c r="AM21" i="26"/>
  <c r="AM18" i="26"/>
  <c r="AC58" i="26"/>
  <c r="AB51" i="26"/>
  <c r="AD21" i="26"/>
  <c r="AO32" i="26"/>
  <c r="AM13" i="26"/>
  <c r="AB16" i="26"/>
  <c r="AB42" i="26"/>
  <c r="AD17" i="26"/>
  <c r="AC64" i="26"/>
  <c r="AM30" i="26"/>
  <c r="AL15" i="26"/>
  <c r="AE16" i="26"/>
  <c r="AD9" i="26"/>
  <c r="AB59" i="26"/>
  <c r="AL21" i="26"/>
  <c r="AP12" i="26"/>
  <c r="AC13" i="26"/>
  <c r="AC48" i="26"/>
  <c r="AD28" i="26"/>
  <c r="AE63" i="26"/>
  <c r="AL9" i="26"/>
  <c r="AP9" i="26"/>
  <c r="AC7" i="26"/>
  <c r="AE44" i="26"/>
  <c r="AL14" i="26"/>
  <c r="AP24" i="26"/>
  <c r="AP25" i="26"/>
  <c r="AC20" i="26"/>
  <c r="AC55" i="26"/>
  <c r="AB34" i="26"/>
  <c r="AL34" i="26"/>
  <c r="AM6" i="26"/>
  <c r="AB43" i="26"/>
  <c r="AE49" i="26"/>
  <c r="AC15" i="26"/>
  <c r="AL10" i="26"/>
  <c r="AP17" i="26"/>
  <c r="AE52" i="26"/>
  <c r="AC11" i="26"/>
  <c r="AB44" i="26"/>
  <c r="AO21" i="26"/>
  <c r="AP16" i="26"/>
  <c r="AD16" i="26"/>
  <c r="AD43" i="26"/>
  <c r="AE64" i="26"/>
  <c r="AD37" i="26"/>
  <c r="AM19" i="26"/>
  <c r="AM14" i="26"/>
  <c r="AB10" i="26"/>
  <c r="AE60" i="26"/>
  <c r="AB12" i="26"/>
  <c r="AN27" i="26"/>
  <c r="AO16" i="26"/>
  <c r="AD19" i="26"/>
  <c r="AC37" i="26"/>
  <c r="AE15" i="26"/>
  <c r="AL22" i="26"/>
  <c r="AP34" i="26"/>
  <c r="AO7" i="26"/>
  <c r="AD57" i="26"/>
  <c r="AB13" i="26"/>
  <c r="AO27" i="26"/>
  <c r="AC62" i="26"/>
  <c r="AC44" i="26"/>
  <c r="AB61" i="26"/>
  <c r="AD55" i="26"/>
  <c r="AD40" i="26"/>
  <c r="AL32" i="26"/>
  <c r="AP21" i="26"/>
  <c r="AD54" i="26"/>
  <c r="AB32" i="26"/>
  <c r="AB21" i="26"/>
  <c r="AL16" i="26"/>
  <c r="AO15" i="26"/>
  <c r="AB54" i="26"/>
  <c r="AE7" i="26"/>
  <c r="AD50" i="26"/>
  <c r="AN30" i="26"/>
  <c r="AP27" i="26"/>
  <c r="AE19" i="26"/>
  <c r="AC31" i="26"/>
  <c r="AB36" i="26"/>
  <c r="S10" i="26"/>
  <c r="R11" i="26"/>
  <c r="AL25" i="26"/>
  <c r="AP13" i="26"/>
  <c r="AB62" i="26"/>
  <c r="AD31" i="26"/>
  <c r="AE31" i="26"/>
  <c r="AL28" i="26"/>
  <c r="AO18" i="26"/>
  <c r="AC34" i="26"/>
  <c r="AC60" i="26"/>
  <c r="AB37" i="26"/>
  <c r="AO28" i="26"/>
  <c r="AM7" i="26"/>
  <c r="AC12" i="26"/>
  <c r="AC21" i="26"/>
  <c r="AC61" i="26"/>
  <c r="AN34" i="26"/>
  <c r="AP8" i="26"/>
  <c r="AE18" i="26"/>
  <c r="AE56" i="26"/>
  <c r="AE22" i="26"/>
  <c r="AL6" i="26"/>
  <c r="AP19" i="26"/>
  <c r="AN17" i="26"/>
  <c r="AB55" i="26"/>
  <c r="AD42" i="26"/>
  <c r="AD10" i="26"/>
  <c r="AO33" i="26"/>
  <c r="AM15" i="26"/>
  <c r="AC19" i="26"/>
  <c r="AE62" i="26"/>
  <c r="AC33" i="26"/>
  <c r="AC30" i="26"/>
  <c r="AN19" i="26"/>
  <c r="AL31" i="26"/>
  <c r="AB39" i="26"/>
  <c r="AD61" i="26"/>
  <c r="AD46" i="26"/>
  <c r="AE14" i="26"/>
  <c r="AO11" i="26"/>
  <c r="AB24" i="26"/>
  <c r="AB63" i="26"/>
  <c r="AC42" i="26"/>
  <c r="AM28" i="26"/>
  <c r="AP20" i="26"/>
  <c r="AE58" i="26"/>
  <c r="AE43" i="26"/>
  <c r="AE36" i="26"/>
  <c r="AL13" i="26"/>
  <c r="AP10" i="26"/>
  <c r="AC50" i="26"/>
  <c r="AE12" i="26"/>
  <c r="AD64" i="26"/>
  <c r="AN24" i="26"/>
  <c r="AO12" i="26"/>
  <c r="AB19" i="26"/>
  <c r="AE61" i="26"/>
  <c r="AD7" i="26"/>
  <c r="AO25" i="26"/>
  <c r="AP33" i="26"/>
  <c r="AE8" i="26"/>
  <c r="AE39" i="26"/>
  <c r="AC18" i="26"/>
  <c r="AN32" i="26"/>
  <c r="AP28" i="26"/>
  <c r="AE54" i="26"/>
  <c r="AD18" i="26"/>
  <c r="AE45" i="26"/>
  <c r="AB64" i="26"/>
  <c r="AM33" i="26"/>
  <c r="AP22" i="26"/>
  <c r="AD49" i="26"/>
  <c r="AB28" i="26"/>
  <c r="AC56" i="26"/>
  <c r="AD63" i="26"/>
  <c r="AN21" i="26"/>
  <c r="AP30" i="26"/>
  <c r="AD48" i="26"/>
  <c r="AD12" i="26"/>
  <c r="AE25" i="26"/>
  <c r="AB8" i="26"/>
  <c r="AM22" i="26"/>
  <c r="AN10" i="26"/>
  <c r="AB40" i="26"/>
  <c r="AE24" i="26"/>
  <c r="AD14" i="26"/>
  <c r="AC38" i="26"/>
  <c r="AD15" i="26"/>
  <c r="AE59" i="26"/>
  <c r="AC51" i="26"/>
  <c r="AB15" i="26"/>
  <c r="AL18" i="26"/>
  <c r="AB14" i="26"/>
  <c r="AB17" i="26"/>
  <c r="AO24" i="26"/>
  <c r="AM17" i="26"/>
  <c r="AO8" i="26"/>
  <c r="AN13" i="26"/>
  <c r="AD27" i="26"/>
  <c r="AC14" i="26"/>
  <c r="AE6" i="26"/>
  <c r="AH6" i="26" s="1"/>
  <c r="AO34" i="26"/>
  <c r="AL24" i="26"/>
  <c r="AN9" i="26"/>
  <c r="AO17" i="26"/>
  <c r="AC17" i="26"/>
  <c r="AD38" i="26"/>
  <c r="AD11" i="26"/>
  <c r="AC63" i="26"/>
  <c r="AO22" i="26"/>
  <c r="AO19" i="26"/>
  <c r="AB33" i="26"/>
  <c r="AB48" i="26"/>
  <c r="AE28" i="26"/>
  <c r="AB49" i="26"/>
  <c r="AM31" i="26"/>
  <c r="AN6" i="26"/>
  <c r="AC52" i="26"/>
  <c r="AC25" i="26"/>
  <c r="AC22" i="26"/>
  <c r="AO31" i="26"/>
  <c r="AM11" i="26"/>
  <c r="AB52" i="26"/>
  <c r="AD32" i="26"/>
  <c r="AE51" i="26"/>
  <c r="AE40" i="26"/>
  <c r="AL27" i="26"/>
  <c r="AM12" i="26"/>
  <c r="AC45" i="26"/>
  <c r="AB38" i="26"/>
  <c r="AC9" i="26"/>
  <c r="AN25" i="26"/>
  <c r="AO14" i="26"/>
  <c r="AE48" i="26"/>
  <c r="AD44" i="26"/>
  <c r="AC32" i="26"/>
  <c r="AL12" i="26"/>
  <c r="AN14" i="26"/>
  <c r="AB20" i="26"/>
  <c r="AB9" i="26"/>
  <c r="AE55" i="26"/>
  <c r="AN33" i="26"/>
  <c r="AP6" i="26"/>
  <c r="AC6" i="26"/>
  <c r="AF6" i="26" s="1"/>
  <c r="AB31" i="26"/>
  <c r="AE50" i="26"/>
  <c r="AN31" i="26"/>
  <c r="AP32" i="26"/>
  <c r="AD34" i="26"/>
  <c r="AD56" i="26"/>
  <c r="AC46" i="26"/>
  <c r="AM20" i="26"/>
  <c r="AM16" i="26"/>
  <c r="AE34" i="26"/>
  <c r="AE20" i="26"/>
  <c r="AD13" i="26"/>
  <c r="AO20" i="26"/>
  <c r="AP14" i="26"/>
  <c r="AD58" i="26"/>
  <c r="AC10" i="26"/>
  <c r="AC43" i="26"/>
  <c r="AD8" i="26"/>
  <c r="AL17" i="26"/>
  <c r="AP11" i="26"/>
  <c r="AD52" i="26"/>
  <c r="AE10" i="26"/>
  <c r="AC36" i="26"/>
  <c r="AL20" i="26"/>
  <c r="AN16" i="26"/>
  <c r="AE57" i="26"/>
  <c r="AE32" i="26"/>
  <c r="AD25" i="26"/>
  <c r="AM25" i="26"/>
  <c r="AN11" i="26"/>
  <c r="AD24" i="26"/>
  <c r="AB56" i="26"/>
  <c r="AB46" i="26"/>
  <c r="AN22" i="26"/>
  <c r="AO10" i="26"/>
  <c r="AC59" i="26"/>
  <c r="AC54" i="26"/>
  <c r="AE42" i="26"/>
  <c r="AN20" i="26"/>
  <c r="AO6" i="26"/>
  <c r="AC27" i="26"/>
  <c r="AD6" i="26"/>
  <c r="AG6" i="26" s="1"/>
  <c r="AB58" i="26"/>
  <c r="AL33" i="26"/>
  <c r="AP15" i="26"/>
  <c r="AB27" i="26"/>
  <c r="AC49" i="26"/>
  <c r="AD30" i="26"/>
  <c r="AN28" i="26"/>
  <c r="AP18" i="26"/>
  <c r="AC40" i="26"/>
  <c r="AB25" i="26"/>
  <c r="AD22" i="26"/>
  <c r="AL30" i="26"/>
  <c r="AL7" i="26"/>
  <c r="AO9" i="26"/>
  <c r="AE38" i="26"/>
  <c r="AD33" i="26"/>
  <c r="AM27" i="26"/>
  <c r="AN15" i="26"/>
  <c r="AC39" i="26"/>
  <c r="AB18" i="26"/>
  <c r="AB7" i="26"/>
  <c r="AL11" i="26"/>
  <c r="AM8" i="26"/>
  <c r="AE27" i="26"/>
  <c r="AD60" i="26"/>
  <c r="AE21" i="26"/>
  <c r="AM34" i="26"/>
  <c r="AN12" i="26"/>
  <c r="AC57" i="26"/>
  <c r="AB30" i="26"/>
  <c r="L97" i="27"/>
  <c r="B98" i="27"/>
  <c r="AE5" i="26"/>
  <c r="AM5" i="26"/>
  <c r="AD5" i="26"/>
  <c r="AC5" i="26"/>
  <c r="L96" i="27"/>
  <c r="S7" i="13"/>
  <c r="R8" i="13"/>
  <c r="R9" i="13" s="1"/>
  <c r="S6" i="13"/>
  <c r="AG155" i="13"/>
  <c r="AG156" i="13" s="1"/>
  <c r="AG157" i="13" s="1"/>
  <c r="AG158" i="13" s="1"/>
  <c r="AG159" i="13" s="1"/>
  <c r="AG160" i="13" s="1"/>
  <c r="AG161" i="13" s="1"/>
  <c r="AG162" i="13" s="1"/>
  <c r="AG163" i="13" s="1"/>
  <c r="AG164" i="13" s="1"/>
  <c r="AH155" i="13"/>
  <c r="AH156" i="13" s="1"/>
  <c r="AH157" i="13" s="1"/>
  <c r="AH158" i="13" s="1"/>
  <c r="AH159" i="13" s="1"/>
  <c r="AH160" i="13" s="1"/>
  <c r="AH161" i="13" s="1"/>
  <c r="AH162" i="13" s="1"/>
  <c r="AH163" i="13" s="1"/>
  <c r="AH164" i="13" s="1"/>
  <c r="AT155" i="13"/>
  <c r="Z171" i="27" s="1"/>
  <c r="AR155" i="13"/>
  <c r="X171" i="27" s="1"/>
  <c r="AS155" i="13"/>
  <c r="Y171" i="27" s="1"/>
  <c r="AQ155" i="13"/>
  <c r="W171" i="27" s="1"/>
  <c r="L59" i="27"/>
  <c r="I60" i="27"/>
  <c r="K60" i="27"/>
  <c r="J60" i="27"/>
  <c r="H60" i="27"/>
  <c r="AH165" i="13"/>
  <c r="AG165" i="13"/>
  <c r="AF9" i="13"/>
  <c r="AI8" i="13"/>
  <c r="K9" i="13"/>
  <c r="J10" i="13"/>
  <c r="K11" i="19"/>
  <c r="O11" i="19" s="1"/>
  <c r="J12" i="19"/>
  <c r="Y8" i="18"/>
  <c r="R10" i="18"/>
  <c r="S9" i="18"/>
  <c r="T9" i="18" s="1"/>
  <c r="X9" i="18" s="1"/>
  <c r="K9" i="18"/>
  <c r="O9" i="18" s="1"/>
  <c r="J10" i="18"/>
  <c r="AF15" i="18"/>
  <c r="AH13" i="18"/>
  <c r="AI12" i="18"/>
  <c r="J101" i="21" l="1"/>
  <c r="K100" i="21"/>
  <c r="O100" i="21" s="1"/>
  <c r="T95" i="20"/>
  <c r="X95" i="20" s="1"/>
  <c r="T94" i="20"/>
  <c r="X94" i="20" s="1"/>
  <c r="Y94" i="20" s="1"/>
  <c r="AI94" i="20"/>
  <c r="AF95" i="20"/>
  <c r="AI95" i="20" s="1"/>
  <c r="R90" i="21"/>
  <c r="S89" i="21"/>
  <c r="T89" i="21" s="1"/>
  <c r="X89" i="21" s="1"/>
  <c r="Y89" i="21" s="1"/>
  <c r="AI91" i="21"/>
  <c r="AF92" i="21"/>
  <c r="O9" i="13"/>
  <c r="AQ19" i="26"/>
  <c r="AR19" i="26"/>
  <c r="AS19" i="26"/>
  <c r="AT19" i="26"/>
  <c r="AG7" i="26"/>
  <c r="AG8" i="26" s="1"/>
  <c r="AG9" i="26" s="1"/>
  <c r="AG10" i="26" s="1"/>
  <c r="AG11" i="26" s="1"/>
  <c r="AG12" i="26" s="1"/>
  <c r="AG13" i="26" s="1"/>
  <c r="AG14" i="26" s="1"/>
  <c r="AG15" i="26" s="1"/>
  <c r="AG16" i="26" s="1"/>
  <c r="AG17" i="26" s="1"/>
  <c r="AG18" i="26" s="1"/>
  <c r="AG19" i="26" s="1"/>
  <c r="AG20" i="26" s="1"/>
  <c r="AG21" i="26" s="1"/>
  <c r="AG22" i="26" s="1"/>
  <c r="AG23" i="26" s="1"/>
  <c r="AG24" i="26" s="1"/>
  <c r="AG25" i="26" s="1"/>
  <c r="AG26" i="26" s="1"/>
  <c r="AG27" i="26" s="1"/>
  <c r="AG28" i="26" s="1"/>
  <c r="AG29" i="26" s="1"/>
  <c r="AG30" i="26" s="1"/>
  <c r="AG31" i="26" s="1"/>
  <c r="AG32" i="26" s="1"/>
  <c r="AG33" i="26" s="1"/>
  <c r="AG34" i="26" s="1"/>
  <c r="AG35" i="26" s="1"/>
  <c r="AG36" i="26" s="1"/>
  <c r="AG37" i="26" s="1"/>
  <c r="AG38" i="26" s="1"/>
  <c r="AG39" i="26" s="1"/>
  <c r="AG40" i="26" s="1"/>
  <c r="AG41" i="26" s="1"/>
  <c r="AG42" i="26" s="1"/>
  <c r="AG43" i="26" s="1"/>
  <c r="AG44" i="26" s="1"/>
  <c r="AR8" i="26"/>
  <c r="AQ8" i="26"/>
  <c r="AT8" i="26"/>
  <c r="AS8" i="26"/>
  <c r="K11" i="26"/>
  <c r="O11" i="26" s="1"/>
  <c r="J12" i="26"/>
  <c r="AT22" i="26"/>
  <c r="AS22" i="26"/>
  <c r="AR22" i="26"/>
  <c r="AQ22" i="26"/>
  <c r="AT11" i="26"/>
  <c r="AS11" i="26"/>
  <c r="AR11" i="26"/>
  <c r="AQ11" i="26"/>
  <c r="AF7" i="26"/>
  <c r="AI6" i="26"/>
  <c r="AT16" i="26"/>
  <c r="AS16" i="26"/>
  <c r="AR16" i="26"/>
  <c r="AQ16" i="26"/>
  <c r="AT14" i="26"/>
  <c r="AS14" i="26"/>
  <c r="AR14" i="26"/>
  <c r="AQ14" i="26"/>
  <c r="AT17" i="26"/>
  <c r="AS17" i="26"/>
  <c r="AR17" i="26"/>
  <c r="AQ17" i="26"/>
  <c r="AH7" i="26"/>
  <c r="AH8" i="26" s="1"/>
  <c r="AH9" i="26" s="1"/>
  <c r="AH10" i="26" s="1"/>
  <c r="AH11" i="26" s="1"/>
  <c r="AH12" i="26" s="1"/>
  <c r="AH13" i="26" s="1"/>
  <c r="AH14" i="26" s="1"/>
  <c r="AH15" i="26" s="1"/>
  <c r="AH16" i="26" s="1"/>
  <c r="AH17" i="26" s="1"/>
  <c r="AH18" i="26" s="1"/>
  <c r="AH19" i="26" s="1"/>
  <c r="AH20" i="26" s="1"/>
  <c r="AH21" i="26" s="1"/>
  <c r="AH22" i="26" s="1"/>
  <c r="AH23" i="26" s="1"/>
  <c r="AH24" i="26" s="1"/>
  <c r="AH25" i="26" s="1"/>
  <c r="AH26" i="26" s="1"/>
  <c r="AH27" i="26" s="1"/>
  <c r="AH28" i="26" s="1"/>
  <c r="AH29" i="26" s="1"/>
  <c r="AH30" i="26" s="1"/>
  <c r="AH31" i="26" s="1"/>
  <c r="AH32" i="26" s="1"/>
  <c r="AH33" i="26" s="1"/>
  <c r="AH34" i="26" s="1"/>
  <c r="AH35" i="26" s="1"/>
  <c r="AH36" i="26" s="1"/>
  <c r="AH37" i="26" s="1"/>
  <c r="AH38" i="26" s="1"/>
  <c r="AH39" i="26" s="1"/>
  <c r="AH40" i="26" s="1"/>
  <c r="AH41" i="26" s="1"/>
  <c r="AH42" i="26" s="1"/>
  <c r="AH43" i="26" s="1"/>
  <c r="AH44" i="26" s="1"/>
  <c r="AT18" i="26"/>
  <c r="AS18" i="26"/>
  <c r="AR18" i="26"/>
  <c r="AQ18" i="26"/>
  <c r="AT34" i="26"/>
  <c r="AS34" i="26"/>
  <c r="AR34" i="26"/>
  <c r="AQ34" i="26"/>
  <c r="AT21" i="26"/>
  <c r="AS21" i="26"/>
  <c r="AR21" i="26"/>
  <c r="AQ21" i="26"/>
  <c r="AY6" i="26"/>
  <c r="AY7" i="26" s="1"/>
  <c r="AY8" i="26" s="1"/>
  <c r="AY9" i="26" s="1"/>
  <c r="AY10" i="26" s="1"/>
  <c r="AY11" i="26" s="1"/>
  <c r="AY12" i="26" s="1"/>
  <c r="AY13" i="26" s="1"/>
  <c r="AY14" i="26" s="1"/>
  <c r="AY15" i="26" s="1"/>
  <c r="AY16" i="26" s="1"/>
  <c r="AY17" i="26" s="1"/>
  <c r="AY18" i="26" s="1"/>
  <c r="AY19" i="26" s="1"/>
  <c r="AY20" i="26" s="1"/>
  <c r="AY21" i="26" s="1"/>
  <c r="AY22" i="26" s="1"/>
  <c r="AY23" i="26" s="1"/>
  <c r="AY24" i="26" s="1"/>
  <c r="AY25" i="26" s="1"/>
  <c r="AY26" i="26" s="1"/>
  <c r="AY27" i="26" s="1"/>
  <c r="AY28" i="26" s="1"/>
  <c r="AY29" i="26" s="1"/>
  <c r="AY30" i="26" s="1"/>
  <c r="AY31" i="26" s="1"/>
  <c r="AY32" i="26" s="1"/>
  <c r="AY33" i="26" s="1"/>
  <c r="AY34" i="26" s="1"/>
  <c r="AY35" i="26" s="1"/>
  <c r="C123" i="26" s="1"/>
  <c r="AT6" i="26"/>
  <c r="AS6" i="26"/>
  <c r="AR6" i="26"/>
  <c r="AQ6" i="26"/>
  <c r="AT31" i="26"/>
  <c r="AS31" i="26"/>
  <c r="AR31" i="26"/>
  <c r="AQ31" i="26"/>
  <c r="AT30" i="26"/>
  <c r="AS30" i="26"/>
  <c r="AR30" i="26"/>
  <c r="AQ30" i="26"/>
  <c r="AT25" i="26"/>
  <c r="AS25" i="26"/>
  <c r="AR25" i="26"/>
  <c r="AQ25" i="26"/>
  <c r="AT9" i="26"/>
  <c r="AS9" i="26"/>
  <c r="AR9" i="26"/>
  <c r="AQ9" i="26"/>
  <c r="AT20" i="26"/>
  <c r="AS20" i="26"/>
  <c r="AR20" i="26"/>
  <c r="AQ20" i="26"/>
  <c r="AT12" i="26"/>
  <c r="AS12" i="26"/>
  <c r="AR12" i="26"/>
  <c r="AQ12" i="26"/>
  <c r="AT13" i="26"/>
  <c r="AS13" i="26"/>
  <c r="AR13" i="26"/>
  <c r="AQ13" i="26"/>
  <c r="S11" i="26"/>
  <c r="T11" i="26" s="1"/>
  <c r="X11" i="26" s="1"/>
  <c r="R12" i="26"/>
  <c r="AT32" i="26"/>
  <c r="AS32" i="26"/>
  <c r="AR32" i="26"/>
  <c r="AQ32" i="26"/>
  <c r="AT10" i="26"/>
  <c r="AS10" i="26"/>
  <c r="AR10" i="26"/>
  <c r="AQ10" i="26"/>
  <c r="AT33" i="26"/>
  <c r="AS33" i="26"/>
  <c r="AR33" i="26"/>
  <c r="AQ33" i="26"/>
  <c r="T10" i="26"/>
  <c r="X10" i="26" s="1"/>
  <c r="AT15" i="26"/>
  <c r="AS15" i="26"/>
  <c r="AR15" i="26"/>
  <c r="AQ15" i="26"/>
  <c r="AT7" i="26"/>
  <c r="AS7" i="26"/>
  <c r="AR7" i="26"/>
  <c r="AQ7" i="26"/>
  <c r="AT27" i="26"/>
  <c r="AS27" i="26"/>
  <c r="AR27" i="26"/>
  <c r="AQ27" i="26"/>
  <c r="AT24" i="26"/>
  <c r="AS24" i="26"/>
  <c r="AR24" i="26"/>
  <c r="AQ24" i="26"/>
  <c r="AT28" i="26"/>
  <c r="AS28" i="26"/>
  <c r="AR28" i="26"/>
  <c r="AQ28" i="26"/>
  <c r="K98" i="27"/>
  <c r="H98" i="27"/>
  <c r="I98" i="27"/>
  <c r="J98" i="27"/>
  <c r="AB60" i="26"/>
  <c r="T6" i="13"/>
  <c r="S8" i="13"/>
  <c r="T7" i="13"/>
  <c r="V171" i="27"/>
  <c r="S9" i="13"/>
  <c r="R10" i="13"/>
  <c r="L60" i="27"/>
  <c r="B62" i="27"/>
  <c r="B61" i="27"/>
  <c r="AI9" i="13"/>
  <c r="AF10" i="13"/>
  <c r="K10" i="13"/>
  <c r="J11" i="13"/>
  <c r="Q7" i="19"/>
  <c r="Q11" i="19"/>
  <c r="Q15" i="19"/>
  <c r="Q19" i="19"/>
  <c r="Q22" i="19"/>
  <c r="Q30" i="19"/>
  <c r="Q31" i="19"/>
  <c r="Q33" i="19"/>
  <c r="Q36" i="19"/>
  <c r="Q38" i="19"/>
  <c r="Q41" i="19"/>
  <c r="Q44" i="19"/>
  <c r="Q10" i="19"/>
  <c r="Q14" i="19"/>
  <c r="Q18" i="19"/>
  <c r="Q21" i="19"/>
  <c r="Q25" i="19"/>
  <c r="Q26" i="19"/>
  <c r="Q29" i="19"/>
  <c r="Q32" i="19"/>
  <c r="Q43" i="19"/>
  <c r="Q6" i="19"/>
  <c r="R6" i="19" s="1"/>
  <c r="S6" i="19" s="1"/>
  <c r="T6" i="19" s="1"/>
  <c r="X6" i="19" s="1"/>
  <c r="Y6" i="19" s="1"/>
  <c r="Q9" i="19"/>
  <c r="Q13" i="19"/>
  <c r="Q17" i="19"/>
  <c r="Q24" i="19"/>
  <c r="Q28" i="19"/>
  <c r="Q35" i="19"/>
  <c r="Q40" i="19"/>
  <c r="Q42" i="19"/>
  <c r="Q8" i="19"/>
  <c r="Q12" i="19"/>
  <c r="Q16" i="19"/>
  <c r="Q20" i="19"/>
  <c r="Q23" i="19"/>
  <c r="Q27" i="19"/>
  <c r="Q34" i="19"/>
  <c r="Q37" i="19"/>
  <c r="Q39" i="19"/>
  <c r="Q45" i="19"/>
  <c r="Q47" i="19"/>
  <c r="J13" i="19"/>
  <c r="K12" i="19"/>
  <c r="O12" i="19" s="1"/>
  <c r="Y9" i="18"/>
  <c r="S10" i="18"/>
  <c r="R11" i="18"/>
  <c r="K10" i="18"/>
  <c r="O10" i="18" s="1"/>
  <c r="J11" i="18"/>
  <c r="AH14" i="18"/>
  <c r="AI13" i="18"/>
  <c r="AF16" i="18"/>
  <c r="J102" i="21" l="1"/>
  <c r="K101" i="21"/>
  <c r="O101" i="21" s="1"/>
  <c r="Y95" i="20"/>
  <c r="C113" i="20"/>
  <c r="E113" i="20" s="1"/>
  <c r="C127" i="20" s="1"/>
  <c r="F127" i="20" s="1"/>
  <c r="S90" i="21"/>
  <c r="T90" i="21" s="1"/>
  <c r="X90" i="21" s="1"/>
  <c r="Y90" i="21" s="1"/>
  <c r="R91" i="21"/>
  <c r="AI92" i="21"/>
  <c r="AF93" i="21"/>
  <c r="O10" i="13"/>
  <c r="Y11" i="26"/>
  <c r="AB50" i="26"/>
  <c r="AB45" i="26"/>
  <c r="AH45" i="26" s="1"/>
  <c r="AH46" i="26" s="1"/>
  <c r="AH47" i="26" s="1"/>
  <c r="AH48" i="26" s="1"/>
  <c r="AH49" i="26" s="1"/>
  <c r="K12" i="26"/>
  <c r="O12" i="26" s="1"/>
  <c r="J13" i="26"/>
  <c r="Y10" i="26"/>
  <c r="AF8" i="26"/>
  <c r="AI7" i="26"/>
  <c r="S12" i="26"/>
  <c r="R13" i="26"/>
  <c r="H94" i="26"/>
  <c r="C99" i="27"/>
  <c r="L99" i="27" s="1"/>
  <c r="AB5" i="26"/>
  <c r="AL5" i="26"/>
  <c r="L98" i="27"/>
  <c r="X7" i="13"/>
  <c r="Y7" i="13" s="1"/>
  <c r="T8" i="13"/>
  <c r="X6" i="13"/>
  <c r="Y6" i="13" s="1"/>
  <c r="T9" i="13"/>
  <c r="AM35" i="19"/>
  <c r="AN50" i="19"/>
  <c r="AO35" i="19"/>
  <c r="AL40" i="19"/>
  <c r="AN40" i="19"/>
  <c r="Q46" i="19"/>
  <c r="S10" i="13"/>
  <c r="R11" i="13"/>
  <c r="J62" i="27"/>
  <c r="K62" i="27"/>
  <c r="I62" i="27"/>
  <c r="H62" i="27"/>
  <c r="H61" i="27"/>
  <c r="K61" i="27"/>
  <c r="I61" i="27"/>
  <c r="J61" i="27"/>
  <c r="AO40" i="19"/>
  <c r="AI10" i="13"/>
  <c r="AF11" i="13"/>
  <c r="K11" i="13"/>
  <c r="J12" i="13"/>
  <c r="R7" i="19"/>
  <c r="S7" i="19" s="1"/>
  <c r="T7" i="19" s="1"/>
  <c r="X7" i="19" s="1"/>
  <c r="Y7" i="19" s="1"/>
  <c r="K13" i="19"/>
  <c r="O13" i="19" s="1"/>
  <c r="J14" i="19"/>
  <c r="S11" i="18"/>
  <c r="T11" i="18" s="1"/>
  <c r="X11" i="18" s="1"/>
  <c r="R12" i="18"/>
  <c r="T10" i="18"/>
  <c r="X10" i="18" s="1"/>
  <c r="Y10" i="18" s="1"/>
  <c r="K11" i="18"/>
  <c r="O11" i="18" s="1"/>
  <c r="J12" i="18"/>
  <c r="AF17" i="18"/>
  <c r="AH15" i="18"/>
  <c r="AI14" i="18"/>
  <c r="J103" i="21" l="1"/>
  <c r="K102" i="21"/>
  <c r="O102" i="21" s="1"/>
  <c r="S91" i="21"/>
  <c r="T91" i="21" s="1"/>
  <c r="X91" i="21" s="1"/>
  <c r="R92" i="21"/>
  <c r="AI93" i="21"/>
  <c r="AF94" i="21"/>
  <c r="O11" i="13"/>
  <c r="AG45" i="26"/>
  <c r="AG46" i="26" s="1"/>
  <c r="AG47" i="26" s="1"/>
  <c r="AG48" i="26" s="1"/>
  <c r="AG49" i="26" s="1"/>
  <c r="AG50" i="26" s="1"/>
  <c r="AG51" i="26" s="1"/>
  <c r="AG52" i="26" s="1"/>
  <c r="AG53" i="26" s="1"/>
  <c r="AG54" i="26" s="1"/>
  <c r="AG55" i="26" s="1"/>
  <c r="AG56" i="26" s="1"/>
  <c r="AG57" i="26" s="1"/>
  <c r="AG58" i="26" s="1"/>
  <c r="AG59" i="26" s="1"/>
  <c r="AG60" i="26" s="1"/>
  <c r="AG61" i="26" s="1"/>
  <c r="AG62" i="26" s="1"/>
  <c r="AG63" i="26" s="1"/>
  <c r="AG64" i="26" s="1"/>
  <c r="AG65" i="26" s="1"/>
  <c r="AG66" i="26" s="1"/>
  <c r="AG67" i="26" s="1"/>
  <c r="AG68" i="26" s="1"/>
  <c r="AG69" i="26" s="1"/>
  <c r="AG70" i="26" s="1"/>
  <c r="AG71" i="26" s="1"/>
  <c r="AG72" i="26" s="1"/>
  <c r="AG73" i="26" s="1"/>
  <c r="AG74" i="26" s="1"/>
  <c r="AG75" i="26" s="1"/>
  <c r="AG76" i="26" s="1"/>
  <c r="AG77" i="26" s="1"/>
  <c r="AG78" i="26" s="1"/>
  <c r="AG79" i="26" s="1"/>
  <c r="AG80" i="26" s="1"/>
  <c r="AG81" i="26" s="1"/>
  <c r="AG82" i="26" s="1"/>
  <c r="AG83" i="26" s="1"/>
  <c r="AG84" i="26" s="1"/>
  <c r="AG85" i="26" s="1"/>
  <c r="AG86" i="26" s="1"/>
  <c r="AG87" i="26" s="1"/>
  <c r="AG88" i="26" s="1"/>
  <c r="AG89" i="26" s="1"/>
  <c r="AG90" i="26" s="1"/>
  <c r="AG91" i="26" s="1"/>
  <c r="AG92" i="26" s="1"/>
  <c r="AG93" i="26" s="1"/>
  <c r="AG94" i="26" s="1"/>
  <c r="AG95" i="26" s="1"/>
  <c r="AH50" i="26"/>
  <c r="AH51" i="26" s="1"/>
  <c r="AH52" i="26" s="1"/>
  <c r="AH53" i="26" s="1"/>
  <c r="AH54" i="26" s="1"/>
  <c r="AH55" i="26" s="1"/>
  <c r="AH56" i="26" s="1"/>
  <c r="AH57" i="26" s="1"/>
  <c r="AH58" i="26" s="1"/>
  <c r="AH59" i="26" s="1"/>
  <c r="AH60" i="26" s="1"/>
  <c r="AH61" i="26" s="1"/>
  <c r="AH62" i="26" s="1"/>
  <c r="AH63" i="26" s="1"/>
  <c r="AH64" i="26" s="1"/>
  <c r="AH65" i="26" s="1"/>
  <c r="AH66" i="26" s="1"/>
  <c r="AH67" i="26" s="1"/>
  <c r="AH68" i="26" s="1"/>
  <c r="AH69" i="26" s="1"/>
  <c r="AH70" i="26" s="1"/>
  <c r="AH71" i="26" s="1"/>
  <c r="AH72" i="26" s="1"/>
  <c r="AH73" i="26" s="1"/>
  <c r="AH74" i="26" s="1"/>
  <c r="AH75" i="26" s="1"/>
  <c r="AH76" i="26" s="1"/>
  <c r="AH77" i="26" s="1"/>
  <c r="AH78" i="26" s="1"/>
  <c r="AH79" i="26" s="1"/>
  <c r="AH80" i="26" s="1"/>
  <c r="AH81" i="26" s="1"/>
  <c r="AH82" i="26" s="1"/>
  <c r="AH83" i="26" s="1"/>
  <c r="AH84" i="26" s="1"/>
  <c r="AH85" i="26" s="1"/>
  <c r="AH86" i="26" s="1"/>
  <c r="AH87" i="26" s="1"/>
  <c r="AH88" i="26" s="1"/>
  <c r="AH89" i="26" s="1"/>
  <c r="AH90" i="26" s="1"/>
  <c r="AH91" i="26" s="1"/>
  <c r="AH92" i="26" s="1"/>
  <c r="AH93" i="26" s="1"/>
  <c r="AH94" i="26" s="1"/>
  <c r="AH95" i="26" s="1"/>
  <c r="K13" i="26"/>
  <c r="O13" i="26" s="1"/>
  <c r="J14" i="26"/>
  <c r="AF9" i="26"/>
  <c r="AI8" i="26"/>
  <c r="T12" i="26"/>
  <c r="X12" i="26" s="1"/>
  <c r="S13" i="26"/>
  <c r="T13" i="26" s="1"/>
  <c r="X13" i="26" s="1"/>
  <c r="R14" i="26"/>
  <c r="X8" i="13"/>
  <c r="Y8" i="13" s="1"/>
  <c r="T10" i="13"/>
  <c r="X9" i="13"/>
  <c r="Y9" i="13" s="1"/>
  <c r="AM45" i="19"/>
  <c r="AL55" i="19"/>
  <c r="AN35" i="19"/>
  <c r="AP35" i="19"/>
  <c r="AL50" i="19"/>
  <c r="AR40" i="19"/>
  <c r="X56" i="27" s="1"/>
  <c r="AS40" i="19"/>
  <c r="Y56" i="27" s="1"/>
  <c r="AM40" i="19"/>
  <c r="AQ40" i="19" s="1"/>
  <c r="W56" i="27" s="1"/>
  <c r="AL45" i="19"/>
  <c r="AP40" i="19"/>
  <c r="AT40" i="19" s="1"/>
  <c r="Z56" i="27" s="1"/>
  <c r="AN45" i="19"/>
  <c r="AL35" i="19"/>
  <c r="AP45" i="19"/>
  <c r="AP50" i="19"/>
  <c r="AO45" i="19"/>
  <c r="S11" i="13"/>
  <c r="R12" i="13"/>
  <c r="AE69" i="19"/>
  <c r="L62" i="27"/>
  <c r="B65" i="27"/>
  <c r="B63" i="27"/>
  <c r="L61" i="27"/>
  <c r="AI11" i="13"/>
  <c r="AF12" i="13"/>
  <c r="K12" i="13"/>
  <c r="J13" i="13"/>
  <c r="R8" i="19"/>
  <c r="K14" i="19"/>
  <c r="O14" i="19" s="1"/>
  <c r="J15" i="19"/>
  <c r="S12" i="18"/>
  <c r="T12" i="18" s="1"/>
  <c r="X12" i="18" s="1"/>
  <c r="R13" i="18"/>
  <c r="Y11" i="18"/>
  <c r="K12" i="18"/>
  <c r="O12" i="18" s="1"/>
  <c r="J13" i="18"/>
  <c r="AH16" i="18"/>
  <c r="AI15" i="18"/>
  <c r="AF18" i="18"/>
  <c r="J104" i="21" l="1"/>
  <c r="K103" i="21"/>
  <c r="O103" i="21" s="1"/>
  <c r="R93" i="21"/>
  <c r="S92" i="21"/>
  <c r="T92" i="21" s="1"/>
  <c r="X92" i="21" s="1"/>
  <c r="Y92" i="21" s="1"/>
  <c r="Y91" i="21"/>
  <c r="AF95" i="21"/>
  <c r="AI94" i="21"/>
  <c r="O12" i="13"/>
  <c r="J15" i="26"/>
  <c r="K14" i="26"/>
  <c r="O14" i="26" s="1"/>
  <c r="Y13" i="26"/>
  <c r="Y12" i="26"/>
  <c r="AI9" i="26"/>
  <c r="AF10" i="26"/>
  <c r="S14" i="26"/>
  <c r="R15" i="26"/>
  <c r="T11" i="13"/>
  <c r="X10" i="13"/>
  <c r="Y10" i="13" s="1"/>
  <c r="AT35" i="19"/>
  <c r="AQ35" i="19"/>
  <c r="AR35" i="19"/>
  <c r="AS35" i="19"/>
  <c r="AT50" i="19"/>
  <c r="Z66" i="27" s="1"/>
  <c r="AR50" i="19"/>
  <c r="X66" i="27" s="1"/>
  <c r="AT45" i="19"/>
  <c r="Z61" i="27" s="1"/>
  <c r="AR45" i="19"/>
  <c r="X61" i="27" s="1"/>
  <c r="AS45" i="19"/>
  <c r="Y61" i="27" s="1"/>
  <c r="AQ45" i="19"/>
  <c r="W61" i="27" s="1"/>
  <c r="V56" i="27"/>
  <c r="AE30" i="19"/>
  <c r="AD35" i="19"/>
  <c r="AE50" i="19"/>
  <c r="AD55" i="19"/>
  <c r="AC55" i="19"/>
  <c r="AB45" i="19"/>
  <c r="AC45" i="19"/>
  <c r="AD45" i="19"/>
  <c r="AD50" i="19"/>
  <c r="AE40" i="19"/>
  <c r="AD40" i="19"/>
  <c r="AN30" i="19"/>
  <c r="AD30" i="19"/>
  <c r="AB50" i="19"/>
  <c r="AB40" i="19"/>
  <c r="AC40" i="19"/>
  <c r="AE35" i="19"/>
  <c r="AE45" i="19"/>
  <c r="AC50" i="19"/>
  <c r="S12" i="13"/>
  <c r="R13" i="13"/>
  <c r="AO25" i="19"/>
  <c r="AP24" i="19"/>
  <c r="AE10" i="19"/>
  <c r="AL31" i="19"/>
  <c r="AP9" i="19"/>
  <c r="AE61" i="19"/>
  <c r="AN24" i="19"/>
  <c r="AL28" i="19"/>
  <c r="AM29" i="19"/>
  <c r="AE11" i="19"/>
  <c r="AB53" i="19"/>
  <c r="AM32" i="19"/>
  <c r="AE42" i="19"/>
  <c r="AB49" i="19"/>
  <c r="AD58" i="19"/>
  <c r="AL22" i="19"/>
  <c r="AC31" i="19"/>
  <c r="AM23" i="19"/>
  <c r="AO6" i="19"/>
  <c r="AM10" i="19"/>
  <c r="AO27" i="19"/>
  <c r="AE21" i="19"/>
  <c r="AP19" i="19"/>
  <c r="AE64" i="19"/>
  <c r="AO31" i="19"/>
  <c r="AP7" i="19"/>
  <c r="AC52" i="19"/>
  <c r="AM31" i="19"/>
  <c r="AL20" i="19"/>
  <c r="AB64" i="19"/>
  <c r="AD32" i="19"/>
  <c r="AN26" i="19"/>
  <c r="AP28" i="19"/>
  <c r="AD43" i="19"/>
  <c r="AN34" i="19"/>
  <c r="AL6" i="19"/>
  <c r="AP6" i="19"/>
  <c r="AB60" i="19"/>
  <c r="AO18" i="19"/>
  <c r="AE8" i="19"/>
  <c r="AE18" i="19"/>
  <c r="AP10" i="19"/>
  <c r="AB46" i="19"/>
  <c r="AB47" i="19"/>
  <c r="AB58" i="19"/>
  <c r="AP33" i="19"/>
  <c r="AL7" i="19"/>
  <c r="AO24" i="19"/>
  <c r="AE28" i="19"/>
  <c r="AL18" i="19"/>
  <c r="AN21" i="19"/>
  <c r="AM18" i="19"/>
  <c r="AM9" i="19"/>
  <c r="AD34" i="19"/>
  <c r="AO7" i="19"/>
  <c r="AS7" i="19" s="1"/>
  <c r="Y23" i="27" s="1"/>
  <c r="AB19" i="19"/>
  <c r="AO16" i="19"/>
  <c r="AL34" i="19"/>
  <c r="AM15" i="19"/>
  <c r="AN18" i="19"/>
  <c r="H63" i="27"/>
  <c r="I63" i="27"/>
  <c r="J63" i="27"/>
  <c r="K63" i="27"/>
  <c r="Q57" i="19"/>
  <c r="Q58" i="19"/>
  <c r="Q63" i="19"/>
  <c r="Q59" i="19"/>
  <c r="Q61" i="19"/>
  <c r="Q62" i="19"/>
  <c r="Q60" i="19"/>
  <c r="Q50" i="19"/>
  <c r="Q56" i="19"/>
  <c r="Q49" i="19"/>
  <c r="Q48" i="19"/>
  <c r="Q51" i="19"/>
  <c r="Q52" i="19"/>
  <c r="B64" i="27"/>
  <c r="AA157" i="27" s="1"/>
  <c r="AB157" i="27" s="1"/>
  <c r="AL26" i="19"/>
  <c r="AM34" i="19"/>
  <c r="AB55" i="19"/>
  <c r="AO15" i="19"/>
  <c r="AN27" i="19"/>
  <c r="AN15" i="19"/>
  <c r="AD27" i="19"/>
  <c r="J65" i="27"/>
  <c r="K65" i="27"/>
  <c r="H65" i="27"/>
  <c r="I65" i="27"/>
  <c r="AF13" i="13"/>
  <c r="AI12" i="13"/>
  <c r="K13" i="13"/>
  <c r="J14" i="13"/>
  <c r="Q54" i="19"/>
  <c r="Q53" i="19"/>
  <c r="S8" i="19"/>
  <c r="T8" i="19" s="1"/>
  <c r="X8" i="19" s="1"/>
  <c r="Y8" i="19" s="1"/>
  <c r="R9" i="19"/>
  <c r="C94" i="19"/>
  <c r="Q55" i="19"/>
  <c r="K15" i="19"/>
  <c r="O15" i="19" s="1"/>
  <c r="J16" i="19"/>
  <c r="Y12" i="18"/>
  <c r="R14" i="18"/>
  <c r="S13" i="18"/>
  <c r="T13" i="18" s="1"/>
  <c r="X13" i="18" s="1"/>
  <c r="K13" i="18"/>
  <c r="O13" i="18" s="1"/>
  <c r="J14" i="18"/>
  <c r="AF19" i="18"/>
  <c r="AH17" i="18"/>
  <c r="AI16" i="18"/>
  <c r="AI95" i="21" l="1"/>
  <c r="AF96" i="21"/>
  <c r="J105" i="21"/>
  <c r="K104" i="21"/>
  <c r="O104" i="21" s="1"/>
  <c r="R94" i="21"/>
  <c r="S93" i="21"/>
  <c r="T93" i="21" s="1"/>
  <c r="X93" i="21" s="1"/>
  <c r="O13" i="13"/>
  <c r="J16" i="26"/>
  <c r="K15" i="26"/>
  <c r="O15" i="26" s="1"/>
  <c r="T14" i="26"/>
  <c r="X14" i="26" s="1"/>
  <c r="AF11" i="26"/>
  <c r="AI10" i="26"/>
  <c r="S15" i="26"/>
  <c r="T15" i="26" s="1"/>
  <c r="X15" i="26" s="1"/>
  <c r="R16" i="26"/>
  <c r="T12" i="13"/>
  <c r="X11" i="13"/>
  <c r="Y11" i="13" s="1"/>
  <c r="AL94" i="19"/>
  <c r="AO69" i="19"/>
  <c r="AM72" i="19"/>
  <c r="AL85" i="19"/>
  <c r="AL80" i="19"/>
  <c r="AO86" i="19"/>
  <c r="AP95" i="19"/>
  <c r="AN75" i="19"/>
  <c r="AP79" i="19"/>
  <c r="AM69" i="19"/>
  <c r="AP71" i="19"/>
  <c r="AL81" i="19"/>
  <c r="AL95" i="19"/>
  <c r="AO95" i="19"/>
  <c r="AL66" i="19"/>
  <c r="AP81" i="19"/>
  <c r="AM84" i="19"/>
  <c r="AM74" i="19"/>
  <c r="AM79" i="19"/>
  <c r="AL71" i="19"/>
  <c r="AN79" i="19"/>
  <c r="AO88" i="19"/>
  <c r="AM75" i="19"/>
  <c r="AO67" i="19"/>
  <c r="AN74" i="19"/>
  <c r="AP78" i="19"/>
  <c r="AN93" i="19"/>
  <c r="AN90" i="19"/>
  <c r="AM67" i="19"/>
  <c r="AL70" i="19"/>
  <c r="AO74" i="19"/>
  <c r="AN77" i="19"/>
  <c r="AO77" i="19"/>
  <c r="AN91" i="19"/>
  <c r="AP74" i="19"/>
  <c r="AM90" i="19"/>
  <c r="AP82" i="19"/>
  <c r="AL78" i="19"/>
  <c r="AO76" i="19"/>
  <c r="AN85" i="19"/>
  <c r="AN87" i="19"/>
  <c r="AL82" i="19"/>
  <c r="AO78" i="19"/>
  <c r="AL88" i="19"/>
  <c r="AM83" i="19"/>
  <c r="AO80" i="19"/>
  <c r="AL83" i="19"/>
  <c r="AL69" i="19"/>
  <c r="AP84" i="19"/>
  <c r="AN68" i="19"/>
  <c r="AP75" i="19"/>
  <c r="AM68" i="19"/>
  <c r="AM76" i="19"/>
  <c r="AP86" i="19"/>
  <c r="AM78" i="19"/>
  <c r="AL74" i="19"/>
  <c r="AO71" i="19"/>
  <c r="AL90" i="19"/>
  <c r="AP77" i="19"/>
  <c r="AM94" i="19"/>
  <c r="AL73" i="19"/>
  <c r="AP67" i="19"/>
  <c r="AL84" i="19"/>
  <c r="AN69" i="19"/>
  <c r="AL67" i="19"/>
  <c r="AM77" i="19"/>
  <c r="AN71" i="19"/>
  <c r="AO66" i="19"/>
  <c r="AO79" i="19"/>
  <c r="AM66" i="19"/>
  <c r="AM91" i="19"/>
  <c r="AO72" i="19"/>
  <c r="AO82" i="19"/>
  <c r="AM92" i="19"/>
  <c r="AL72" i="19"/>
  <c r="AM93" i="19"/>
  <c r="AM71" i="19"/>
  <c r="AN82" i="19"/>
  <c r="AM89" i="19"/>
  <c r="AM73" i="19"/>
  <c r="AN66" i="19"/>
  <c r="AL87" i="19"/>
  <c r="AM81" i="19"/>
  <c r="AN80" i="19"/>
  <c r="AP83" i="19"/>
  <c r="AL93" i="19"/>
  <c r="AM86" i="19"/>
  <c r="AO91" i="19"/>
  <c r="AL76" i="19"/>
  <c r="AL77" i="19"/>
  <c r="AN83" i="19"/>
  <c r="AO92" i="19"/>
  <c r="AN94" i="19"/>
  <c r="AO81" i="19"/>
  <c r="AN67" i="19"/>
  <c r="AP73" i="19"/>
  <c r="AN92" i="19"/>
  <c r="AN84" i="19"/>
  <c r="AM80" i="19"/>
  <c r="AN86" i="19"/>
  <c r="AO84" i="19"/>
  <c r="AP69" i="19"/>
  <c r="AO73" i="19"/>
  <c r="AP94" i="19"/>
  <c r="AO89" i="19"/>
  <c r="AM70" i="19"/>
  <c r="AO90" i="19"/>
  <c r="AM87" i="19"/>
  <c r="AP88" i="19"/>
  <c r="AN70" i="19"/>
  <c r="AL91" i="19"/>
  <c r="AN89" i="19"/>
  <c r="AP85" i="19"/>
  <c r="AN88" i="19"/>
  <c r="AM85" i="19"/>
  <c r="AP87" i="19"/>
  <c r="AO68" i="19"/>
  <c r="AP80" i="19"/>
  <c r="AP89" i="19"/>
  <c r="AP76" i="19"/>
  <c r="AN76" i="19"/>
  <c r="AN81" i="19"/>
  <c r="AP70" i="19"/>
  <c r="AP92" i="19"/>
  <c r="AN73" i="19"/>
  <c r="AL92" i="19"/>
  <c r="AL89" i="19"/>
  <c r="AO85" i="19"/>
  <c r="AO75" i="19"/>
  <c r="AP68" i="19"/>
  <c r="AO93" i="19"/>
  <c r="AM82" i="19"/>
  <c r="AL75" i="19"/>
  <c r="AP93" i="19"/>
  <c r="AO83" i="19"/>
  <c r="AO70" i="19"/>
  <c r="AN72" i="19"/>
  <c r="AL86" i="19"/>
  <c r="AO87" i="19"/>
  <c r="AP90" i="19"/>
  <c r="AM88" i="19"/>
  <c r="AL68" i="19"/>
  <c r="AM95" i="19"/>
  <c r="AP66" i="19"/>
  <c r="AN95" i="19"/>
  <c r="AP91" i="19"/>
  <c r="AN78" i="19"/>
  <c r="AL79" i="19"/>
  <c r="AO94" i="19"/>
  <c r="AP72" i="19"/>
  <c r="V61" i="27"/>
  <c r="AN65" i="19"/>
  <c r="AO37" i="19"/>
  <c r="AN52" i="19"/>
  <c r="AP36" i="19"/>
  <c r="AL37" i="19"/>
  <c r="AN64" i="19"/>
  <c r="AP52" i="19"/>
  <c r="AO36" i="19"/>
  <c r="AO43" i="19"/>
  <c r="AN37" i="19"/>
  <c r="AN38" i="19"/>
  <c r="AP47" i="19"/>
  <c r="AN59" i="19"/>
  <c r="AN63" i="19"/>
  <c r="AM51" i="19"/>
  <c r="AP39" i="19"/>
  <c r="AP38" i="19"/>
  <c r="AO58" i="19"/>
  <c r="AN58" i="19"/>
  <c r="AL36" i="19"/>
  <c r="AO50" i="19"/>
  <c r="AS50" i="19" s="1"/>
  <c r="Y66" i="27" s="1"/>
  <c r="AM59" i="19"/>
  <c r="AP61" i="19"/>
  <c r="AL47" i="19"/>
  <c r="AP49" i="19"/>
  <c r="AM47" i="19"/>
  <c r="AL42" i="19"/>
  <c r="AL59" i="19"/>
  <c r="AM52" i="19"/>
  <c r="AN56" i="19"/>
  <c r="AN51" i="19"/>
  <c r="AM64" i="19"/>
  <c r="AN62" i="19"/>
  <c r="AO49" i="19"/>
  <c r="AO46" i="19"/>
  <c r="AL54" i="19"/>
  <c r="AN47" i="19"/>
  <c r="AL60" i="19"/>
  <c r="AO56" i="19"/>
  <c r="AP44" i="19"/>
  <c r="AN60" i="19"/>
  <c r="AN46" i="19"/>
  <c r="AN44" i="19"/>
  <c r="AN43" i="19"/>
  <c r="AL51" i="19"/>
  <c r="AN39" i="19"/>
  <c r="AM63" i="19"/>
  <c r="AM50" i="19"/>
  <c r="AQ50" i="19" s="1"/>
  <c r="W66" i="27" s="1"/>
  <c r="AO39" i="19"/>
  <c r="AP59" i="19"/>
  <c r="AO62" i="19"/>
  <c r="AL61" i="19"/>
  <c r="AL63" i="19"/>
  <c r="AL65" i="19"/>
  <c r="AM36" i="19"/>
  <c r="AO52" i="19"/>
  <c r="AO57" i="19"/>
  <c r="AM38" i="19"/>
  <c r="AO53" i="19"/>
  <c r="AM41" i="19"/>
  <c r="AP55" i="19"/>
  <c r="AT55" i="19" s="1"/>
  <c r="Z71" i="27" s="1"/>
  <c r="AM58" i="19"/>
  <c r="AO65" i="19"/>
  <c r="AN53" i="19"/>
  <c r="AP60" i="19"/>
  <c r="AM56" i="19"/>
  <c r="AP48" i="19"/>
  <c r="AO59" i="19"/>
  <c r="AP43" i="19"/>
  <c r="AN54" i="19"/>
  <c r="AL48" i="19"/>
  <c r="AM61" i="19"/>
  <c r="AP37" i="19"/>
  <c r="AP65" i="19"/>
  <c r="AN41" i="19"/>
  <c r="AO54" i="19"/>
  <c r="AM46" i="19"/>
  <c r="AO63" i="19"/>
  <c r="AN57" i="19"/>
  <c r="AP46" i="19"/>
  <c r="AN36" i="19"/>
  <c r="AN55" i="19"/>
  <c r="AR55" i="19" s="1"/>
  <c r="X71" i="27" s="1"/>
  <c r="AO47" i="19"/>
  <c r="AO41" i="19"/>
  <c r="AL57" i="19"/>
  <c r="AM48" i="19"/>
  <c r="AL64" i="19"/>
  <c r="AO48" i="19"/>
  <c r="AM49" i="19"/>
  <c r="AM44" i="19"/>
  <c r="AM53" i="19"/>
  <c r="AN49" i="19"/>
  <c r="AM54" i="19"/>
  <c r="AL58" i="19"/>
  <c r="AN42" i="19"/>
  <c r="AM43" i="19"/>
  <c r="AL49" i="19"/>
  <c r="AM42" i="19"/>
  <c r="AO42" i="19"/>
  <c r="AM60" i="19"/>
  <c r="AM65" i="19"/>
  <c r="AM57" i="19"/>
  <c r="AO44" i="19"/>
  <c r="AM39" i="19"/>
  <c r="AO51" i="19"/>
  <c r="AL38" i="19"/>
  <c r="AP54" i="19"/>
  <c r="AP53" i="19"/>
  <c r="AP57" i="19"/>
  <c r="AN48" i="19"/>
  <c r="AL56" i="19"/>
  <c r="AL46" i="19"/>
  <c r="AM37" i="19"/>
  <c r="AP51" i="19"/>
  <c r="AP42" i="19"/>
  <c r="AN61" i="19"/>
  <c r="AO60" i="19"/>
  <c r="AP58" i="19"/>
  <c r="AP63" i="19"/>
  <c r="AO38" i="19"/>
  <c r="AL41" i="19"/>
  <c r="AL44" i="19"/>
  <c r="AO61" i="19"/>
  <c r="AL52" i="19"/>
  <c r="AM62" i="19"/>
  <c r="AP64" i="19"/>
  <c r="AP41" i="19"/>
  <c r="AL39" i="19"/>
  <c r="AM55" i="19"/>
  <c r="AQ55" i="19" s="1"/>
  <c r="W71" i="27" s="1"/>
  <c r="AO55" i="19"/>
  <c r="AS55" i="19" s="1"/>
  <c r="Y71" i="27" s="1"/>
  <c r="AL62" i="19"/>
  <c r="AP62" i="19"/>
  <c r="AO64" i="19"/>
  <c r="AP56" i="19"/>
  <c r="AL43" i="19"/>
  <c r="AL53" i="19"/>
  <c r="AC30" i="19"/>
  <c r="AP30" i="19"/>
  <c r="AM30" i="19"/>
  <c r="AC35" i="19"/>
  <c r="AB30" i="19"/>
  <c r="AO30" i="19"/>
  <c r="AL30" i="19"/>
  <c r="AB35" i="19"/>
  <c r="R14" i="13"/>
  <c r="S13" i="13"/>
  <c r="AC82" i="19"/>
  <c r="AC79" i="19"/>
  <c r="AC71" i="19"/>
  <c r="AC90" i="19"/>
  <c r="AD90" i="19"/>
  <c r="AD70" i="19"/>
  <c r="AB71" i="19"/>
  <c r="AB68" i="19"/>
  <c r="AB91" i="19"/>
  <c r="AD78" i="19"/>
  <c r="AB94" i="19"/>
  <c r="AD94" i="19"/>
  <c r="AB92" i="19"/>
  <c r="AB84" i="19"/>
  <c r="AC95" i="19"/>
  <c r="AB70" i="19"/>
  <c r="AD68" i="19"/>
  <c r="AD74" i="19"/>
  <c r="AC89" i="19"/>
  <c r="AD88" i="19"/>
  <c r="AB66" i="19"/>
  <c r="AD92" i="19"/>
  <c r="AC78" i="19"/>
  <c r="AB74" i="19"/>
  <c r="AC72" i="19"/>
  <c r="AB83" i="19"/>
  <c r="AC76" i="19"/>
  <c r="AB90" i="19"/>
  <c r="AD76" i="19"/>
  <c r="AB72" i="19"/>
  <c r="AB95" i="19"/>
  <c r="AB75" i="19"/>
  <c r="AD69" i="19"/>
  <c r="AC69" i="19"/>
  <c r="AD80" i="19"/>
  <c r="AD79" i="19"/>
  <c r="AD93" i="19"/>
  <c r="AB78" i="19"/>
  <c r="AD89" i="19"/>
  <c r="AD95" i="19"/>
  <c r="AB76" i="19"/>
  <c r="AD82" i="19"/>
  <c r="AB73" i="19"/>
  <c r="AD71" i="19"/>
  <c r="AB88" i="19"/>
  <c r="AC85" i="19"/>
  <c r="AC80" i="19"/>
  <c r="AD73" i="19"/>
  <c r="AE73" i="19"/>
  <c r="AC84" i="19"/>
  <c r="AC77" i="19"/>
  <c r="AE82" i="19"/>
  <c r="AB86" i="19"/>
  <c r="AD67" i="19"/>
  <c r="AB81" i="19"/>
  <c r="AC93" i="19"/>
  <c r="AD81" i="19"/>
  <c r="AC81" i="19"/>
  <c r="AC86" i="19"/>
  <c r="AD83" i="19"/>
  <c r="AE66" i="19"/>
  <c r="AE78" i="19"/>
  <c r="AC70" i="19"/>
  <c r="AD75" i="19"/>
  <c r="AC73" i="19"/>
  <c r="AD85" i="19"/>
  <c r="AC92" i="19"/>
  <c r="AC75" i="19"/>
  <c r="AE91" i="19"/>
  <c r="AD66" i="19"/>
  <c r="AE87" i="19"/>
  <c r="AE70" i="19"/>
  <c r="AC87" i="19"/>
  <c r="AD87" i="19"/>
  <c r="AB67" i="19"/>
  <c r="AC83" i="19"/>
  <c r="AC68" i="19"/>
  <c r="AE79" i="19"/>
  <c r="AE89" i="19"/>
  <c r="AE67" i="19"/>
  <c r="AB89" i="19"/>
  <c r="AB82" i="19"/>
  <c r="AD77" i="19"/>
  <c r="AE81" i="19"/>
  <c r="AB85" i="19"/>
  <c r="AC94" i="19"/>
  <c r="AD91" i="19"/>
  <c r="AE75" i="19"/>
  <c r="AE74" i="19"/>
  <c r="AC74" i="19"/>
  <c r="AE86" i="19"/>
  <c r="AB79" i="19"/>
  <c r="AE83" i="19"/>
  <c r="AC67" i="19"/>
  <c r="AB77" i="19"/>
  <c r="AD72" i="19"/>
  <c r="AE94" i="19"/>
  <c r="AD86" i="19"/>
  <c r="AC66" i="19"/>
  <c r="AD84" i="19"/>
  <c r="AB87" i="19"/>
  <c r="AB93" i="19"/>
  <c r="AE95" i="19"/>
  <c r="AC91" i="19"/>
  <c r="AB69" i="19"/>
  <c r="AB80" i="19"/>
  <c r="AE90" i="19"/>
  <c r="AE71" i="19"/>
  <c r="AE77" i="19"/>
  <c r="AE93" i="19"/>
  <c r="AE85" i="19"/>
  <c r="AE84" i="19"/>
  <c r="AE88" i="19"/>
  <c r="AE76" i="19"/>
  <c r="AE92" i="19"/>
  <c r="AE68" i="19"/>
  <c r="AE80" i="19"/>
  <c r="AC88" i="19"/>
  <c r="AE72" i="19"/>
  <c r="AQ31" i="19"/>
  <c r="W47" i="27" s="1"/>
  <c r="AS31" i="19"/>
  <c r="Y47" i="27" s="1"/>
  <c r="AR34" i="19"/>
  <c r="X50" i="27" s="1"/>
  <c r="AT6" i="19"/>
  <c r="Z22" i="27" s="1"/>
  <c r="AS18" i="19"/>
  <c r="Y34" i="27" s="1"/>
  <c r="AT7" i="19"/>
  <c r="Z23" i="27" s="1"/>
  <c r="AA190" i="27"/>
  <c r="AT28" i="19"/>
  <c r="Z44" i="27" s="1"/>
  <c r="AQ34" i="19"/>
  <c r="W50" i="27" s="1"/>
  <c r="AD22" i="19"/>
  <c r="AE22" i="19"/>
  <c r="AP25" i="19"/>
  <c r="AN25" i="19"/>
  <c r="AL25" i="19"/>
  <c r="AC25" i="19"/>
  <c r="AB22" i="19"/>
  <c r="AN22" i="19"/>
  <c r="AR22" i="19" s="1"/>
  <c r="X38" i="27" s="1"/>
  <c r="AC22" i="19"/>
  <c r="AP22" i="19"/>
  <c r="AT22" i="19" s="1"/>
  <c r="Z38" i="27" s="1"/>
  <c r="AM22" i="19"/>
  <c r="AQ22" i="19" s="1"/>
  <c r="W38" i="27" s="1"/>
  <c r="AD25" i="19"/>
  <c r="AE25" i="19"/>
  <c r="AM25" i="19"/>
  <c r="AB25" i="19"/>
  <c r="AO22" i="19"/>
  <c r="AS22" i="19" s="1"/>
  <c r="Y38" i="27" s="1"/>
  <c r="AR18" i="19"/>
  <c r="X34" i="27" s="1"/>
  <c r="AQ18" i="19"/>
  <c r="W34" i="27" s="1"/>
  <c r="AA66" i="27"/>
  <c r="AB66" i="27" s="1"/>
  <c r="AA193" i="27"/>
  <c r="AA38" i="27"/>
  <c r="AB38" i="27" s="1"/>
  <c r="AA25" i="27"/>
  <c r="AB25" i="27" s="1"/>
  <c r="AA36" i="27"/>
  <c r="AB36" i="27" s="1"/>
  <c r="AA23" i="27"/>
  <c r="AB23" i="27" s="1"/>
  <c r="AA221" i="27"/>
  <c r="AA151" i="27"/>
  <c r="AB151" i="27" s="1"/>
  <c r="AA194" i="27"/>
  <c r="AA115" i="27"/>
  <c r="AB115" i="27" s="1"/>
  <c r="AY6" i="19"/>
  <c r="AY7" i="19" s="1"/>
  <c r="AA54" i="27"/>
  <c r="AB54" i="27" s="1"/>
  <c r="AA96" i="27"/>
  <c r="AB96" i="27" s="1"/>
  <c r="AA136" i="27"/>
  <c r="AB136" i="27" s="1"/>
  <c r="AA206" i="27"/>
  <c r="AA145" i="27"/>
  <c r="AB145" i="27" s="1"/>
  <c r="AA147" i="27"/>
  <c r="AB147" i="27" s="1"/>
  <c r="AA215" i="27"/>
  <c r="AA196" i="27"/>
  <c r="AA160" i="27"/>
  <c r="AB160" i="27" s="1"/>
  <c r="AA102" i="27"/>
  <c r="AB102" i="27" s="1"/>
  <c r="AA217" i="27"/>
  <c r="AA166" i="27"/>
  <c r="AB166" i="27" s="1"/>
  <c r="AA207" i="27"/>
  <c r="AA60" i="27"/>
  <c r="AB60" i="27" s="1"/>
  <c r="AS6" i="19"/>
  <c r="Y22" i="27" s="1"/>
  <c r="AA202" i="27"/>
  <c r="AA127" i="27"/>
  <c r="AB127" i="27" s="1"/>
  <c r="AA176" i="27"/>
  <c r="AB176" i="27" s="1"/>
  <c r="AA40" i="27"/>
  <c r="AB40" i="27" s="1"/>
  <c r="AA203" i="27"/>
  <c r="AA197" i="27"/>
  <c r="AA178" i="27"/>
  <c r="AB178" i="27" s="1"/>
  <c r="AA214" i="27"/>
  <c r="AA88" i="27"/>
  <c r="AB88" i="27" s="1"/>
  <c r="AA94" i="27"/>
  <c r="AB94" i="27" s="1"/>
  <c r="AA50" i="27"/>
  <c r="AB50" i="27" s="1"/>
  <c r="AA148" i="27"/>
  <c r="AB148" i="27" s="1"/>
  <c r="AA49" i="27"/>
  <c r="AB49" i="27" s="1"/>
  <c r="AA198" i="27"/>
  <c r="AA83" i="27"/>
  <c r="AB83" i="27" s="1"/>
  <c r="AA61" i="27"/>
  <c r="AB61" i="27" s="1"/>
  <c r="AA205" i="27"/>
  <c r="AA110" i="27"/>
  <c r="AB110" i="27" s="1"/>
  <c r="AA165" i="27"/>
  <c r="AB165" i="27" s="1"/>
  <c r="AA93" i="27"/>
  <c r="AB93" i="27" s="1"/>
  <c r="AA133" i="27"/>
  <c r="AB133" i="27" s="1"/>
  <c r="AA164" i="27"/>
  <c r="AB164" i="27" s="1"/>
  <c r="AR26" i="19"/>
  <c r="X42" i="27" s="1"/>
  <c r="AA187" i="27"/>
  <c r="AA218" i="27"/>
  <c r="AA130" i="27"/>
  <c r="AB130" i="27" s="1"/>
  <c r="AA123" i="27"/>
  <c r="AB123" i="27" s="1"/>
  <c r="AA117" i="27"/>
  <c r="AB117" i="27" s="1"/>
  <c r="AA34" i="27"/>
  <c r="AB34" i="27" s="1"/>
  <c r="AA32" i="27"/>
  <c r="AB32" i="27" s="1"/>
  <c r="AA100" i="27"/>
  <c r="AB100" i="27" s="1"/>
  <c r="AA44" i="27"/>
  <c r="AB44" i="27" s="1"/>
  <c r="AA53" i="27"/>
  <c r="AB53" i="27" s="1"/>
  <c r="AA179" i="27"/>
  <c r="AB179" i="27" s="1"/>
  <c r="AA89" i="27"/>
  <c r="AB89" i="27" s="1"/>
  <c r="AA56" i="27"/>
  <c r="AB56" i="27" s="1"/>
  <c r="AA158" i="27"/>
  <c r="AB158" i="27" s="1"/>
  <c r="AA189" i="27"/>
  <c r="AA159" i="27"/>
  <c r="AB159" i="27" s="1"/>
  <c r="AA68" i="27"/>
  <c r="AB68" i="27" s="1"/>
  <c r="AA65" i="27"/>
  <c r="AB65" i="27" s="1"/>
  <c r="AA70" i="27"/>
  <c r="AB70" i="27" s="1"/>
  <c r="AA135" i="27"/>
  <c r="AB135" i="27" s="1"/>
  <c r="AA137" i="27"/>
  <c r="AB137" i="27" s="1"/>
  <c r="AA167" i="27"/>
  <c r="AB167" i="27" s="1"/>
  <c r="AA46" i="27"/>
  <c r="AB46" i="27" s="1"/>
  <c r="AA48" i="27"/>
  <c r="AB48" i="27" s="1"/>
  <c r="AA191" i="27"/>
  <c r="AA185" i="27"/>
  <c r="AA122" i="27"/>
  <c r="AB122" i="27" s="1"/>
  <c r="AA186" i="27"/>
  <c r="AA98" i="27"/>
  <c r="AB98" i="27" s="1"/>
  <c r="AA35" i="27"/>
  <c r="AB35" i="27" s="1"/>
  <c r="AA78" i="27"/>
  <c r="AB78" i="27" s="1"/>
  <c r="AA55" i="27"/>
  <c r="AB55" i="27" s="1"/>
  <c r="AA152" i="27"/>
  <c r="AB152" i="27" s="1"/>
  <c r="AA124" i="27"/>
  <c r="AB124" i="27" s="1"/>
  <c r="AA59" i="27"/>
  <c r="AB59" i="27" s="1"/>
  <c r="AA213" i="27"/>
  <c r="AA142" i="27"/>
  <c r="AB142" i="27" s="1"/>
  <c r="AA26" i="27"/>
  <c r="AB26" i="27" s="1"/>
  <c r="AA200" i="27"/>
  <c r="AA182" i="27"/>
  <c r="AC65" i="19"/>
  <c r="AB32" i="19"/>
  <c r="AB65" i="19"/>
  <c r="AD8" i="19"/>
  <c r="AC9" i="19"/>
  <c r="AE46" i="19"/>
  <c r="AE20" i="19"/>
  <c r="AC36" i="19"/>
  <c r="AD19" i="19"/>
  <c r="AD17" i="19"/>
  <c r="AB59" i="19"/>
  <c r="AE26" i="19"/>
  <c r="AE55" i="19"/>
  <c r="AE33" i="19"/>
  <c r="AD5" i="19"/>
  <c r="AC8" i="19"/>
  <c r="AE14" i="19"/>
  <c r="AC27" i="19"/>
  <c r="AD31" i="19"/>
  <c r="AD54" i="19"/>
  <c r="AC49" i="19"/>
  <c r="AC26" i="19"/>
  <c r="AE29" i="19"/>
  <c r="AE34" i="19"/>
  <c r="AC61" i="19"/>
  <c r="AE58" i="19"/>
  <c r="AD42" i="19"/>
  <c r="AC14" i="19"/>
  <c r="AB57" i="19"/>
  <c r="AB62" i="19"/>
  <c r="AB16" i="19"/>
  <c r="AB48" i="19"/>
  <c r="AD47" i="19"/>
  <c r="AD41" i="19"/>
  <c r="AC62" i="19"/>
  <c r="AC15" i="19"/>
  <c r="AC18" i="19"/>
  <c r="AC41" i="19"/>
  <c r="AD24" i="19"/>
  <c r="AE9" i="19"/>
  <c r="AE5" i="19"/>
  <c r="AC16" i="19"/>
  <c r="AB14" i="19"/>
  <c r="AE36" i="19"/>
  <c r="AD39" i="19"/>
  <c r="AD36" i="19"/>
  <c r="AD53" i="19"/>
  <c r="AC64" i="19"/>
  <c r="AD23" i="19"/>
  <c r="AB34" i="19"/>
  <c r="AB10" i="19"/>
  <c r="AE52" i="19"/>
  <c r="AC17" i="19"/>
  <c r="AC29" i="19"/>
  <c r="AD44" i="19"/>
  <c r="AE49" i="19"/>
  <c r="AD21" i="19"/>
  <c r="AC7" i="19"/>
  <c r="AC44" i="19"/>
  <c r="AC34" i="19"/>
  <c r="AC60" i="19"/>
  <c r="AN7" i="19"/>
  <c r="AR7" i="19" s="1"/>
  <c r="X23" i="27" s="1"/>
  <c r="AC54" i="19"/>
  <c r="AE41" i="19"/>
  <c r="AC24" i="19"/>
  <c r="H94" i="19"/>
  <c r="AD49" i="19"/>
  <c r="AB26" i="19"/>
  <c r="AC10" i="19"/>
  <c r="AE62" i="19"/>
  <c r="AB24" i="19"/>
  <c r="AE12" i="19"/>
  <c r="AD28" i="19"/>
  <c r="AB42" i="19"/>
  <c r="AB44" i="19"/>
  <c r="AC19" i="19"/>
  <c r="AB63" i="19"/>
  <c r="C67" i="27"/>
  <c r="L67" i="27" s="1"/>
  <c r="AA111" i="27" s="1"/>
  <c r="AB111" i="27" s="1"/>
  <c r="AC6" i="19"/>
  <c r="AC23" i="19"/>
  <c r="AC56" i="19"/>
  <c r="AC51" i="19"/>
  <c r="AB36" i="19"/>
  <c r="AB61" i="19"/>
  <c r="AC48" i="19"/>
  <c r="AC58" i="19"/>
  <c r="AC11" i="19"/>
  <c r="AB18" i="19"/>
  <c r="AD46" i="19"/>
  <c r="AD11" i="19"/>
  <c r="AE57" i="19"/>
  <c r="AB8" i="19"/>
  <c r="AE39" i="19"/>
  <c r="AC43" i="19"/>
  <c r="AC53" i="19"/>
  <c r="AE16" i="19"/>
  <c r="AD16" i="19"/>
  <c r="AC42" i="19"/>
  <c r="AD52" i="19"/>
  <c r="AD9" i="19"/>
  <c r="AB5" i="19"/>
  <c r="AC57" i="19"/>
  <c r="AC32" i="19"/>
  <c r="AC37" i="19"/>
  <c r="AB28" i="19"/>
  <c r="AE17" i="19"/>
  <c r="AE63" i="19"/>
  <c r="AE6" i="19"/>
  <c r="AE65" i="19"/>
  <c r="AE51" i="19"/>
  <c r="AC33" i="19"/>
  <c r="AC28" i="19"/>
  <c r="AE53" i="19"/>
  <c r="AE13" i="19"/>
  <c r="AP17" i="19"/>
  <c r="AO28" i="19"/>
  <c r="AS28" i="19" s="1"/>
  <c r="Y44" i="27" s="1"/>
  <c r="AN29" i="19"/>
  <c r="AM28" i="19"/>
  <c r="AQ28" i="19" s="1"/>
  <c r="W44" i="27" s="1"/>
  <c r="AE15" i="19"/>
  <c r="AP31" i="19"/>
  <c r="AT31" i="19" s="1"/>
  <c r="Z47" i="27" s="1"/>
  <c r="AM16" i="19"/>
  <c r="AB27" i="19"/>
  <c r="AP34" i="19"/>
  <c r="AT34" i="19" s="1"/>
  <c r="Z50" i="27" s="1"/>
  <c r="AM17" i="19"/>
  <c r="AP11" i="19"/>
  <c r="AL24" i="19"/>
  <c r="AD6" i="19"/>
  <c r="AO29" i="19"/>
  <c r="AO20" i="19"/>
  <c r="AS20" i="19" s="1"/>
  <c r="Y36" i="27" s="1"/>
  <c r="AE24" i="19"/>
  <c r="AC63" i="19"/>
  <c r="AB51" i="19"/>
  <c r="AO32" i="19"/>
  <c r="AM26" i="19"/>
  <c r="AQ26" i="19" s="1"/>
  <c r="W42" i="27" s="1"/>
  <c r="AE23" i="19"/>
  <c r="AO12" i="19"/>
  <c r="AN23" i="19"/>
  <c r="AE32" i="19"/>
  <c r="AL19" i="19"/>
  <c r="AM27" i="19"/>
  <c r="AP15" i="19"/>
  <c r="AD10" i="19"/>
  <c r="AB38" i="19"/>
  <c r="AE43" i="19"/>
  <c r="AC46" i="19"/>
  <c r="AD14" i="19"/>
  <c r="AL13" i="19"/>
  <c r="AP5" i="19"/>
  <c r="AD48" i="19"/>
  <c r="AB13" i="19"/>
  <c r="AD29" i="19"/>
  <c r="AD26" i="19"/>
  <c r="AD57" i="19"/>
  <c r="AL21" i="19"/>
  <c r="AB43" i="19"/>
  <c r="AO14" i="19"/>
  <c r="AE27" i="19"/>
  <c r="AL9" i="19"/>
  <c r="AP29" i="19"/>
  <c r="AN14" i="19"/>
  <c r="AD15" i="19"/>
  <c r="AL5" i="19"/>
  <c r="AO13" i="19"/>
  <c r="AB33" i="19"/>
  <c r="AP13" i="19"/>
  <c r="AL32" i="19"/>
  <c r="AP18" i="19"/>
  <c r="AT18" i="19" s="1"/>
  <c r="Z34" i="27" s="1"/>
  <c r="AN17" i="19"/>
  <c r="AE60" i="19"/>
  <c r="AB31" i="19"/>
  <c r="AN10" i="19"/>
  <c r="AB56" i="19"/>
  <c r="AP32" i="19"/>
  <c r="AN32" i="19"/>
  <c r="AO26" i="19"/>
  <c r="AS26" i="19" s="1"/>
  <c r="Y42" i="27" s="1"/>
  <c r="AP20" i="19"/>
  <c r="AT20" i="19" s="1"/>
  <c r="Z36" i="27" s="1"/>
  <c r="AD59" i="19"/>
  <c r="AD13" i="19"/>
  <c r="AD37" i="19"/>
  <c r="AO8" i="19"/>
  <c r="AB29" i="19"/>
  <c r="AN9" i="19"/>
  <c r="AN20" i="19"/>
  <c r="AR20" i="19" s="1"/>
  <c r="X36" i="27" s="1"/>
  <c r="AD65" i="19"/>
  <c r="AN31" i="19"/>
  <c r="AR31" i="19" s="1"/>
  <c r="X47" i="27" s="1"/>
  <c r="AB11" i="19"/>
  <c r="AD63" i="19"/>
  <c r="AD60" i="19"/>
  <c r="AB21" i="19"/>
  <c r="AL27" i="19"/>
  <c r="AB37" i="19"/>
  <c r="AL10" i="19"/>
  <c r="AC5" i="19"/>
  <c r="AE44" i="19"/>
  <c r="AD61" i="19"/>
  <c r="AN5" i="19"/>
  <c r="AD64" i="19"/>
  <c r="AP12" i="19"/>
  <c r="AE31" i="19"/>
  <c r="AP16" i="19"/>
  <c r="AN6" i="19"/>
  <c r="AR6" i="19" s="1"/>
  <c r="X22" i="27" s="1"/>
  <c r="AP21" i="19"/>
  <c r="AB20" i="19"/>
  <c r="AL15" i="19"/>
  <c r="AM20" i="19"/>
  <c r="AQ20" i="19" s="1"/>
  <c r="W36" i="27" s="1"/>
  <c r="AD18" i="19"/>
  <c r="AB39" i="19"/>
  <c r="AN11" i="19"/>
  <c r="AM6" i="19"/>
  <c r="AQ6" i="19" s="1"/>
  <c r="W22" i="27" s="1"/>
  <c r="AP8" i="19"/>
  <c r="AL16" i="19"/>
  <c r="AB17" i="19"/>
  <c r="AP27" i="19"/>
  <c r="AN16" i="19"/>
  <c r="AC12" i="19"/>
  <c r="AO10" i="19"/>
  <c r="AE48" i="19"/>
  <c r="AP14" i="19"/>
  <c r="AD56" i="19"/>
  <c r="AN28" i="19"/>
  <c r="AR28" i="19" s="1"/>
  <c r="X44" i="27" s="1"/>
  <c r="AM19" i="19"/>
  <c r="AO11" i="19"/>
  <c r="AM21" i="19"/>
  <c r="AC39" i="19"/>
  <c r="AD38" i="19"/>
  <c r="AL33" i="19"/>
  <c r="AN19" i="19"/>
  <c r="AE37" i="19"/>
  <c r="AE54" i="19"/>
  <c r="AB9" i="19"/>
  <c r="AO23" i="19"/>
  <c r="AM33" i="19"/>
  <c r="AC38" i="19"/>
  <c r="AO9" i="19"/>
  <c r="AP26" i="19"/>
  <c r="AT26" i="19" s="1"/>
  <c r="Z42" i="27" s="1"/>
  <c r="AE7" i="19"/>
  <c r="AE19" i="19"/>
  <c r="AN8" i="19"/>
  <c r="AM11" i="19"/>
  <c r="AC20" i="19"/>
  <c r="AC47" i="19"/>
  <c r="AE47" i="19"/>
  <c r="AN12" i="19"/>
  <c r="AD12" i="19"/>
  <c r="AC21" i="19"/>
  <c r="AM5" i="19"/>
  <c r="AM13" i="19"/>
  <c r="AP23" i="19"/>
  <c r="AD20" i="19"/>
  <c r="AL11" i="19"/>
  <c r="AM14" i="19"/>
  <c r="AB15" i="19"/>
  <c r="AL23" i="19"/>
  <c r="AD7" i="19"/>
  <c r="AL8" i="19"/>
  <c r="AO21" i="19"/>
  <c r="AL17" i="19"/>
  <c r="AO34" i="19"/>
  <c r="AS34" i="19" s="1"/>
  <c r="Y50" i="27" s="1"/>
  <c r="AB52" i="19"/>
  <c r="AO33" i="19"/>
  <c r="AB6" i="19"/>
  <c r="AM24" i="19"/>
  <c r="AB23" i="19"/>
  <c r="AB12" i="19"/>
  <c r="AL29" i="19"/>
  <c r="AB41" i="19"/>
  <c r="AC59" i="19"/>
  <c r="AB7" i="19"/>
  <c r="AN13" i="19"/>
  <c r="AN33" i="19"/>
  <c r="AO19" i="19"/>
  <c r="AD62" i="19"/>
  <c r="AC13" i="19"/>
  <c r="AL14" i="19"/>
  <c r="AO17" i="19"/>
  <c r="AE56" i="19"/>
  <c r="AE59" i="19"/>
  <c r="AB54" i="19"/>
  <c r="AO5" i="19"/>
  <c r="AD51" i="19"/>
  <c r="AM8" i="19"/>
  <c r="AM7" i="19"/>
  <c r="AQ7" i="19" s="1"/>
  <c r="W23" i="27" s="1"/>
  <c r="AM12" i="19"/>
  <c r="AD33" i="19"/>
  <c r="AE38" i="19"/>
  <c r="AL12" i="19"/>
  <c r="L65" i="27"/>
  <c r="AA103" i="27" s="1"/>
  <c r="AB103" i="27" s="1"/>
  <c r="I64" i="27"/>
  <c r="K64" i="27"/>
  <c r="H64" i="27"/>
  <c r="J64" i="27"/>
  <c r="AA99" i="27"/>
  <c r="AB99" i="27" s="1"/>
  <c r="AA62" i="27"/>
  <c r="AB62" i="27" s="1"/>
  <c r="AA73" i="27"/>
  <c r="AB73" i="27" s="1"/>
  <c r="AA114" i="27"/>
  <c r="AB114" i="27" s="1"/>
  <c r="AA39" i="27"/>
  <c r="AB39" i="27" s="1"/>
  <c r="AA184" i="27"/>
  <c r="AA201" i="27"/>
  <c r="AA172" i="27"/>
  <c r="AB172" i="27" s="1"/>
  <c r="AA161" i="27"/>
  <c r="AB161" i="27" s="1"/>
  <c r="AA72" i="27"/>
  <c r="AB72" i="27" s="1"/>
  <c r="AA144" i="27"/>
  <c r="AB144" i="27" s="1"/>
  <c r="AA24" i="27"/>
  <c r="AB24" i="27" s="1"/>
  <c r="AA192" i="27"/>
  <c r="AA105" i="27"/>
  <c r="AB105" i="27" s="1"/>
  <c r="AA154" i="27"/>
  <c r="AB154" i="27" s="1"/>
  <c r="AA199" i="27"/>
  <c r="AA97" i="27"/>
  <c r="AB97" i="27" s="1"/>
  <c r="AA139" i="27"/>
  <c r="AB139" i="27" s="1"/>
  <c r="AA143" i="27"/>
  <c r="AB143" i="27" s="1"/>
  <c r="AA52" i="27"/>
  <c r="AB52" i="27" s="1"/>
  <c r="AA51" i="27"/>
  <c r="AB51" i="27" s="1"/>
  <c r="AA128" i="27"/>
  <c r="AB128" i="27" s="1"/>
  <c r="AA175" i="27"/>
  <c r="AB175" i="27" s="1"/>
  <c r="AA134" i="27"/>
  <c r="AB134" i="27" s="1"/>
  <c r="AA209" i="27"/>
  <c r="AA173" i="27"/>
  <c r="AB173" i="27" s="1"/>
  <c r="AA107" i="27"/>
  <c r="AB107" i="27" s="1"/>
  <c r="AA109" i="27"/>
  <c r="AB109" i="27" s="1"/>
  <c r="AA208" i="27"/>
  <c r="AA140" i="27"/>
  <c r="AB140" i="27" s="1"/>
  <c r="AA45" i="27"/>
  <c r="AB45" i="27" s="1"/>
  <c r="AA64" i="27"/>
  <c r="AB64" i="27" s="1"/>
  <c r="AA113" i="27"/>
  <c r="AB113" i="27" s="1"/>
  <c r="AA219" i="27"/>
  <c r="AA69" i="27"/>
  <c r="AB69" i="27" s="1"/>
  <c r="AA119" i="27"/>
  <c r="AB119" i="27" s="1"/>
  <c r="AA71" i="27"/>
  <c r="AB71" i="27" s="1"/>
  <c r="AA33" i="27"/>
  <c r="AB33" i="27" s="1"/>
  <c r="AA57" i="27"/>
  <c r="AB57" i="27" s="1"/>
  <c r="AA112" i="27"/>
  <c r="AB112" i="27" s="1"/>
  <c r="AA84" i="27"/>
  <c r="AB84" i="27" s="1"/>
  <c r="AA163" i="27"/>
  <c r="AB163" i="27" s="1"/>
  <c r="AA162" i="27"/>
  <c r="AB162" i="27" s="1"/>
  <c r="AA120" i="27"/>
  <c r="AB120" i="27" s="1"/>
  <c r="AA170" i="27"/>
  <c r="AB170" i="27" s="1"/>
  <c r="AA169" i="27"/>
  <c r="AB169" i="27" s="1"/>
  <c r="AA104" i="27"/>
  <c r="AB104" i="27" s="1"/>
  <c r="AA174" i="27"/>
  <c r="AB174" i="27" s="1"/>
  <c r="AA42" i="27"/>
  <c r="AB42" i="27" s="1"/>
  <c r="AA155" i="27"/>
  <c r="AB155" i="27" s="1"/>
  <c r="AA132" i="27"/>
  <c r="AB132" i="27" s="1"/>
  <c r="AA181" i="27"/>
  <c r="AB181" i="27" s="1"/>
  <c r="AA138" i="27"/>
  <c r="AB138" i="27" s="1"/>
  <c r="AA28" i="27"/>
  <c r="AB28" i="27" s="1"/>
  <c r="AA121" i="27"/>
  <c r="AB121" i="27" s="1"/>
  <c r="AA29" i="27"/>
  <c r="AB29" i="27" s="1"/>
  <c r="AA216" i="27"/>
  <c r="AA156" i="27"/>
  <c r="AB156" i="27" s="1"/>
  <c r="AA58" i="27"/>
  <c r="AB58" i="27" s="1"/>
  <c r="AA150" i="27"/>
  <c r="AB150" i="27" s="1"/>
  <c r="AA43" i="27"/>
  <c r="AB43" i="27" s="1"/>
  <c r="AA27" i="27"/>
  <c r="AB27" i="27" s="1"/>
  <c r="AA180" i="27"/>
  <c r="AB180" i="27" s="1"/>
  <c r="AA168" i="27"/>
  <c r="AB168" i="27" s="1"/>
  <c r="AA106" i="27"/>
  <c r="AB106" i="27" s="1"/>
  <c r="AA183" i="27"/>
  <c r="AA116" i="27"/>
  <c r="AB116" i="27" s="1"/>
  <c r="AA146" i="27"/>
  <c r="AB146" i="27" s="1"/>
  <c r="AA37" i="27"/>
  <c r="AB37" i="27" s="1"/>
  <c r="AA131" i="27"/>
  <c r="AB131" i="27" s="1"/>
  <c r="AA67" i="27"/>
  <c r="AB67" i="27" s="1"/>
  <c r="AA47" i="27"/>
  <c r="AB47" i="27" s="1"/>
  <c r="AA220" i="27"/>
  <c r="AA177" i="27"/>
  <c r="AB177" i="27" s="1"/>
  <c r="AA125" i="27"/>
  <c r="AB125" i="27" s="1"/>
  <c r="AA149" i="27"/>
  <c r="AB149" i="27" s="1"/>
  <c r="AA126" i="27"/>
  <c r="AB126" i="27" s="1"/>
  <c r="AA211" i="27"/>
  <c r="AA129" i="27"/>
  <c r="AB129" i="27" s="1"/>
  <c r="AA141" i="27"/>
  <c r="AB141" i="27" s="1"/>
  <c r="AA118" i="27"/>
  <c r="AB118" i="27" s="1"/>
  <c r="AA41" i="27"/>
  <c r="AB41" i="27" s="1"/>
  <c r="AA30" i="27"/>
  <c r="AB30" i="27" s="1"/>
  <c r="AA212" i="27"/>
  <c r="AA108" i="27"/>
  <c r="AB108" i="27" s="1"/>
  <c r="AA171" i="27"/>
  <c r="AB171" i="27" s="1"/>
  <c r="AA210" i="27"/>
  <c r="AA204" i="27"/>
  <c r="AA195" i="27"/>
  <c r="AA188" i="27"/>
  <c r="AA63" i="27"/>
  <c r="AB63" i="27" s="1"/>
  <c r="AA31" i="27"/>
  <c r="AB31" i="27" s="1"/>
  <c r="AA153" i="27"/>
  <c r="AB153" i="27" s="1"/>
  <c r="L63" i="27"/>
  <c r="AA76" i="27" s="1"/>
  <c r="AB76" i="27" s="1"/>
  <c r="AI13" i="13"/>
  <c r="AF14" i="13"/>
  <c r="K14" i="13"/>
  <c r="J15" i="13"/>
  <c r="Q64" i="19"/>
  <c r="S9" i="19"/>
  <c r="T9" i="19" s="1"/>
  <c r="X9" i="19" s="1"/>
  <c r="Y9" i="19" s="1"/>
  <c r="R10" i="19"/>
  <c r="K16" i="19"/>
  <c r="O16" i="19" s="1"/>
  <c r="J17" i="19"/>
  <c r="Y13" i="18"/>
  <c r="R15" i="18"/>
  <c r="S14" i="18"/>
  <c r="T14" i="18" s="1"/>
  <c r="X14" i="18" s="1"/>
  <c r="K14" i="18"/>
  <c r="O14" i="18" s="1"/>
  <c r="J15" i="18"/>
  <c r="AH18" i="18"/>
  <c r="AI17" i="18"/>
  <c r="AF20" i="18"/>
  <c r="J106" i="21" l="1"/>
  <c r="K105" i="21"/>
  <c r="O105" i="21" s="1"/>
  <c r="AF97" i="21"/>
  <c r="AI96" i="21"/>
  <c r="AA92" i="27"/>
  <c r="AB92" i="27" s="1"/>
  <c r="AA90" i="27"/>
  <c r="AB90" i="27" s="1"/>
  <c r="AA91" i="27"/>
  <c r="AB91" i="27" s="1"/>
  <c r="Y93" i="21"/>
  <c r="R95" i="21"/>
  <c r="S94" i="21"/>
  <c r="T94" i="21" s="1"/>
  <c r="X94" i="21" s="1"/>
  <c r="Y94" i="21" s="1"/>
  <c r="O14" i="13"/>
  <c r="Y15" i="26"/>
  <c r="K16" i="26"/>
  <c r="O16" i="26" s="1"/>
  <c r="J17" i="26"/>
  <c r="AI11" i="26"/>
  <c r="AF12" i="26"/>
  <c r="Y14" i="26"/>
  <c r="S16" i="26"/>
  <c r="R17" i="26"/>
  <c r="AQ61" i="19"/>
  <c r="W77" i="27" s="1"/>
  <c r="T13" i="13"/>
  <c r="X12" i="13"/>
  <c r="Y12" i="13" s="1"/>
  <c r="AA101" i="27"/>
  <c r="AB101" i="27" s="1"/>
  <c r="AQ74" i="19"/>
  <c r="W90" i="27" s="1"/>
  <c r="AT74" i="19"/>
  <c r="Z90" i="27" s="1"/>
  <c r="AS74" i="19"/>
  <c r="Y90" i="27" s="1"/>
  <c r="AR74" i="19"/>
  <c r="X90" i="27" s="1"/>
  <c r="AT69" i="19"/>
  <c r="Z85" i="27" s="1"/>
  <c r="AS69" i="19"/>
  <c r="Y85" i="27" s="1"/>
  <c r="AR69" i="19"/>
  <c r="X85" i="27" s="1"/>
  <c r="AQ69" i="19"/>
  <c r="W85" i="27" s="1"/>
  <c r="AQ89" i="19"/>
  <c r="W105" i="27" s="1"/>
  <c r="AR89" i="19"/>
  <c r="X105" i="27" s="1"/>
  <c r="AT89" i="19"/>
  <c r="Z105" i="27" s="1"/>
  <c r="AS89" i="19"/>
  <c r="Y105" i="27" s="1"/>
  <c r="AR91" i="19"/>
  <c r="X107" i="27" s="1"/>
  <c r="AT91" i="19"/>
  <c r="Z107" i="27" s="1"/>
  <c r="AS91" i="19"/>
  <c r="Y107" i="27" s="1"/>
  <c r="AQ91" i="19"/>
  <c r="W107" i="27" s="1"/>
  <c r="AQ84" i="19"/>
  <c r="W100" i="27" s="1"/>
  <c r="AT84" i="19"/>
  <c r="Z100" i="27" s="1"/>
  <c r="AS84" i="19"/>
  <c r="Y100" i="27" s="1"/>
  <c r="AR84" i="19"/>
  <c r="X100" i="27" s="1"/>
  <c r="AR83" i="19"/>
  <c r="X99" i="27" s="1"/>
  <c r="AT83" i="19"/>
  <c r="Z99" i="27" s="1"/>
  <c r="AS83" i="19"/>
  <c r="Y99" i="27" s="1"/>
  <c r="AQ83" i="19"/>
  <c r="W99" i="27" s="1"/>
  <c r="AS66" i="19"/>
  <c r="Y82" i="27" s="1"/>
  <c r="AQ66" i="19"/>
  <c r="W82" i="27" s="1"/>
  <c r="AT66" i="19"/>
  <c r="Z82" i="27" s="1"/>
  <c r="AR66" i="19"/>
  <c r="X82" i="27" s="1"/>
  <c r="AQ68" i="19"/>
  <c r="W84" i="27" s="1"/>
  <c r="AT68" i="19"/>
  <c r="Z84" i="27" s="1"/>
  <c r="AS68" i="19"/>
  <c r="Y84" i="27" s="1"/>
  <c r="AR68" i="19"/>
  <c r="X84" i="27" s="1"/>
  <c r="AT92" i="19"/>
  <c r="Z108" i="27" s="1"/>
  <c r="AS92" i="19"/>
  <c r="Y108" i="27" s="1"/>
  <c r="AR92" i="19"/>
  <c r="X108" i="27" s="1"/>
  <c r="AQ92" i="19"/>
  <c r="W108" i="27" s="1"/>
  <c r="AT93" i="19"/>
  <c r="Z109" i="27" s="1"/>
  <c r="AS93" i="19"/>
  <c r="Y109" i="27" s="1"/>
  <c r="AR93" i="19"/>
  <c r="X109" i="27" s="1"/>
  <c r="AQ93" i="19"/>
  <c r="W109" i="27" s="1"/>
  <c r="AT78" i="19"/>
  <c r="Z94" i="27" s="1"/>
  <c r="AS78" i="19"/>
  <c r="Y94" i="27" s="1"/>
  <c r="AR78" i="19"/>
  <c r="X94" i="27" s="1"/>
  <c r="AQ78" i="19"/>
  <c r="W94" i="27" s="1"/>
  <c r="AR75" i="19"/>
  <c r="X91" i="27" s="1"/>
  <c r="AT75" i="19"/>
  <c r="Z91" i="27" s="1"/>
  <c r="AS75" i="19"/>
  <c r="Y91" i="27" s="1"/>
  <c r="AQ75" i="19"/>
  <c r="W91" i="27" s="1"/>
  <c r="AQ73" i="19"/>
  <c r="W89" i="27" s="1"/>
  <c r="AT73" i="19"/>
  <c r="Z89" i="27" s="1"/>
  <c r="AR73" i="19"/>
  <c r="X89" i="27" s="1"/>
  <c r="AS73" i="19"/>
  <c r="Y89" i="27" s="1"/>
  <c r="AS95" i="19"/>
  <c r="Y111" i="27" s="1"/>
  <c r="AR95" i="19"/>
  <c r="X111" i="27" s="1"/>
  <c r="AQ95" i="19"/>
  <c r="W111" i="27" s="1"/>
  <c r="AT95" i="19"/>
  <c r="Z111" i="27" s="1"/>
  <c r="AR80" i="19"/>
  <c r="X96" i="27" s="1"/>
  <c r="AQ80" i="19"/>
  <c r="W96" i="27" s="1"/>
  <c r="AS80" i="19"/>
  <c r="Y96" i="27" s="1"/>
  <c r="AT80" i="19"/>
  <c r="Z96" i="27" s="1"/>
  <c r="AS79" i="19"/>
  <c r="Y95" i="27" s="1"/>
  <c r="AR79" i="19"/>
  <c r="X95" i="27" s="1"/>
  <c r="AQ79" i="19"/>
  <c r="W95" i="27" s="1"/>
  <c r="AT79" i="19"/>
  <c r="Z95" i="27" s="1"/>
  <c r="AR88" i="19"/>
  <c r="X104" i="27" s="1"/>
  <c r="AQ88" i="19"/>
  <c r="W104" i="27" s="1"/>
  <c r="AT88" i="19"/>
  <c r="Z104" i="27" s="1"/>
  <c r="AS88" i="19"/>
  <c r="Y104" i="27" s="1"/>
  <c r="AS71" i="19"/>
  <c r="Y87" i="27" s="1"/>
  <c r="AT71" i="19"/>
  <c r="Z87" i="27" s="1"/>
  <c r="AR71" i="19"/>
  <c r="X87" i="27" s="1"/>
  <c r="AQ71" i="19"/>
  <c r="W87" i="27" s="1"/>
  <c r="AQ81" i="19"/>
  <c r="W97" i="27" s="1"/>
  <c r="AT81" i="19"/>
  <c r="Z97" i="27" s="1"/>
  <c r="AR81" i="19"/>
  <c r="X97" i="27" s="1"/>
  <c r="AS81" i="19"/>
  <c r="Y97" i="27" s="1"/>
  <c r="AT85" i="19"/>
  <c r="Z101" i="27" s="1"/>
  <c r="AS85" i="19"/>
  <c r="Y101" i="27" s="1"/>
  <c r="AR85" i="19"/>
  <c r="X101" i="27" s="1"/>
  <c r="AQ85" i="19"/>
  <c r="W101" i="27" s="1"/>
  <c r="AR72" i="19"/>
  <c r="X88" i="27" s="1"/>
  <c r="AQ72" i="19"/>
  <c r="W88" i="27" s="1"/>
  <c r="AT72" i="19"/>
  <c r="Z88" i="27" s="1"/>
  <c r="AS72" i="19"/>
  <c r="Y88" i="27" s="1"/>
  <c r="AT70" i="19"/>
  <c r="Z86" i="27" s="1"/>
  <c r="AS70" i="19"/>
  <c r="Y86" i="27" s="1"/>
  <c r="AR70" i="19"/>
  <c r="X86" i="27" s="1"/>
  <c r="AQ70" i="19"/>
  <c r="W86" i="27" s="1"/>
  <c r="AT86" i="19"/>
  <c r="Z102" i="27" s="1"/>
  <c r="AS86" i="19"/>
  <c r="Y102" i="27" s="1"/>
  <c r="AR86" i="19"/>
  <c r="X102" i="27" s="1"/>
  <c r="AQ86" i="19"/>
  <c r="W102" i="27" s="1"/>
  <c r="AT77" i="19"/>
  <c r="Z93" i="27" s="1"/>
  <c r="AS77" i="19"/>
  <c r="Y93" i="27" s="1"/>
  <c r="AR77" i="19"/>
  <c r="X93" i="27" s="1"/>
  <c r="AQ77" i="19"/>
  <c r="W93" i="27" s="1"/>
  <c r="AS87" i="19"/>
  <c r="Y103" i="27" s="1"/>
  <c r="AR87" i="19"/>
  <c r="X103" i="27" s="1"/>
  <c r="AQ87" i="19"/>
  <c r="W103" i="27" s="1"/>
  <c r="AT87" i="19"/>
  <c r="Z103" i="27" s="1"/>
  <c r="AS90" i="19"/>
  <c r="Y106" i="27" s="1"/>
  <c r="AT90" i="19"/>
  <c r="Z106" i="27" s="1"/>
  <c r="AR90" i="19"/>
  <c r="X106" i="27" s="1"/>
  <c r="AQ90" i="19"/>
  <c r="W106" i="27" s="1"/>
  <c r="AS82" i="19"/>
  <c r="Y98" i="27" s="1"/>
  <c r="AQ82" i="19"/>
  <c r="W98" i="27" s="1"/>
  <c r="AT82" i="19"/>
  <c r="Z98" i="27" s="1"/>
  <c r="AR82" i="19"/>
  <c r="X98" i="27" s="1"/>
  <c r="AT76" i="19"/>
  <c r="Z92" i="27" s="1"/>
  <c r="AQ76" i="19"/>
  <c r="W92" i="27" s="1"/>
  <c r="AS76" i="19"/>
  <c r="Y92" i="27" s="1"/>
  <c r="AR76" i="19"/>
  <c r="X92" i="27" s="1"/>
  <c r="AT67" i="19"/>
  <c r="Z83" i="27" s="1"/>
  <c r="AR67" i="19"/>
  <c r="X83" i="27" s="1"/>
  <c r="AS67" i="19"/>
  <c r="Y83" i="27" s="1"/>
  <c r="AQ67" i="19"/>
  <c r="W83" i="27" s="1"/>
  <c r="AT94" i="19"/>
  <c r="Z110" i="27" s="1"/>
  <c r="AS94" i="19"/>
  <c r="Y110" i="27" s="1"/>
  <c r="AR94" i="19"/>
  <c r="X110" i="27" s="1"/>
  <c r="AQ94" i="19"/>
  <c r="W110" i="27" s="1"/>
  <c r="AA77" i="27"/>
  <c r="AB77" i="27" s="1"/>
  <c r="AR36" i="19"/>
  <c r="X52" i="27" s="1"/>
  <c r="AQ37" i="19"/>
  <c r="W53" i="27" s="1"/>
  <c r="AS51" i="19"/>
  <c r="Y67" i="27" s="1"/>
  <c r="V66" i="27"/>
  <c r="AQ64" i="19"/>
  <c r="W80" i="27" s="1"/>
  <c r="V71" i="27"/>
  <c r="AR63" i="19"/>
  <c r="X79" i="27" s="1"/>
  <c r="AT53" i="19"/>
  <c r="Z69" i="27" s="1"/>
  <c r="AR53" i="19"/>
  <c r="X69" i="27" s="1"/>
  <c r="AS53" i="19"/>
  <c r="Y69" i="27" s="1"/>
  <c r="AT39" i="19"/>
  <c r="Z55" i="27" s="1"/>
  <c r="AS39" i="19"/>
  <c r="Y55" i="27" s="1"/>
  <c r="AQ39" i="19"/>
  <c r="W55" i="27" s="1"/>
  <c r="AS46" i="19"/>
  <c r="Y62" i="27" s="1"/>
  <c r="AR46" i="19"/>
  <c r="X62" i="27" s="1"/>
  <c r="AT46" i="19"/>
  <c r="Z62" i="27" s="1"/>
  <c r="AQ46" i="19"/>
  <c r="W62" i="27" s="1"/>
  <c r="AR47" i="19"/>
  <c r="X63" i="27" s="1"/>
  <c r="AS47" i="19"/>
  <c r="Y63" i="27" s="1"/>
  <c r="AQ47" i="19"/>
  <c r="W63" i="27" s="1"/>
  <c r="AT47" i="19"/>
  <c r="Z63" i="27" s="1"/>
  <c r="AT43" i="19"/>
  <c r="Z59" i="27" s="1"/>
  <c r="AQ43" i="19"/>
  <c r="W59" i="27" s="1"/>
  <c r="AR43" i="19"/>
  <c r="X59" i="27" s="1"/>
  <c r="AT56" i="19"/>
  <c r="Z72" i="27" s="1"/>
  <c r="AR56" i="19"/>
  <c r="X72" i="27" s="1"/>
  <c r="AQ56" i="19"/>
  <c r="W72" i="27" s="1"/>
  <c r="AS56" i="19"/>
  <c r="Y72" i="27" s="1"/>
  <c r="AT64" i="19"/>
  <c r="Z80" i="27" s="1"/>
  <c r="AR64" i="19"/>
  <c r="X80" i="27" s="1"/>
  <c r="AS64" i="19"/>
  <c r="Y80" i="27" s="1"/>
  <c r="AQ48" i="19"/>
  <c r="W64" i="27" s="1"/>
  <c r="AR48" i="19"/>
  <c r="X64" i="27" s="1"/>
  <c r="AS48" i="19"/>
  <c r="Y64" i="27" s="1"/>
  <c r="AT48" i="19"/>
  <c r="Z64" i="27" s="1"/>
  <c r="AR39" i="19"/>
  <c r="X55" i="27" s="1"/>
  <c r="AT57" i="19"/>
  <c r="Z73" i="27" s="1"/>
  <c r="AQ57" i="19"/>
  <c r="W73" i="27" s="1"/>
  <c r="AR57" i="19"/>
  <c r="X73" i="27" s="1"/>
  <c r="AS57" i="19"/>
  <c r="Y73" i="27" s="1"/>
  <c r="AT63" i="19"/>
  <c r="Z79" i="27" s="1"/>
  <c r="AS63" i="19"/>
  <c r="Y79" i="27" s="1"/>
  <c r="AQ63" i="19"/>
  <c r="W79" i="27" s="1"/>
  <c r="AT51" i="19"/>
  <c r="Z67" i="27" s="1"/>
  <c r="AR51" i="19"/>
  <c r="X67" i="27" s="1"/>
  <c r="AQ51" i="19"/>
  <c r="W67" i="27" s="1"/>
  <c r="AT37" i="19"/>
  <c r="Z53" i="27" s="1"/>
  <c r="AS37" i="19"/>
  <c r="Y53" i="27" s="1"/>
  <c r="AT52" i="19"/>
  <c r="Z68" i="27" s="1"/>
  <c r="AS52" i="19"/>
  <c r="Y68" i="27" s="1"/>
  <c r="AQ52" i="19"/>
  <c r="W68" i="27" s="1"/>
  <c r="AR49" i="19"/>
  <c r="X65" i="27" s="1"/>
  <c r="AT61" i="19"/>
  <c r="Z77" i="27" s="1"/>
  <c r="AR61" i="19"/>
  <c r="X77" i="27" s="1"/>
  <c r="AS61" i="19"/>
  <c r="Y77" i="27" s="1"/>
  <c r="AS54" i="19"/>
  <c r="Y70" i="27" s="1"/>
  <c r="AQ54" i="19"/>
  <c r="W70" i="27" s="1"/>
  <c r="AR54" i="19"/>
  <c r="X70" i="27" s="1"/>
  <c r="AT54" i="19"/>
  <c r="Z70" i="27" s="1"/>
  <c r="AT59" i="19"/>
  <c r="Z75" i="27" s="1"/>
  <c r="AS59" i="19"/>
  <c r="Y75" i="27" s="1"/>
  <c r="AQ59" i="19"/>
  <c r="W75" i="27" s="1"/>
  <c r="AR59" i="19"/>
  <c r="X75" i="27" s="1"/>
  <c r="AT36" i="19"/>
  <c r="Z52" i="27" s="1"/>
  <c r="AS36" i="19"/>
  <c r="Y52" i="27" s="1"/>
  <c r="AQ36" i="19"/>
  <c r="W52" i="27" s="1"/>
  <c r="AT65" i="19"/>
  <c r="Z81" i="27" s="1"/>
  <c r="AQ65" i="19"/>
  <c r="W81" i="27" s="1"/>
  <c r="AR65" i="19"/>
  <c r="X81" i="27" s="1"/>
  <c r="AS65" i="19"/>
  <c r="Y81" i="27" s="1"/>
  <c r="AT60" i="19"/>
  <c r="Z76" i="27" s="1"/>
  <c r="AS60" i="19"/>
  <c r="Y76" i="27" s="1"/>
  <c r="AQ60" i="19"/>
  <c r="W76" i="27" s="1"/>
  <c r="AS62" i="19"/>
  <c r="Y78" i="27" s="1"/>
  <c r="AQ62" i="19"/>
  <c r="W78" i="27" s="1"/>
  <c r="AR62" i="19"/>
  <c r="X78" i="27" s="1"/>
  <c r="AT62" i="19"/>
  <c r="Z78" i="27" s="1"/>
  <c r="AQ53" i="19"/>
  <c r="W69" i="27" s="1"/>
  <c r="AR44" i="19"/>
  <c r="X60" i="27" s="1"/>
  <c r="AT42" i="19"/>
  <c r="Z58" i="27" s="1"/>
  <c r="AR42" i="19"/>
  <c r="X58" i="27" s="1"/>
  <c r="AS42" i="19"/>
  <c r="Y58" i="27" s="1"/>
  <c r="AQ42" i="19"/>
  <c r="W58" i="27" s="1"/>
  <c r="AR52" i="19"/>
  <c r="X68" i="27" s="1"/>
  <c r="AT44" i="19"/>
  <c r="Z60" i="27" s="1"/>
  <c r="AQ44" i="19"/>
  <c r="W60" i="27" s="1"/>
  <c r="AS44" i="19"/>
  <c r="Y60" i="27" s="1"/>
  <c r="AS38" i="19"/>
  <c r="Y54" i="27" s="1"/>
  <c r="AT38" i="19"/>
  <c r="Z54" i="27" s="1"/>
  <c r="AQ38" i="19"/>
  <c r="W54" i="27" s="1"/>
  <c r="AR38" i="19"/>
  <c r="X54" i="27" s="1"/>
  <c r="AR37" i="19"/>
  <c r="X53" i="27" s="1"/>
  <c r="AT58" i="19"/>
  <c r="Z74" i="27" s="1"/>
  <c r="AR58" i="19"/>
  <c r="X74" i="27" s="1"/>
  <c r="AQ58" i="19"/>
  <c r="W74" i="27" s="1"/>
  <c r="AS58" i="19"/>
  <c r="Y74" i="27" s="1"/>
  <c r="AT41" i="19"/>
  <c r="Z57" i="27" s="1"/>
  <c r="AQ41" i="19"/>
  <c r="W57" i="27" s="1"/>
  <c r="AS41" i="19"/>
  <c r="Y57" i="27" s="1"/>
  <c r="AR41" i="19"/>
  <c r="X57" i="27" s="1"/>
  <c r="AT49" i="19"/>
  <c r="Z65" i="27" s="1"/>
  <c r="AQ49" i="19"/>
  <c r="W65" i="27" s="1"/>
  <c r="AS49" i="19"/>
  <c r="Y65" i="27" s="1"/>
  <c r="AR60" i="19"/>
  <c r="X76" i="27" s="1"/>
  <c r="AS43" i="19"/>
  <c r="Y59" i="27" s="1"/>
  <c r="AA74" i="27"/>
  <c r="AB74" i="27" s="1"/>
  <c r="AA75" i="27"/>
  <c r="AB75" i="27" s="1"/>
  <c r="X51" i="27"/>
  <c r="Y51" i="27"/>
  <c r="W51" i="27"/>
  <c r="Z51" i="27"/>
  <c r="Q66" i="19"/>
  <c r="Q65" i="19"/>
  <c r="AS30" i="19"/>
  <c r="Y46" i="27" s="1"/>
  <c r="AT30" i="19"/>
  <c r="Z46" i="27" s="1"/>
  <c r="AQ30" i="19"/>
  <c r="W46" i="27" s="1"/>
  <c r="AR30" i="19"/>
  <c r="X46" i="27" s="1"/>
  <c r="R15" i="13"/>
  <c r="S14" i="13"/>
  <c r="Q72" i="19"/>
  <c r="Q80" i="19"/>
  <c r="Q77" i="19"/>
  <c r="Q73" i="19"/>
  <c r="Q81" i="19"/>
  <c r="Q74" i="19"/>
  <c r="Q82" i="19"/>
  <c r="Q75" i="19"/>
  <c r="Q83" i="19"/>
  <c r="Q76" i="19"/>
  <c r="Q84" i="19"/>
  <c r="Q78" i="19"/>
  <c r="Q86" i="19"/>
  <c r="Q85" i="19"/>
  <c r="Q71" i="19"/>
  <c r="Q79" i="19"/>
  <c r="Q87" i="19"/>
  <c r="Q67" i="19"/>
  <c r="Q69" i="19"/>
  <c r="Q68" i="19"/>
  <c r="Q70" i="19"/>
  <c r="AY8" i="19"/>
  <c r="AY9" i="19" s="1"/>
  <c r="AY10" i="19" s="1"/>
  <c r="AY11" i="19" s="1"/>
  <c r="AY12" i="19" s="1"/>
  <c r="AY13" i="19" s="1"/>
  <c r="AY14" i="19" s="1"/>
  <c r="AY15" i="19" s="1"/>
  <c r="AY16" i="19" s="1"/>
  <c r="AY17" i="19" s="1"/>
  <c r="AY18" i="19" s="1"/>
  <c r="AY19" i="19" s="1"/>
  <c r="AY20" i="19" s="1"/>
  <c r="AY21" i="19" s="1"/>
  <c r="AY22" i="19" s="1"/>
  <c r="AY23" i="19" s="1"/>
  <c r="AY24" i="19" s="1"/>
  <c r="AY25" i="19" s="1"/>
  <c r="AY26" i="19" s="1"/>
  <c r="AY27" i="19" s="1"/>
  <c r="AY28" i="19" s="1"/>
  <c r="AY29" i="19" s="1"/>
  <c r="AY30" i="19" s="1"/>
  <c r="AY31" i="19" s="1"/>
  <c r="AY32" i="19" s="1"/>
  <c r="AY33" i="19" s="1"/>
  <c r="AY34" i="19" s="1"/>
  <c r="AY35" i="19" s="1"/>
  <c r="C123" i="19" s="1"/>
  <c r="Q95" i="19"/>
  <c r="Q88" i="19"/>
  <c r="Q89" i="19"/>
  <c r="Q90" i="19"/>
  <c r="Q91" i="19"/>
  <c r="Q92" i="19"/>
  <c r="Q93" i="19"/>
  <c r="Q94" i="19"/>
  <c r="V22" i="27"/>
  <c r="V23" i="27"/>
  <c r="V38" i="27"/>
  <c r="V34" i="27"/>
  <c r="AT25" i="19"/>
  <c r="Z41" i="27" s="1"/>
  <c r="AS25" i="19"/>
  <c r="Y41" i="27" s="1"/>
  <c r="AR25" i="19"/>
  <c r="X41" i="27" s="1"/>
  <c r="AQ25" i="19"/>
  <c r="W41" i="27" s="1"/>
  <c r="V50" i="27"/>
  <c r="V47" i="27"/>
  <c r="V42" i="27"/>
  <c r="AS19" i="19"/>
  <c r="Y35" i="27" s="1"/>
  <c r="AQ19" i="19"/>
  <c r="W35" i="27" s="1"/>
  <c r="AR19" i="19"/>
  <c r="X35" i="27" s="1"/>
  <c r="AT19" i="19"/>
  <c r="Z35" i="27" s="1"/>
  <c r="L64" i="27"/>
  <c r="AA87" i="27" s="1"/>
  <c r="AB87" i="27" s="1"/>
  <c r="AQ12" i="19"/>
  <c r="W28" i="27" s="1"/>
  <c r="AS12" i="19"/>
  <c r="Y28" i="27" s="1"/>
  <c r="AR12" i="19"/>
  <c r="X28" i="27" s="1"/>
  <c r="AT12" i="19"/>
  <c r="Z28" i="27" s="1"/>
  <c r="AS14" i="19"/>
  <c r="Y30" i="27" s="1"/>
  <c r="AQ14" i="19"/>
  <c r="W30" i="27" s="1"/>
  <c r="AT14" i="19"/>
  <c r="Z30" i="27" s="1"/>
  <c r="AR14" i="19"/>
  <c r="X30" i="27" s="1"/>
  <c r="AT11" i="19"/>
  <c r="Z27" i="27" s="1"/>
  <c r="AS11" i="19"/>
  <c r="Y27" i="27" s="1"/>
  <c r="AQ11" i="19"/>
  <c r="W27" i="27" s="1"/>
  <c r="AR11" i="19"/>
  <c r="X27" i="27" s="1"/>
  <c r="AQ33" i="19"/>
  <c r="W49" i="27" s="1"/>
  <c r="AT33" i="19"/>
  <c r="Z49" i="27" s="1"/>
  <c r="AS33" i="19"/>
  <c r="Y49" i="27" s="1"/>
  <c r="AR33" i="19"/>
  <c r="X49" i="27" s="1"/>
  <c r="AR27" i="19"/>
  <c r="X43" i="27" s="1"/>
  <c r="AT27" i="19"/>
  <c r="Z43" i="27" s="1"/>
  <c r="AS27" i="19"/>
  <c r="Y43" i="27" s="1"/>
  <c r="AQ27" i="19"/>
  <c r="W43" i="27" s="1"/>
  <c r="AQ32" i="19"/>
  <c r="W48" i="27" s="1"/>
  <c r="AS32" i="19"/>
  <c r="Y48" i="27" s="1"/>
  <c r="AR32" i="19"/>
  <c r="X48" i="27" s="1"/>
  <c r="AT32" i="19"/>
  <c r="Z48" i="27" s="1"/>
  <c r="AQ9" i="19"/>
  <c r="W25" i="27" s="1"/>
  <c r="AT9" i="19"/>
  <c r="Z25" i="27" s="1"/>
  <c r="AR9" i="19"/>
  <c r="X25" i="27" s="1"/>
  <c r="AS9" i="19"/>
  <c r="Y25" i="27" s="1"/>
  <c r="AR21" i="19"/>
  <c r="X37" i="27" s="1"/>
  <c r="AQ21" i="19"/>
  <c r="W37" i="27" s="1"/>
  <c r="AT21" i="19"/>
  <c r="Z37" i="27" s="1"/>
  <c r="AS21" i="19"/>
  <c r="Y37" i="27" s="1"/>
  <c r="AS24" i="19"/>
  <c r="Y40" i="27" s="1"/>
  <c r="AR24" i="19"/>
  <c r="X40" i="27" s="1"/>
  <c r="AT24" i="19"/>
  <c r="Z40" i="27" s="1"/>
  <c r="AQ24" i="19"/>
  <c r="W40" i="27" s="1"/>
  <c r="V44" i="27"/>
  <c r="AS8" i="19"/>
  <c r="Y24" i="27" s="1"/>
  <c r="AR8" i="19"/>
  <c r="X24" i="27" s="1"/>
  <c r="AT8" i="19"/>
  <c r="Z24" i="27" s="1"/>
  <c r="AQ8" i="19"/>
  <c r="W24" i="27" s="1"/>
  <c r="AR29" i="19"/>
  <c r="X45" i="27" s="1"/>
  <c r="AS29" i="19"/>
  <c r="Y45" i="27" s="1"/>
  <c r="AQ29" i="19"/>
  <c r="W45" i="27" s="1"/>
  <c r="AT29" i="19"/>
  <c r="Z45" i="27" s="1"/>
  <c r="AF6" i="19"/>
  <c r="AG6" i="19"/>
  <c r="AG7" i="19" s="1"/>
  <c r="AG8" i="19" s="1"/>
  <c r="AG9" i="19" s="1"/>
  <c r="AG10" i="19" s="1"/>
  <c r="AG11" i="19" s="1"/>
  <c r="AG12" i="19" s="1"/>
  <c r="AG13" i="19" s="1"/>
  <c r="AG14" i="19" s="1"/>
  <c r="AG15" i="19" s="1"/>
  <c r="AG16" i="19" s="1"/>
  <c r="AG17" i="19" s="1"/>
  <c r="AG18" i="19" s="1"/>
  <c r="AG19" i="19" s="1"/>
  <c r="AG20" i="19" s="1"/>
  <c r="AG21" i="19" s="1"/>
  <c r="AG22" i="19" s="1"/>
  <c r="AG23" i="19" s="1"/>
  <c r="AG24" i="19" s="1"/>
  <c r="AG25" i="19" s="1"/>
  <c r="AG26" i="19" s="1"/>
  <c r="AG27" i="19" s="1"/>
  <c r="AG28" i="19" s="1"/>
  <c r="AG29" i="19" s="1"/>
  <c r="AG30" i="19" s="1"/>
  <c r="AG31" i="19" s="1"/>
  <c r="AG32" i="19" s="1"/>
  <c r="AG33" i="19" s="1"/>
  <c r="AG34" i="19" s="1"/>
  <c r="AG35" i="19" s="1"/>
  <c r="AG36" i="19" s="1"/>
  <c r="AG37" i="19" s="1"/>
  <c r="AG38" i="19" s="1"/>
  <c r="AG39" i="19" s="1"/>
  <c r="AG40" i="19" s="1"/>
  <c r="AG41" i="19" s="1"/>
  <c r="AG42" i="19" s="1"/>
  <c r="AG43" i="19" s="1"/>
  <c r="AG44" i="19" s="1"/>
  <c r="AG45" i="19" s="1"/>
  <c r="AG46" i="19" s="1"/>
  <c r="AG47" i="19" s="1"/>
  <c r="AG48" i="19" s="1"/>
  <c r="AG49" i="19" s="1"/>
  <c r="AG50" i="19" s="1"/>
  <c r="AG51" i="19" s="1"/>
  <c r="AG52" i="19" s="1"/>
  <c r="AG53" i="19" s="1"/>
  <c r="AG54" i="19" s="1"/>
  <c r="AG55" i="19" s="1"/>
  <c r="AG56" i="19" s="1"/>
  <c r="AG57" i="19" s="1"/>
  <c r="AG58" i="19" s="1"/>
  <c r="AG59" i="19" s="1"/>
  <c r="AG60" i="19" s="1"/>
  <c r="AG61" i="19" s="1"/>
  <c r="AG62" i="19" s="1"/>
  <c r="AG63" i="19" s="1"/>
  <c r="AG64" i="19" s="1"/>
  <c r="AG65" i="19" s="1"/>
  <c r="AG66" i="19" s="1"/>
  <c r="AG67" i="19" s="1"/>
  <c r="AG68" i="19" s="1"/>
  <c r="AG69" i="19" s="1"/>
  <c r="AG70" i="19" s="1"/>
  <c r="AG71" i="19" s="1"/>
  <c r="AG72" i="19" s="1"/>
  <c r="AG73" i="19" s="1"/>
  <c r="AG74" i="19" s="1"/>
  <c r="AG75" i="19" s="1"/>
  <c r="AG76" i="19" s="1"/>
  <c r="AG77" i="19" s="1"/>
  <c r="AG78" i="19" s="1"/>
  <c r="AG79" i="19" s="1"/>
  <c r="AG80" i="19" s="1"/>
  <c r="AG81" i="19" s="1"/>
  <c r="AG82" i="19" s="1"/>
  <c r="AG83" i="19" s="1"/>
  <c r="AG84" i="19" s="1"/>
  <c r="AG85" i="19" s="1"/>
  <c r="AG86" i="19" s="1"/>
  <c r="AG87" i="19" s="1"/>
  <c r="AG88" i="19" s="1"/>
  <c r="AG89" i="19" s="1"/>
  <c r="AG90" i="19" s="1"/>
  <c r="AG91" i="19" s="1"/>
  <c r="AG92" i="19" s="1"/>
  <c r="AG93" i="19" s="1"/>
  <c r="AG94" i="19" s="1"/>
  <c r="AG95" i="19" s="1"/>
  <c r="AS17" i="19"/>
  <c r="Y33" i="27" s="1"/>
  <c r="AR17" i="19"/>
  <c r="X33" i="27" s="1"/>
  <c r="AQ17" i="19"/>
  <c r="W33" i="27" s="1"/>
  <c r="AT17" i="19"/>
  <c r="Z33" i="27" s="1"/>
  <c r="AQ23" i="19"/>
  <c r="W39" i="27" s="1"/>
  <c r="AR23" i="19"/>
  <c r="X39" i="27" s="1"/>
  <c r="AS23" i="19"/>
  <c r="Y39" i="27" s="1"/>
  <c r="V36" i="27"/>
  <c r="AT15" i="19"/>
  <c r="Z31" i="27" s="1"/>
  <c r="AQ16" i="19"/>
  <c r="W32" i="27" s="1"/>
  <c r="AT16" i="19"/>
  <c r="Z32" i="27" s="1"/>
  <c r="AR16" i="19"/>
  <c r="X32" i="27" s="1"/>
  <c r="AS16" i="19"/>
  <c r="Y32" i="27" s="1"/>
  <c r="AR13" i="19"/>
  <c r="X29" i="27" s="1"/>
  <c r="AQ13" i="19"/>
  <c r="W29" i="27" s="1"/>
  <c r="AS13" i="19"/>
  <c r="Y29" i="27" s="1"/>
  <c r="AT13" i="19"/>
  <c r="Z29" i="27" s="1"/>
  <c r="AT23" i="19"/>
  <c r="Z39" i="27" s="1"/>
  <c r="AS15" i="19"/>
  <c r="Y31" i="27" s="1"/>
  <c r="AQ15" i="19"/>
  <c r="W31" i="27" s="1"/>
  <c r="AR15" i="19"/>
  <c r="X31" i="27" s="1"/>
  <c r="AQ10" i="19"/>
  <c r="W26" i="27" s="1"/>
  <c r="AR10" i="19"/>
  <c r="X26" i="27" s="1"/>
  <c r="AT10" i="19"/>
  <c r="Z26" i="27" s="1"/>
  <c r="AS10" i="19"/>
  <c r="Y26" i="27" s="1"/>
  <c r="AH6" i="19"/>
  <c r="AH7" i="19" s="1"/>
  <c r="AH8" i="19" s="1"/>
  <c r="AH9" i="19" s="1"/>
  <c r="AH10" i="19" s="1"/>
  <c r="AH11" i="19" s="1"/>
  <c r="AH12" i="19" s="1"/>
  <c r="AH13" i="19" s="1"/>
  <c r="AH14" i="19" s="1"/>
  <c r="AH15" i="19" s="1"/>
  <c r="AH16" i="19" s="1"/>
  <c r="AH17" i="19" s="1"/>
  <c r="AH18" i="19" s="1"/>
  <c r="AH19" i="19" s="1"/>
  <c r="AH20" i="19" s="1"/>
  <c r="AH21" i="19" s="1"/>
  <c r="AH22" i="19" s="1"/>
  <c r="AH23" i="19" s="1"/>
  <c r="AH24" i="19" s="1"/>
  <c r="AH25" i="19" s="1"/>
  <c r="AH26" i="19" s="1"/>
  <c r="AH27" i="19" s="1"/>
  <c r="AH28" i="19" s="1"/>
  <c r="AH29" i="19" s="1"/>
  <c r="AH30" i="19" s="1"/>
  <c r="AH31" i="19" s="1"/>
  <c r="AH32" i="19" s="1"/>
  <c r="AH33" i="19" s="1"/>
  <c r="AH34" i="19" s="1"/>
  <c r="AH35" i="19" s="1"/>
  <c r="AH36" i="19" s="1"/>
  <c r="AH37" i="19" s="1"/>
  <c r="AH38" i="19" s="1"/>
  <c r="AH39" i="19" s="1"/>
  <c r="AH40" i="19" s="1"/>
  <c r="AH41" i="19" s="1"/>
  <c r="AH42" i="19" s="1"/>
  <c r="AH43" i="19" s="1"/>
  <c r="AH44" i="19" s="1"/>
  <c r="AH45" i="19" s="1"/>
  <c r="AH46" i="19" s="1"/>
  <c r="AH47" i="19" s="1"/>
  <c r="AH48" i="19" s="1"/>
  <c r="AH49" i="19" s="1"/>
  <c r="AH50" i="19" s="1"/>
  <c r="AH51" i="19" s="1"/>
  <c r="AH52" i="19" s="1"/>
  <c r="AH53" i="19" s="1"/>
  <c r="AH54" i="19" s="1"/>
  <c r="AH55" i="19" s="1"/>
  <c r="AH56" i="19" s="1"/>
  <c r="AH57" i="19" s="1"/>
  <c r="AH58" i="19" s="1"/>
  <c r="AH59" i="19" s="1"/>
  <c r="AH60" i="19" s="1"/>
  <c r="AH61" i="19" s="1"/>
  <c r="AH62" i="19" s="1"/>
  <c r="AH63" i="19" s="1"/>
  <c r="AH64" i="19" s="1"/>
  <c r="AH65" i="19" s="1"/>
  <c r="AH66" i="19" s="1"/>
  <c r="AH67" i="19" s="1"/>
  <c r="AH68" i="19" s="1"/>
  <c r="AH69" i="19" s="1"/>
  <c r="AH70" i="19" s="1"/>
  <c r="AH71" i="19" s="1"/>
  <c r="AH72" i="19" s="1"/>
  <c r="AH73" i="19" s="1"/>
  <c r="AH74" i="19" s="1"/>
  <c r="AH75" i="19" s="1"/>
  <c r="AH76" i="19" s="1"/>
  <c r="AH77" i="19" s="1"/>
  <c r="AH78" i="19" s="1"/>
  <c r="AH79" i="19" s="1"/>
  <c r="AH80" i="19" s="1"/>
  <c r="AH81" i="19" s="1"/>
  <c r="AH82" i="19" s="1"/>
  <c r="AH83" i="19" s="1"/>
  <c r="AH84" i="19" s="1"/>
  <c r="AH85" i="19" s="1"/>
  <c r="AH86" i="19" s="1"/>
  <c r="AH87" i="19" s="1"/>
  <c r="AH88" i="19" s="1"/>
  <c r="AH89" i="19" s="1"/>
  <c r="AH90" i="19" s="1"/>
  <c r="AH91" i="19" s="1"/>
  <c r="AH92" i="19" s="1"/>
  <c r="AH93" i="19" s="1"/>
  <c r="AH94" i="19" s="1"/>
  <c r="AH95" i="19" s="1"/>
  <c r="AF15" i="13"/>
  <c r="AI14" i="13"/>
  <c r="K15" i="13"/>
  <c r="J16" i="13"/>
  <c r="S10" i="19"/>
  <c r="T10" i="19" s="1"/>
  <c r="X10" i="19" s="1"/>
  <c r="Y10" i="19" s="1"/>
  <c r="R11" i="19"/>
  <c r="K17" i="19"/>
  <c r="O17" i="19" s="1"/>
  <c r="J18" i="19"/>
  <c r="S15" i="18"/>
  <c r="R16" i="18"/>
  <c r="Y14" i="18"/>
  <c r="K15" i="18"/>
  <c r="O15" i="18" s="1"/>
  <c r="J16" i="18"/>
  <c r="AF21" i="18"/>
  <c r="AH19" i="18"/>
  <c r="AI18" i="18"/>
  <c r="AA82" i="27" l="1"/>
  <c r="AB82" i="27" s="1"/>
  <c r="AI97" i="21"/>
  <c r="AF98" i="21"/>
  <c r="S95" i="21"/>
  <c r="T95" i="21" s="1"/>
  <c r="X95" i="21" s="1"/>
  <c r="Y95" i="21" s="1"/>
  <c r="R96" i="21"/>
  <c r="J107" i="21"/>
  <c r="K106" i="21"/>
  <c r="O106" i="21" s="1"/>
  <c r="AA22" i="27"/>
  <c r="AB22" i="27" s="1"/>
  <c r="AA21" i="27"/>
  <c r="AB21" i="27" s="1"/>
  <c r="AA85" i="27"/>
  <c r="AB85" i="27" s="1"/>
  <c r="AA86" i="27"/>
  <c r="AB86" i="27" s="1"/>
  <c r="O15" i="13"/>
  <c r="J18" i="26"/>
  <c r="K17" i="26"/>
  <c r="O17" i="26" s="1"/>
  <c r="T16" i="26"/>
  <c r="X16" i="26" s="1"/>
  <c r="Y16" i="26" s="1"/>
  <c r="AI12" i="26"/>
  <c r="AF13" i="26"/>
  <c r="S17" i="26"/>
  <c r="T17" i="26" s="1"/>
  <c r="X17" i="26" s="1"/>
  <c r="R18" i="26"/>
  <c r="X13" i="13"/>
  <c r="Y13" i="13" s="1"/>
  <c r="V94" i="27"/>
  <c r="V110" i="27"/>
  <c r="V106" i="27"/>
  <c r="V93" i="27"/>
  <c r="V86" i="27"/>
  <c r="V101" i="27"/>
  <c r="V87" i="27"/>
  <c r="V91" i="27"/>
  <c r="V109" i="27"/>
  <c r="V99" i="27"/>
  <c r="V107" i="27"/>
  <c r="V85" i="27"/>
  <c r="V103" i="27"/>
  <c r="V88" i="27"/>
  <c r="V104" i="27"/>
  <c r="V82" i="27"/>
  <c r="V95" i="27"/>
  <c r="V111" i="27"/>
  <c r="V92" i="27"/>
  <c r="V84" i="27"/>
  <c r="V83" i="27"/>
  <c r="V102" i="27"/>
  <c r="V108" i="27"/>
  <c r="V98" i="27"/>
  <c r="V96" i="27"/>
  <c r="V97" i="27"/>
  <c r="V89" i="27"/>
  <c r="V100" i="27"/>
  <c r="V105" i="27"/>
  <c r="V90" i="27"/>
  <c r="V53" i="27"/>
  <c r="V69" i="27"/>
  <c r="V77" i="27"/>
  <c r="V80" i="27"/>
  <c r="V52" i="27"/>
  <c r="V58" i="27"/>
  <c r="V79" i="27"/>
  <c r="V55" i="27"/>
  <c r="V68" i="27"/>
  <c r="V72" i="27"/>
  <c r="V81" i="27"/>
  <c r="V63" i="27"/>
  <c r="V78" i="27"/>
  <c r="V57" i="27"/>
  <c r="V54" i="27"/>
  <c r="V76" i="27"/>
  <c r="V70" i="27"/>
  <c r="V64" i="27"/>
  <c r="V65" i="27"/>
  <c r="V74" i="27"/>
  <c r="V59" i="27"/>
  <c r="V62" i="27"/>
  <c r="V60" i="27"/>
  <c r="V75" i="27"/>
  <c r="V67" i="27"/>
  <c r="V73" i="27"/>
  <c r="AA80" i="27"/>
  <c r="AB80" i="27" s="1"/>
  <c r="AA79" i="27"/>
  <c r="AB79" i="27" s="1"/>
  <c r="V51" i="27"/>
  <c r="V46" i="27"/>
  <c r="T14" i="13"/>
  <c r="S15" i="13"/>
  <c r="R16" i="13"/>
  <c r="AA81" i="27"/>
  <c r="AB81" i="27" s="1"/>
  <c r="AA95" i="27"/>
  <c r="AB95" i="27" s="1"/>
  <c r="V41" i="27"/>
  <c r="V31" i="27"/>
  <c r="V26" i="27"/>
  <c r="V32" i="27"/>
  <c r="V24" i="27"/>
  <c r="V37" i="27"/>
  <c r="V30" i="27"/>
  <c r="V39" i="27"/>
  <c r="V45" i="27"/>
  <c r="V25" i="27"/>
  <c r="V48" i="27"/>
  <c r="V49" i="27"/>
  <c r="V28" i="27"/>
  <c r="V35" i="27"/>
  <c r="V40" i="27"/>
  <c r="V43" i="27"/>
  <c r="V29" i="27"/>
  <c r="V33" i="27"/>
  <c r="AF7" i="19"/>
  <c r="AI6" i="19"/>
  <c r="V27" i="27"/>
  <c r="AF16" i="13"/>
  <c r="AI15" i="13"/>
  <c r="K16" i="13"/>
  <c r="J17" i="13"/>
  <c r="S11" i="19"/>
  <c r="T11" i="19" s="1"/>
  <c r="X11" i="19" s="1"/>
  <c r="Y11" i="19" s="1"/>
  <c r="R12" i="19"/>
  <c r="K18" i="19"/>
  <c r="O18" i="19" s="1"/>
  <c r="J19" i="19"/>
  <c r="S16" i="18"/>
  <c r="T16" i="18" s="1"/>
  <c r="X16" i="18" s="1"/>
  <c r="R17" i="18"/>
  <c r="T15" i="18"/>
  <c r="X15" i="18" s="1"/>
  <c r="Y15" i="18" s="1"/>
  <c r="K16" i="18"/>
  <c r="O16" i="18" s="1"/>
  <c r="J17" i="18"/>
  <c r="AH20" i="18"/>
  <c r="AI19" i="18"/>
  <c r="AF22" i="18"/>
  <c r="J108" i="21" l="1"/>
  <c r="K107" i="21"/>
  <c r="O107" i="21" s="1"/>
  <c r="R97" i="21"/>
  <c r="S96" i="21"/>
  <c r="T96" i="21" s="1"/>
  <c r="X96" i="21" s="1"/>
  <c r="AI98" i="21"/>
  <c r="AF99" i="21"/>
  <c r="Y17" i="26"/>
  <c r="O16" i="13"/>
  <c r="K18" i="26"/>
  <c r="O18" i="26" s="1"/>
  <c r="J19" i="26"/>
  <c r="AF14" i="26"/>
  <c r="AI13" i="26"/>
  <c r="S18" i="26"/>
  <c r="R19" i="26"/>
  <c r="X14" i="13"/>
  <c r="Y14" i="13" s="1"/>
  <c r="T15" i="13"/>
  <c r="S16" i="13"/>
  <c r="R17" i="13"/>
  <c r="D4" i="27"/>
  <c r="P11" i="24" s="1"/>
  <c r="AI7" i="19"/>
  <c r="AF8" i="19"/>
  <c r="AF17" i="13"/>
  <c r="AI16" i="13"/>
  <c r="K17" i="13"/>
  <c r="J18" i="13"/>
  <c r="S12" i="19"/>
  <c r="T12" i="19" s="1"/>
  <c r="X12" i="19" s="1"/>
  <c r="Y12" i="19" s="1"/>
  <c r="R13" i="19"/>
  <c r="Y16" i="18"/>
  <c r="K19" i="19"/>
  <c r="O19" i="19" s="1"/>
  <c r="J20" i="19"/>
  <c r="R18" i="18"/>
  <c r="S17" i="18"/>
  <c r="T17" i="18" s="1"/>
  <c r="X17" i="18" s="1"/>
  <c r="K17" i="18"/>
  <c r="O17" i="18" s="1"/>
  <c r="J18" i="18"/>
  <c r="AF23" i="18"/>
  <c r="AH21" i="18"/>
  <c r="AI20" i="18"/>
  <c r="AI99" i="21" l="1"/>
  <c r="AF100" i="21"/>
  <c r="Y96" i="21"/>
  <c r="R98" i="21"/>
  <c r="S97" i="21"/>
  <c r="T97" i="21" s="1"/>
  <c r="X97" i="21" s="1"/>
  <c r="Y97" i="21" s="1"/>
  <c r="J109" i="21"/>
  <c r="K108" i="21"/>
  <c r="O108" i="21" s="1"/>
  <c r="O17" i="13"/>
  <c r="K19" i="26"/>
  <c r="O19" i="26" s="1"/>
  <c r="J20" i="26"/>
  <c r="S19" i="26"/>
  <c r="T19" i="26" s="1"/>
  <c r="X19" i="26" s="1"/>
  <c r="R20" i="26"/>
  <c r="T18" i="26"/>
  <c r="X18" i="26" s="1"/>
  <c r="Y18" i="26" s="1"/>
  <c r="AF15" i="26"/>
  <c r="AI14" i="26"/>
  <c r="X15" i="13"/>
  <c r="Y15" i="13" s="1"/>
  <c r="T16" i="13"/>
  <c r="R18" i="13"/>
  <c r="S17" i="13"/>
  <c r="D6" i="27"/>
  <c r="P13" i="24" s="1"/>
  <c r="AI8" i="19"/>
  <c r="AF9" i="19"/>
  <c r="AF18" i="13"/>
  <c r="AI17" i="13"/>
  <c r="K18" i="13"/>
  <c r="J19" i="13"/>
  <c r="S13" i="19"/>
  <c r="T13" i="19" s="1"/>
  <c r="X13" i="19" s="1"/>
  <c r="Y13" i="19" s="1"/>
  <c r="R14" i="19"/>
  <c r="J21" i="19"/>
  <c r="K20" i="19"/>
  <c r="O20" i="19" s="1"/>
  <c r="Y17" i="18"/>
  <c r="S18" i="18"/>
  <c r="R19" i="18"/>
  <c r="K18" i="18"/>
  <c r="O18" i="18" s="1"/>
  <c r="J19" i="18"/>
  <c r="AH22" i="18"/>
  <c r="AI21" i="18"/>
  <c r="AF24" i="18"/>
  <c r="Y19" i="26" l="1"/>
  <c r="J110" i="21"/>
  <c r="K109" i="21"/>
  <c r="O109" i="21" s="1"/>
  <c r="R99" i="21"/>
  <c r="S98" i="21"/>
  <c r="T98" i="21" s="1"/>
  <c r="X98" i="21" s="1"/>
  <c r="Y98" i="21" s="1"/>
  <c r="AI100" i="21"/>
  <c r="AF101" i="21"/>
  <c r="O18" i="13"/>
  <c r="J21" i="26"/>
  <c r="K20" i="26"/>
  <c r="O20" i="26" s="1"/>
  <c r="S20" i="26"/>
  <c r="R21" i="26"/>
  <c r="AI15" i="26"/>
  <c r="AF16" i="26"/>
  <c r="X16" i="13"/>
  <c r="Y16" i="13" s="1"/>
  <c r="T17" i="13"/>
  <c r="R19" i="13"/>
  <c r="S18" i="13"/>
  <c r="AI9" i="19"/>
  <c r="AF10" i="19"/>
  <c r="AF19" i="13"/>
  <c r="AI18" i="13"/>
  <c r="K19" i="13"/>
  <c r="J20" i="13"/>
  <c r="R15" i="19"/>
  <c r="S14" i="19"/>
  <c r="T14" i="19" s="1"/>
  <c r="X14" i="19" s="1"/>
  <c r="Y14" i="19" s="1"/>
  <c r="K21" i="19"/>
  <c r="O21" i="19" s="1"/>
  <c r="J22" i="19"/>
  <c r="S19" i="18"/>
  <c r="T19" i="18" s="1"/>
  <c r="X19" i="18" s="1"/>
  <c r="R20" i="18"/>
  <c r="T18" i="18"/>
  <c r="X18" i="18" s="1"/>
  <c r="Y18" i="18" s="1"/>
  <c r="K19" i="18"/>
  <c r="O19" i="18" s="1"/>
  <c r="J20" i="18"/>
  <c r="AF25" i="18"/>
  <c r="AH23" i="18"/>
  <c r="AI22" i="18"/>
  <c r="AI101" i="21" l="1"/>
  <c r="AF102" i="21"/>
  <c r="R100" i="21"/>
  <c r="S99" i="21"/>
  <c r="T99" i="21" s="1"/>
  <c r="X99" i="21" s="1"/>
  <c r="J111" i="21"/>
  <c r="K110" i="21"/>
  <c r="O110" i="21" s="1"/>
  <c r="O19" i="13"/>
  <c r="J22" i="26"/>
  <c r="K21" i="26"/>
  <c r="O21" i="26" s="1"/>
  <c r="S21" i="26"/>
  <c r="T21" i="26" s="1"/>
  <c r="X21" i="26" s="1"/>
  <c r="R22" i="26"/>
  <c r="AF17" i="26"/>
  <c r="AI16" i="26"/>
  <c r="T20" i="26"/>
  <c r="X20" i="26" s="1"/>
  <c r="Y20" i="26" s="1"/>
  <c r="X17" i="13"/>
  <c r="Y17" i="13" s="1"/>
  <c r="T18" i="13"/>
  <c r="S19" i="13"/>
  <c r="R20" i="13"/>
  <c r="AF11" i="19"/>
  <c r="AI10" i="19"/>
  <c r="AF20" i="13"/>
  <c r="AI19" i="13"/>
  <c r="K20" i="13"/>
  <c r="J21" i="13"/>
  <c r="S15" i="19"/>
  <c r="T15" i="19" s="1"/>
  <c r="X15" i="19" s="1"/>
  <c r="Y15" i="19" s="1"/>
  <c r="R16" i="19"/>
  <c r="K22" i="19"/>
  <c r="O22" i="19" s="1"/>
  <c r="J23" i="19"/>
  <c r="Y19" i="18"/>
  <c r="R21" i="18"/>
  <c r="S20" i="18"/>
  <c r="T20" i="18" s="1"/>
  <c r="X20" i="18" s="1"/>
  <c r="K20" i="18"/>
  <c r="O20" i="18" s="1"/>
  <c r="J21" i="18"/>
  <c r="AH24" i="18"/>
  <c r="AI23" i="18"/>
  <c r="AF26" i="18"/>
  <c r="J112" i="21" l="1"/>
  <c r="K111" i="21"/>
  <c r="O111" i="21" s="1"/>
  <c r="Y99" i="21"/>
  <c r="R101" i="21"/>
  <c r="S100" i="21"/>
  <c r="T100" i="21" s="1"/>
  <c r="X100" i="21" s="1"/>
  <c r="Y100" i="21" s="1"/>
  <c r="AI102" i="21"/>
  <c r="AF103" i="21"/>
  <c r="O20" i="13"/>
  <c r="Y21" i="26"/>
  <c r="K22" i="26"/>
  <c r="O22" i="26" s="1"/>
  <c r="J23" i="26"/>
  <c r="AF18" i="26"/>
  <c r="AI17" i="26"/>
  <c r="S22" i="26"/>
  <c r="R23" i="26"/>
  <c r="X18" i="13"/>
  <c r="Y18" i="13" s="1"/>
  <c r="T19" i="13"/>
  <c r="S20" i="13"/>
  <c r="R21" i="13"/>
  <c r="AI11" i="19"/>
  <c r="AF12" i="19"/>
  <c r="AI20" i="13"/>
  <c r="AF21" i="13"/>
  <c r="K21" i="13"/>
  <c r="J22" i="13"/>
  <c r="R17" i="19"/>
  <c r="S16" i="19"/>
  <c r="T16" i="19" s="1"/>
  <c r="X16" i="19" s="1"/>
  <c r="Y16" i="19" s="1"/>
  <c r="K23" i="19"/>
  <c r="O23" i="19" s="1"/>
  <c r="J24" i="19"/>
  <c r="Y20" i="18"/>
  <c r="S21" i="18"/>
  <c r="T21" i="18" s="1"/>
  <c r="X21" i="18" s="1"/>
  <c r="R22" i="18"/>
  <c r="K21" i="18"/>
  <c r="O21" i="18" s="1"/>
  <c r="J22" i="18"/>
  <c r="AF27" i="18"/>
  <c r="AH25" i="18"/>
  <c r="AI24" i="18"/>
  <c r="S101" i="21" l="1"/>
  <c r="T101" i="21" s="1"/>
  <c r="X101" i="21" s="1"/>
  <c r="Y101" i="21" s="1"/>
  <c r="R102" i="21"/>
  <c r="AI103" i="21"/>
  <c r="AF104" i="21"/>
  <c r="J113" i="21"/>
  <c r="K112" i="21"/>
  <c r="O112" i="21" s="1"/>
  <c r="O21" i="13"/>
  <c r="J24" i="26"/>
  <c r="K23" i="26"/>
  <c r="O23" i="26" s="1"/>
  <c r="AF19" i="26"/>
  <c r="AI18" i="26"/>
  <c r="S23" i="26"/>
  <c r="T23" i="26" s="1"/>
  <c r="X23" i="26" s="1"/>
  <c r="R24" i="26"/>
  <c r="T22" i="26"/>
  <c r="X22" i="26" s="1"/>
  <c r="Y22" i="26" s="1"/>
  <c r="T20" i="13"/>
  <c r="X19" i="13"/>
  <c r="Y19" i="13" s="1"/>
  <c r="R22" i="13"/>
  <c r="S21" i="13"/>
  <c r="AF13" i="19"/>
  <c r="AI12" i="19"/>
  <c r="AF22" i="13"/>
  <c r="AI21" i="13"/>
  <c r="K22" i="13"/>
  <c r="J23" i="13"/>
  <c r="R18" i="19"/>
  <c r="S17" i="19"/>
  <c r="T17" i="19" s="1"/>
  <c r="X17" i="19" s="1"/>
  <c r="Y17" i="19" s="1"/>
  <c r="J25" i="19"/>
  <c r="K24" i="19"/>
  <c r="O24" i="19" s="1"/>
  <c r="S22" i="18"/>
  <c r="T22" i="18" s="1"/>
  <c r="X22" i="18" s="1"/>
  <c r="R23" i="18"/>
  <c r="Y21" i="18"/>
  <c r="K22" i="18"/>
  <c r="O22" i="18" s="1"/>
  <c r="J23" i="18"/>
  <c r="AH26" i="18"/>
  <c r="AI25" i="18"/>
  <c r="AF28" i="18"/>
  <c r="Y23" i="26" l="1"/>
  <c r="J114" i="21"/>
  <c r="K113" i="21"/>
  <c r="O113" i="21" s="1"/>
  <c r="AF105" i="21"/>
  <c r="AI104" i="21"/>
  <c r="R103" i="21"/>
  <c r="S102" i="21"/>
  <c r="T102" i="21" s="1"/>
  <c r="X102" i="21" s="1"/>
  <c r="O22" i="13"/>
  <c r="J25" i="26"/>
  <c r="K24" i="26"/>
  <c r="O24" i="26" s="1"/>
  <c r="S24" i="26"/>
  <c r="R25" i="26"/>
  <c r="AI19" i="26"/>
  <c r="AF20" i="26"/>
  <c r="X20" i="13"/>
  <c r="Y20" i="13" s="1"/>
  <c r="T21" i="13"/>
  <c r="S22" i="13"/>
  <c r="R23" i="13"/>
  <c r="AF14" i="19"/>
  <c r="AI13" i="19"/>
  <c r="AF23" i="13"/>
  <c r="AI22" i="13"/>
  <c r="K23" i="13"/>
  <c r="J24" i="13"/>
  <c r="S18" i="19"/>
  <c r="T18" i="19" s="1"/>
  <c r="X18" i="19" s="1"/>
  <c r="Y18" i="19" s="1"/>
  <c r="R19" i="19"/>
  <c r="Y22" i="18"/>
  <c r="K25" i="19"/>
  <c r="O25" i="19" s="1"/>
  <c r="J26" i="19"/>
  <c r="S23" i="18"/>
  <c r="T23" i="18" s="1"/>
  <c r="X23" i="18" s="1"/>
  <c r="R24" i="18"/>
  <c r="K23" i="18"/>
  <c r="O23" i="18" s="1"/>
  <c r="J24" i="18"/>
  <c r="AF29" i="18"/>
  <c r="AH27" i="18"/>
  <c r="AI26" i="18"/>
  <c r="Y102" i="21" l="1"/>
  <c r="R104" i="21"/>
  <c r="S103" i="21"/>
  <c r="T103" i="21" s="1"/>
  <c r="X103" i="21" s="1"/>
  <c r="Y103" i="21" s="1"/>
  <c r="AF106" i="21"/>
  <c r="AI105" i="21"/>
  <c r="J115" i="21"/>
  <c r="K114" i="21"/>
  <c r="O114" i="21" s="1"/>
  <c r="O23" i="13"/>
  <c r="J26" i="26"/>
  <c r="K25" i="26"/>
  <c r="O25" i="26" s="1"/>
  <c r="AI20" i="26"/>
  <c r="AF21" i="26"/>
  <c r="S25" i="26"/>
  <c r="T25" i="26" s="1"/>
  <c r="X25" i="26" s="1"/>
  <c r="R26" i="26"/>
  <c r="T24" i="26"/>
  <c r="X24" i="26" s="1"/>
  <c r="Y24" i="26" s="1"/>
  <c r="T22" i="13"/>
  <c r="X21" i="13"/>
  <c r="Y21" i="13" s="1"/>
  <c r="R24" i="13"/>
  <c r="S23" i="13"/>
  <c r="AF15" i="19"/>
  <c r="AI14" i="19"/>
  <c r="AF24" i="13"/>
  <c r="AI23" i="13"/>
  <c r="K24" i="13"/>
  <c r="J25" i="13"/>
  <c r="S19" i="19"/>
  <c r="R20" i="19"/>
  <c r="K26" i="19"/>
  <c r="O26" i="19" s="1"/>
  <c r="J27" i="19"/>
  <c r="Y23" i="18"/>
  <c r="S24" i="18"/>
  <c r="R25" i="18"/>
  <c r="K24" i="18"/>
  <c r="O24" i="18" s="1"/>
  <c r="J25" i="18"/>
  <c r="AH28" i="18"/>
  <c r="AI27" i="18"/>
  <c r="AF30" i="18"/>
  <c r="AI106" i="21" l="1"/>
  <c r="AF107" i="21"/>
  <c r="J116" i="21"/>
  <c r="K115" i="21"/>
  <c r="O115" i="21" s="1"/>
  <c r="R105" i="21"/>
  <c r="S104" i="21"/>
  <c r="T104" i="21" s="1"/>
  <c r="X104" i="21" s="1"/>
  <c r="Y104" i="21" s="1"/>
  <c r="O24" i="13"/>
  <c r="Y25" i="26"/>
  <c r="K26" i="26"/>
  <c r="O26" i="26" s="1"/>
  <c r="J27" i="26"/>
  <c r="S26" i="26"/>
  <c r="R27" i="26"/>
  <c r="AI21" i="26"/>
  <c r="AF22" i="26"/>
  <c r="X22" i="13"/>
  <c r="Y22" i="13" s="1"/>
  <c r="T23" i="13"/>
  <c r="R25" i="13"/>
  <c r="S24" i="13"/>
  <c r="AF16" i="19"/>
  <c r="AI15" i="19"/>
  <c r="AI24" i="13"/>
  <c r="AF25" i="13"/>
  <c r="K25" i="13"/>
  <c r="J26" i="13"/>
  <c r="S20" i="19"/>
  <c r="T20" i="19" s="1"/>
  <c r="X20" i="19" s="1"/>
  <c r="Y20" i="19" s="1"/>
  <c r="R21" i="19"/>
  <c r="T19" i="19"/>
  <c r="X19" i="19" s="1"/>
  <c r="Y19" i="19" s="1"/>
  <c r="K27" i="19"/>
  <c r="O27" i="19" s="1"/>
  <c r="J28" i="19"/>
  <c r="S25" i="18"/>
  <c r="T25" i="18" s="1"/>
  <c r="X25" i="18" s="1"/>
  <c r="R26" i="18"/>
  <c r="T24" i="18"/>
  <c r="X24" i="18" s="1"/>
  <c r="Y24" i="18" s="1"/>
  <c r="K25" i="18"/>
  <c r="O25" i="18" s="1"/>
  <c r="J26" i="18"/>
  <c r="AF31" i="18"/>
  <c r="AH29" i="18"/>
  <c r="AI28" i="18"/>
  <c r="J117" i="21" l="1"/>
  <c r="K116" i="21"/>
  <c r="O116" i="21" s="1"/>
  <c r="AI107" i="21"/>
  <c r="AF108" i="21"/>
  <c r="R106" i="21"/>
  <c r="S105" i="21"/>
  <c r="T105" i="21" s="1"/>
  <c r="X105" i="21" s="1"/>
  <c r="Y105" i="21" s="1"/>
  <c r="O25" i="13"/>
  <c r="J28" i="26"/>
  <c r="K27" i="26"/>
  <c r="O27" i="26" s="1"/>
  <c r="AF23" i="26"/>
  <c r="AI22" i="26"/>
  <c r="S27" i="26"/>
  <c r="T27" i="26" s="1"/>
  <c r="X27" i="26" s="1"/>
  <c r="R28" i="26"/>
  <c r="T26" i="26"/>
  <c r="X26" i="26" s="1"/>
  <c r="Y26" i="26" s="1"/>
  <c r="T24" i="13"/>
  <c r="X23" i="13"/>
  <c r="Y23" i="13" s="1"/>
  <c r="S25" i="13"/>
  <c r="R26" i="13"/>
  <c r="AI16" i="19"/>
  <c r="AF17" i="19"/>
  <c r="AF26" i="13"/>
  <c r="AI25" i="13"/>
  <c r="K26" i="13"/>
  <c r="J27" i="13"/>
  <c r="S21" i="19"/>
  <c r="T21" i="19" s="1"/>
  <c r="X21" i="19" s="1"/>
  <c r="Y21" i="19" s="1"/>
  <c r="R22" i="19"/>
  <c r="Y25" i="18"/>
  <c r="J29" i="19"/>
  <c r="K28" i="19"/>
  <c r="O28" i="19" s="1"/>
  <c r="S26" i="18"/>
  <c r="T26" i="18" s="1"/>
  <c r="X26" i="18" s="1"/>
  <c r="R27" i="18"/>
  <c r="K26" i="18"/>
  <c r="O26" i="18" s="1"/>
  <c r="J27" i="18"/>
  <c r="AH30" i="18"/>
  <c r="AI29" i="18"/>
  <c r="AF32" i="18"/>
  <c r="R107" i="21" l="1"/>
  <c r="S106" i="21"/>
  <c r="T106" i="21" s="1"/>
  <c r="X106" i="21" s="1"/>
  <c r="Y106" i="21" s="1"/>
  <c r="AI108" i="21"/>
  <c r="AF109" i="21"/>
  <c r="J118" i="21"/>
  <c r="K117" i="21"/>
  <c r="O117" i="21" s="1"/>
  <c r="O26" i="13"/>
  <c r="Y27" i="26"/>
  <c r="K28" i="26"/>
  <c r="O28" i="26" s="1"/>
  <c r="J29" i="26"/>
  <c r="S28" i="26"/>
  <c r="R29" i="26"/>
  <c r="AI23" i="26"/>
  <c r="AF24" i="26"/>
  <c r="X24" i="13"/>
  <c r="Y24" i="13" s="1"/>
  <c r="R27" i="13"/>
  <c r="S26" i="13"/>
  <c r="T25" i="13"/>
  <c r="AI17" i="19"/>
  <c r="AF18" i="19"/>
  <c r="Y26" i="18"/>
  <c r="AF27" i="13"/>
  <c r="AI26" i="13"/>
  <c r="K27" i="13"/>
  <c r="J28" i="13"/>
  <c r="S22" i="19"/>
  <c r="T22" i="19" s="1"/>
  <c r="X22" i="19" s="1"/>
  <c r="Y22" i="19" s="1"/>
  <c r="R23" i="19"/>
  <c r="K29" i="19"/>
  <c r="O29" i="19" s="1"/>
  <c r="J30" i="19"/>
  <c r="R28" i="18"/>
  <c r="S27" i="18"/>
  <c r="T27" i="18" s="1"/>
  <c r="X27" i="18" s="1"/>
  <c r="K27" i="18"/>
  <c r="O27" i="18" s="1"/>
  <c r="J28" i="18"/>
  <c r="AF33" i="18"/>
  <c r="AH31" i="18"/>
  <c r="AI30" i="18"/>
  <c r="J119" i="21" l="1"/>
  <c r="K118" i="21"/>
  <c r="O118" i="21" s="1"/>
  <c r="AF110" i="21"/>
  <c r="AI109" i="21"/>
  <c r="R108" i="21"/>
  <c r="S107" i="21"/>
  <c r="T107" i="21" s="1"/>
  <c r="X107" i="21" s="1"/>
  <c r="Y107" i="21" s="1"/>
  <c r="O27" i="13"/>
  <c r="J30" i="26"/>
  <c r="K29" i="26"/>
  <c r="O29" i="26" s="1"/>
  <c r="S29" i="26"/>
  <c r="T29" i="26" s="1"/>
  <c r="X29" i="26" s="1"/>
  <c r="R30" i="26"/>
  <c r="T28" i="26"/>
  <c r="X28" i="26" s="1"/>
  <c r="Y28" i="26" s="1"/>
  <c r="AI24" i="26"/>
  <c r="AF25" i="26"/>
  <c r="X25" i="13"/>
  <c r="Y25" i="13" s="1"/>
  <c r="T26" i="13"/>
  <c r="S27" i="13"/>
  <c r="R28" i="13"/>
  <c r="AI18" i="19"/>
  <c r="AF19" i="19"/>
  <c r="AI27" i="13"/>
  <c r="AF28" i="13"/>
  <c r="K28" i="13"/>
  <c r="J29" i="13"/>
  <c r="S23" i="19"/>
  <c r="T23" i="19" s="1"/>
  <c r="X23" i="19" s="1"/>
  <c r="Y23" i="19" s="1"/>
  <c r="R24" i="19"/>
  <c r="K30" i="19"/>
  <c r="O30" i="19" s="1"/>
  <c r="J31" i="19"/>
  <c r="Y27" i="18"/>
  <c r="S28" i="18"/>
  <c r="T28" i="18" s="1"/>
  <c r="X28" i="18" s="1"/>
  <c r="R29" i="18"/>
  <c r="K28" i="18"/>
  <c r="O28" i="18" s="1"/>
  <c r="J29" i="18"/>
  <c r="AH32" i="18"/>
  <c r="AI31" i="18"/>
  <c r="AF34" i="18"/>
  <c r="S108" i="21" l="1"/>
  <c r="T108" i="21" s="1"/>
  <c r="X108" i="21" s="1"/>
  <c r="Y108" i="21" s="1"/>
  <c r="R109" i="21"/>
  <c r="AF111" i="21"/>
  <c r="AI110" i="21"/>
  <c r="J120" i="21"/>
  <c r="K119" i="21"/>
  <c r="O119" i="21" s="1"/>
  <c r="O28" i="13"/>
  <c r="Y29" i="26"/>
  <c r="K30" i="26"/>
  <c r="O30" i="26" s="1"/>
  <c r="J31" i="26"/>
  <c r="S30" i="26"/>
  <c r="R31" i="26"/>
  <c r="AF26" i="26"/>
  <c r="AI25" i="26"/>
  <c r="X26" i="13"/>
  <c r="Y26" i="13" s="1"/>
  <c r="S28" i="13"/>
  <c r="R29" i="13"/>
  <c r="T27" i="13"/>
  <c r="AI19" i="19"/>
  <c r="AF20" i="19"/>
  <c r="AF29" i="13"/>
  <c r="AI28" i="13"/>
  <c r="K29" i="13"/>
  <c r="J30" i="13"/>
  <c r="S24" i="19"/>
  <c r="T24" i="19" s="1"/>
  <c r="X24" i="19" s="1"/>
  <c r="Y24" i="19" s="1"/>
  <c r="R25" i="19"/>
  <c r="K31" i="19"/>
  <c r="O31" i="19" s="1"/>
  <c r="J32" i="19"/>
  <c r="Y28" i="18"/>
  <c r="S29" i="18"/>
  <c r="T29" i="18" s="1"/>
  <c r="X29" i="18" s="1"/>
  <c r="R30" i="18"/>
  <c r="K29" i="18"/>
  <c r="O29" i="18" s="1"/>
  <c r="J30" i="18"/>
  <c r="AF35" i="18"/>
  <c r="AH33" i="18"/>
  <c r="AI32" i="18"/>
  <c r="J121" i="21" l="1"/>
  <c r="K120" i="21"/>
  <c r="O120" i="21" s="1"/>
  <c r="AF112" i="21"/>
  <c r="AI111" i="21"/>
  <c r="S109" i="21"/>
  <c r="T109" i="21" s="1"/>
  <c r="X109" i="21" s="1"/>
  <c r="Y109" i="21" s="1"/>
  <c r="R110" i="21"/>
  <c r="O29" i="13"/>
  <c r="K31" i="26"/>
  <c r="O31" i="26" s="1"/>
  <c r="J32" i="26"/>
  <c r="AI26" i="26"/>
  <c r="AF27" i="26"/>
  <c r="T30" i="26"/>
  <c r="X30" i="26" s="1"/>
  <c r="Y30" i="26" s="1"/>
  <c r="S31" i="26"/>
  <c r="T31" i="26" s="1"/>
  <c r="X31" i="26" s="1"/>
  <c r="R32" i="26"/>
  <c r="T28" i="13"/>
  <c r="X27" i="13"/>
  <c r="Y27" i="13" s="1"/>
  <c r="S29" i="13"/>
  <c r="R30" i="13"/>
  <c r="AF21" i="19"/>
  <c r="AI20" i="19"/>
  <c r="AI29" i="13"/>
  <c r="AF30" i="13"/>
  <c r="K30" i="13"/>
  <c r="J31" i="13"/>
  <c r="R26" i="19"/>
  <c r="S25" i="19"/>
  <c r="T25" i="19" s="1"/>
  <c r="X25" i="19" s="1"/>
  <c r="Y25" i="19" s="1"/>
  <c r="K32" i="19"/>
  <c r="O32" i="19" s="1"/>
  <c r="J33" i="19"/>
  <c r="Y29" i="18"/>
  <c r="R31" i="18"/>
  <c r="S30" i="18"/>
  <c r="T30" i="18" s="1"/>
  <c r="X30" i="18" s="1"/>
  <c r="K30" i="18"/>
  <c r="O30" i="18" s="1"/>
  <c r="J31" i="18"/>
  <c r="AH34" i="18"/>
  <c r="AI33" i="18"/>
  <c r="AF36" i="18"/>
  <c r="S110" i="21" l="1"/>
  <c r="T110" i="21" s="1"/>
  <c r="X110" i="21" s="1"/>
  <c r="Y110" i="21" s="1"/>
  <c r="R111" i="21"/>
  <c r="AI112" i="21"/>
  <c r="AF113" i="21"/>
  <c r="J122" i="21"/>
  <c r="K121" i="21"/>
  <c r="O121" i="21" s="1"/>
  <c r="O30" i="13"/>
  <c r="Y31" i="26"/>
  <c r="K32" i="26"/>
  <c r="O32" i="26" s="1"/>
  <c r="J33" i="26"/>
  <c r="S32" i="26"/>
  <c r="R33" i="26"/>
  <c r="AI27" i="26"/>
  <c r="AF28" i="26"/>
  <c r="T29" i="13"/>
  <c r="X28" i="13"/>
  <c r="Y28" i="13" s="1"/>
  <c r="R31" i="13"/>
  <c r="S30" i="13"/>
  <c r="AI21" i="19"/>
  <c r="AF22" i="19"/>
  <c r="AF31" i="13"/>
  <c r="AI30" i="13"/>
  <c r="K31" i="13"/>
  <c r="J32" i="13"/>
  <c r="R27" i="19"/>
  <c r="S26" i="19"/>
  <c r="T26" i="19" s="1"/>
  <c r="X26" i="19" s="1"/>
  <c r="Y26" i="19" s="1"/>
  <c r="K33" i="19"/>
  <c r="O33" i="19" s="1"/>
  <c r="J34" i="19"/>
  <c r="D123" i="19" s="1"/>
  <c r="E123" i="19" s="1"/>
  <c r="E127" i="19" s="1"/>
  <c r="G23" i="24" s="1"/>
  <c r="Y30" i="18"/>
  <c r="R32" i="18"/>
  <c r="S31" i="18"/>
  <c r="T31" i="18" s="1"/>
  <c r="X31" i="18" s="1"/>
  <c r="K31" i="18"/>
  <c r="O31" i="18" s="1"/>
  <c r="J32" i="18"/>
  <c r="AF37" i="18"/>
  <c r="AH35" i="18"/>
  <c r="AI34" i="18"/>
  <c r="J123" i="21" l="1"/>
  <c r="K122" i="21"/>
  <c r="O122" i="21" s="1"/>
  <c r="AF114" i="21"/>
  <c r="AI113" i="21"/>
  <c r="R112" i="21"/>
  <c r="S111" i="21"/>
  <c r="T111" i="21" s="1"/>
  <c r="X111" i="21" s="1"/>
  <c r="Y111" i="21" s="1"/>
  <c r="O31" i="13"/>
  <c r="K33" i="26"/>
  <c r="O33" i="26" s="1"/>
  <c r="J34" i="26"/>
  <c r="D123" i="26" s="1"/>
  <c r="E123" i="26" s="1"/>
  <c r="E127" i="26" s="1"/>
  <c r="I23" i="24" s="1"/>
  <c r="AI28" i="26"/>
  <c r="AF29" i="26"/>
  <c r="S33" i="26"/>
  <c r="T33" i="26" s="1"/>
  <c r="X33" i="26" s="1"/>
  <c r="R34" i="26"/>
  <c r="T32" i="26"/>
  <c r="X32" i="26" s="1"/>
  <c r="Y32" i="26" s="1"/>
  <c r="T30" i="13"/>
  <c r="X29" i="13"/>
  <c r="Y29" i="13" s="1"/>
  <c r="R32" i="13"/>
  <c r="S31" i="13"/>
  <c r="AI22" i="19"/>
  <c r="AF23" i="19"/>
  <c r="AI31" i="13"/>
  <c r="AF32" i="13"/>
  <c r="K32" i="13"/>
  <c r="J33" i="13"/>
  <c r="S27" i="19"/>
  <c r="T27" i="19" s="1"/>
  <c r="X27" i="19" s="1"/>
  <c r="Y27" i="19" s="1"/>
  <c r="R28" i="19"/>
  <c r="K34" i="19"/>
  <c r="O34" i="19" s="1"/>
  <c r="J35" i="19"/>
  <c r="Y31" i="18"/>
  <c r="S32" i="18"/>
  <c r="T32" i="18" s="1"/>
  <c r="X32" i="18" s="1"/>
  <c r="R33" i="18"/>
  <c r="K32" i="18"/>
  <c r="O32" i="18" s="1"/>
  <c r="J33" i="18"/>
  <c r="AH36" i="18"/>
  <c r="AI35" i="18"/>
  <c r="C118" i="18" s="1"/>
  <c r="E118" i="18" s="1"/>
  <c r="D127" i="18" s="1"/>
  <c r="F22" i="24" s="1"/>
  <c r="AF38" i="18"/>
  <c r="S112" i="21" l="1"/>
  <c r="T112" i="21" s="1"/>
  <c r="X112" i="21" s="1"/>
  <c r="Y112" i="21" s="1"/>
  <c r="R113" i="21"/>
  <c r="AF115" i="21"/>
  <c r="AI114" i="21"/>
  <c r="J124" i="21"/>
  <c r="K123" i="21"/>
  <c r="O123" i="21" s="1"/>
  <c r="O32" i="13"/>
  <c r="Y33" i="26"/>
  <c r="J35" i="26"/>
  <c r="K34" i="26"/>
  <c r="O34" i="26" s="1"/>
  <c r="S34" i="26"/>
  <c r="R35" i="26"/>
  <c r="AI29" i="26"/>
  <c r="AF30" i="26"/>
  <c r="X30" i="13"/>
  <c r="Y30" i="13" s="1"/>
  <c r="T31" i="13"/>
  <c r="R33" i="13"/>
  <c r="S32" i="13"/>
  <c r="AF24" i="19"/>
  <c r="AI23" i="19"/>
  <c r="AF33" i="13"/>
  <c r="AI32" i="13"/>
  <c r="K33" i="13"/>
  <c r="J34" i="13"/>
  <c r="R29" i="19"/>
  <c r="S28" i="19"/>
  <c r="T28" i="19" s="1"/>
  <c r="X28" i="19" s="1"/>
  <c r="Y28" i="19" s="1"/>
  <c r="K35" i="19"/>
  <c r="O35" i="19" s="1"/>
  <c r="D114" i="19" s="1"/>
  <c r="J36" i="19"/>
  <c r="R34" i="18"/>
  <c r="S33" i="18"/>
  <c r="T33" i="18" s="1"/>
  <c r="X33" i="18" s="1"/>
  <c r="Y32" i="18"/>
  <c r="K33" i="18"/>
  <c r="O33" i="18" s="1"/>
  <c r="J34" i="18"/>
  <c r="D123" i="18" s="1"/>
  <c r="E123" i="18" s="1"/>
  <c r="E127" i="18" s="1"/>
  <c r="F23" i="24" s="1"/>
  <c r="AF39" i="18"/>
  <c r="AH37" i="18"/>
  <c r="AI36" i="18"/>
  <c r="J125" i="21" l="1"/>
  <c r="K124" i="21"/>
  <c r="O124" i="21" s="1"/>
  <c r="AI115" i="21"/>
  <c r="AF116" i="21"/>
  <c r="S113" i="21"/>
  <c r="T113" i="21" s="1"/>
  <c r="X113" i="21" s="1"/>
  <c r="Y113" i="21" s="1"/>
  <c r="R114" i="21"/>
  <c r="O33" i="13"/>
  <c r="J36" i="26"/>
  <c r="K35" i="26"/>
  <c r="O35" i="26" s="1"/>
  <c r="D114" i="26" s="1"/>
  <c r="S35" i="26"/>
  <c r="T35" i="26" s="1"/>
  <c r="X35" i="26" s="1"/>
  <c r="R36" i="26"/>
  <c r="AF31" i="26"/>
  <c r="AI30" i="26"/>
  <c r="T34" i="26"/>
  <c r="X34" i="26" s="1"/>
  <c r="Y34" i="26" s="1"/>
  <c r="H22" i="24"/>
  <c r="X31" i="13"/>
  <c r="Y31" i="13" s="1"/>
  <c r="T32" i="13"/>
  <c r="S33" i="13"/>
  <c r="R34" i="13"/>
  <c r="AF25" i="19"/>
  <c r="AI24" i="19"/>
  <c r="AF34" i="13"/>
  <c r="AI33" i="13"/>
  <c r="K34" i="13"/>
  <c r="D123" i="13"/>
  <c r="E123" i="13" s="1"/>
  <c r="E127" i="13" s="1"/>
  <c r="E23" i="24" s="1"/>
  <c r="J35" i="13"/>
  <c r="S29" i="19"/>
  <c r="T29" i="19" s="1"/>
  <c r="X29" i="19" s="1"/>
  <c r="Y29" i="19" s="1"/>
  <c r="R30" i="19"/>
  <c r="K36" i="19"/>
  <c r="O36" i="19" s="1"/>
  <c r="J37" i="19"/>
  <c r="Y33" i="18"/>
  <c r="R35" i="18"/>
  <c r="S34" i="18"/>
  <c r="T34" i="18" s="1"/>
  <c r="X34" i="18" s="1"/>
  <c r="K34" i="18"/>
  <c r="O34" i="18" s="1"/>
  <c r="J35" i="18"/>
  <c r="AH38" i="18"/>
  <c r="AI37" i="18"/>
  <c r="AF40" i="18"/>
  <c r="R115" i="21" l="1"/>
  <c r="S114" i="21"/>
  <c r="T114" i="21" s="1"/>
  <c r="X114" i="21" s="1"/>
  <c r="Y114" i="21" s="1"/>
  <c r="AI116" i="21"/>
  <c r="AF117" i="21"/>
  <c r="J126" i="21"/>
  <c r="K125" i="21"/>
  <c r="O125" i="21" s="1"/>
  <c r="O34" i="13"/>
  <c r="J37" i="26"/>
  <c r="K36" i="26"/>
  <c r="O36" i="26" s="1"/>
  <c r="AI31" i="26"/>
  <c r="AF32" i="26"/>
  <c r="S36" i="26"/>
  <c r="R37" i="26"/>
  <c r="C114" i="26"/>
  <c r="Y35" i="26"/>
  <c r="E114" i="26" s="1"/>
  <c r="T33" i="13"/>
  <c r="X32" i="13"/>
  <c r="Y32" i="13" s="1"/>
  <c r="R35" i="13"/>
  <c r="S34" i="13"/>
  <c r="AI25" i="19"/>
  <c r="AF26" i="19"/>
  <c r="AF35" i="13"/>
  <c r="AI34" i="13"/>
  <c r="K35" i="13"/>
  <c r="J36" i="13"/>
  <c r="R23" i="24"/>
  <c r="J34" i="24"/>
  <c r="K34" i="24" s="1"/>
  <c r="S30" i="19"/>
  <c r="T30" i="19" s="1"/>
  <c r="X30" i="19" s="1"/>
  <c r="Y30" i="19" s="1"/>
  <c r="R31" i="19"/>
  <c r="K37" i="19"/>
  <c r="O37" i="19" s="1"/>
  <c r="J38" i="19"/>
  <c r="Y34" i="18"/>
  <c r="S35" i="18"/>
  <c r="R36" i="18"/>
  <c r="J36" i="18"/>
  <c r="K35" i="18"/>
  <c r="O35" i="18" s="1"/>
  <c r="AH39" i="18"/>
  <c r="AI38" i="18"/>
  <c r="AF41" i="18"/>
  <c r="J127" i="21" l="1"/>
  <c r="K126" i="21"/>
  <c r="O126" i="21" s="1"/>
  <c r="AF118" i="21"/>
  <c r="AI117" i="21"/>
  <c r="R116" i="21"/>
  <c r="S115" i="21"/>
  <c r="T115" i="21" s="1"/>
  <c r="X115" i="21" s="1"/>
  <c r="Y115" i="21" s="1"/>
  <c r="O35" i="13"/>
  <c r="D114" i="13" s="1"/>
  <c r="J38" i="26"/>
  <c r="K37" i="26"/>
  <c r="O37" i="26" s="1"/>
  <c r="S37" i="26"/>
  <c r="T37" i="26" s="1"/>
  <c r="X37" i="26" s="1"/>
  <c r="R38" i="26"/>
  <c r="T36" i="26"/>
  <c r="X36" i="26" s="1"/>
  <c r="Y36" i="26" s="1"/>
  <c r="AI32" i="26"/>
  <c r="AF33" i="26"/>
  <c r="X33" i="13"/>
  <c r="Y33" i="13" s="1"/>
  <c r="T34" i="13"/>
  <c r="R36" i="13"/>
  <c r="S35" i="13"/>
  <c r="AI26" i="19"/>
  <c r="AF27" i="19"/>
  <c r="AF36" i="13"/>
  <c r="AI35" i="13"/>
  <c r="C118" i="13" s="1"/>
  <c r="E118" i="13" s="1"/>
  <c r="D127" i="13" s="1"/>
  <c r="E22" i="24" s="1"/>
  <c r="K36" i="13"/>
  <c r="J37" i="13"/>
  <c r="S31" i="19"/>
  <c r="T31" i="19" s="1"/>
  <c r="X31" i="19" s="1"/>
  <c r="Y31" i="19" s="1"/>
  <c r="R32" i="19"/>
  <c r="K38" i="19"/>
  <c r="O38" i="19" s="1"/>
  <c r="J39" i="19"/>
  <c r="T35" i="18"/>
  <c r="X35" i="18" s="1"/>
  <c r="S36" i="18"/>
  <c r="T36" i="18" s="1"/>
  <c r="X36" i="18" s="1"/>
  <c r="R37" i="18"/>
  <c r="D114" i="18"/>
  <c r="K36" i="18"/>
  <c r="O36" i="18" s="1"/>
  <c r="J37" i="18"/>
  <c r="AF42" i="18"/>
  <c r="AH40" i="18"/>
  <c r="AI39" i="18"/>
  <c r="Y37" i="26" l="1"/>
  <c r="R117" i="21"/>
  <c r="S116" i="21"/>
  <c r="T116" i="21" s="1"/>
  <c r="X116" i="21" s="1"/>
  <c r="Y116" i="21" s="1"/>
  <c r="AF119" i="21"/>
  <c r="AI118" i="21"/>
  <c r="J128" i="21"/>
  <c r="K127" i="21"/>
  <c r="O127" i="21" s="1"/>
  <c r="O36" i="13"/>
  <c r="J39" i="26"/>
  <c r="K38" i="26"/>
  <c r="O38" i="26" s="1"/>
  <c r="S38" i="26"/>
  <c r="R39" i="26"/>
  <c r="AF34" i="26"/>
  <c r="AI33" i="26"/>
  <c r="X34" i="13"/>
  <c r="Y34" i="13" s="1"/>
  <c r="T35" i="13"/>
  <c r="S36" i="13"/>
  <c r="R37" i="13"/>
  <c r="AI27" i="19"/>
  <c r="AF28" i="19"/>
  <c r="AI36" i="13"/>
  <c r="AF37" i="13"/>
  <c r="K37" i="13"/>
  <c r="J38" i="13"/>
  <c r="S32" i="19"/>
  <c r="T32" i="19" s="1"/>
  <c r="X32" i="19" s="1"/>
  <c r="Y32" i="19" s="1"/>
  <c r="R33" i="19"/>
  <c r="K39" i="19"/>
  <c r="O39" i="19" s="1"/>
  <c r="J40" i="19"/>
  <c r="C114" i="18"/>
  <c r="Y35" i="18"/>
  <c r="E114" i="18" s="1"/>
  <c r="R38" i="18"/>
  <c r="S37" i="18"/>
  <c r="Y36" i="18"/>
  <c r="J38" i="18"/>
  <c r="K37" i="18"/>
  <c r="O37" i="18" s="1"/>
  <c r="AH41" i="18"/>
  <c r="AI40" i="18"/>
  <c r="AF43" i="18"/>
  <c r="J129" i="21" l="1"/>
  <c r="K128" i="21"/>
  <c r="O128" i="21" s="1"/>
  <c r="AF120" i="21"/>
  <c r="AI119" i="21"/>
  <c r="R118" i="21"/>
  <c r="S117" i="21"/>
  <c r="T117" i="21" s="1"/>
  <c r="X117" i="21" s="1"/>
  <c r="Y117" i="21" s="1"/>
  <c r="O37" i="13"/>
  <c r="K39" i="26"/>
  <c r="O39" i="26" s="1"/>
  <c r="J40" i="26"/>
  <c r="T38" i="26"/>
  <c r="X38" i="26" s="1"/>
  <c r="Y38" i="26" s="1"/>
  <c r="AI34" i="26"/>
  <c r="AF35" i="26"/>
  <c r="S39" i="26"/>
  <c r="T39" i="26" s="1"/>
  <c r="X39" i="26" s="1"/>
  <c r="R40" i="26"/>
  <c r="X35" i="13"/>
  <c r="R38" i="13"/>
  <c r="S37" i="13"/>
  <c r="T36" i="13"/>
  <c r="AF29" i="19"/>
  <c r="AI28" i="19"/>
  <c r="AF38" i="13"/>
  <c r="AI37" i="13"/>
  <c r="K38" i="13"/>
  <c r="J39" i="13"/>
  <c r="R34" i="19"/>
  <c r="S33" i="19"/>
  <c r="T33" i="19" s="1"/>
  <c r="X33" i="19" s="1"/>
  <c r="Y33" i="19" s="1"/>
  <c r="K40" i="19"/>
  <c r="O40" i="19" s="1"/>
  <c r="J41" i="19"/>
  <c r="S38" i="18"/>
  <c r="R39" i="18"/>
  <c r="T37" i="18"/>
  <c r="X37" i="18" s="1"/>
  <c r="Y37" i="18" s="1"/>
  <c r="K38" i="18"/>
  <c r="O38" i="18" s="1"/>
  <c r="J39" i="18"/>
  <c r="AF44" i="18"/>
  <c r="AH42" i="18"/>
  <c r="AI41" i="18"/>
  <c r="R119" i="21" l="1"/>
  <c r="S118" i="21"/>
  <c r="T118" i="21" s="1"/>
  <c r="X118" i="21" s="1"/>
  <c r="Y118" i="21" s="1"/>
  <c r="AI120" i="21"/>
  <c r="AF121" i="21"/>
  <c r="J130" i="21"/>
  <c r="K129" i="21"/>
  <c r="O129" i="21" s="1"/>
  <c r="O38" i="13"/>
  <c r="Y39" i="26"/>
  <c r="J41" i="26"/>
  <c r="K40" i="26"/>
  <c r="O40" i="26" s="1"/>
  <c r="AI35" i="26"/>
  <c r="C118" i="26" s="1"/>
  <c r="E118" i="26" s="1"/>
  <c r="D127" i="26" s="1"/>
  <c r="I22" i="24" s="1"/>
  <c r="AF36" i="26"/>
  <c r="S40" i="26"/>
  <c r="R41" i="26"/>
  <c r="X36" i="13"/>
  <c r="Y36" i="13" s="1"/>
  <c r="C114" i="13"/>
  <c r="Y35" i="13"/>
  <c r="E114" i="13" s="1"/>
  <c r="T37" i="13"/>
  <c r="R39" i="13"/>
  <c r="S38" i="13"/>
  <c r="AF30" i="19"/>
  <c r="AI29" i="19"/>
  <c r="AF39" i="13"/>
  <c r="AI38" i="13"/>
  <c r="K39" i="13"/>
  <c r="J40" i="13"/>
  <c r="S34" i="19"/>
  <c r="T34" i="19" s="1"/>
  <c r="X34" i="19" s="1"/>
  <c r="Y34" i="19" s="1"/>
  <c r="R35" i="19"/>
  <c r="J42" i="19"/>
  <c r="K41" i="19"/>
  <c r="O41" i="19" s="1"/>
  <c r="R40" i="18"/>
  <c r="S39" i="18"/>
  <c r="T39" i="18" s="1"/>
  <c r="X39" i="18" s="1"/>
  <c r="T38" i="18"/>
  <c r="X38" i="18" s="1"/>
  <c r="Y38" i="18" s="1"/>
  <c r="J40" i="18"/>
  <c r="K39" i="18"/>
  <c r="O39" i="18" s="1"/>
  <c r="AH43" i="18"/>
  <c r="AI42" i="18"/>
  <c r="AF45" i="18"/>
  <c r="J131" i="21" l="1"/>
  <c r="K130" i="21"/>
  <c r="O130" i="21" s="1"/>
  <c r="AF122" i="21"/>
  <c r="AI121" i="21"/>
  <c r="R120" i="21"/>
  <c r="S119" i="21"/>
  <c r="T119" i="21" s="1"/>
  <c r="X119" i="21" s="1"/>
  <c r="Y119" i="21" s="1"/>
  <c r="O39" i="13"/>
  <c r="K41" i="26"/>
  <c r="O41" i="26" s="1"/>
  <c r="J42" i="26"/>
  <c r="T40" i="26"/>
  <c r="X40" i="26" s="1"/>
  <c r="Y40" i="26" s="1"/>
  <c r="AI36" i="26"/>
  <c r="AF37" i="26"/>
  <c r="S41" i="26"/>
  <c r="T41" i="26" s="1"/>
  <c r="X41" i="26" s="1"/>
  <c r="R42" i="26"/>
  <c r="T38" i="13"/>
  <c r="X37" i="13"/>
  <c r="Y37" i="13" s="1"/>
  <c r="S39" i="13"/>
  <c r="R40" i="13"/>
  <c r="AF31" i="19"/>
  <c r="AI30" i="19"/>
  <c r="AF40" i="13"/>
  <c r="AI39" i="13"/>
  <c r="K40" i="13"/>
  <c r="J41" i="13"/>
  <c r="S35" i="19"/>
  <c r="T35" i="19" s="1"/>
  <c r="X35" i="19" s="1"/>
  <c r="R36" i="19"/>
  <c r="K42" i="19"/>
  <c r="O42" i="19" s="1"/>
  <c r="J43" i="19"/>
  <c r="Y39" i="18"/>
  <c r="R41" i="18"/>
  <c r="S40" i="18"/>
  <c r="T40" i="18" s="1"/>
  <c r="X40" i="18" s="1"/>
  <c r="K40" i="18"/>
  <c r="O40" i="18" s="1"/>
  <c r="J41" i="18"/>
  <c r="AF46" i="18"/>
  <c r="AH44" i="18"/>
  <c r="AI43" i="18"/>
  <c r="Y41" i="26" l="1"/>
  <c r="R121" i="21"/>
  <c r="S120" i="21"/>
  <c r="T120" i="21" s="1"/>
  <c r="X120" i="21" s="1"/>
  <c r="Y120" i="21" s="1"/>
  <c r="AF123" i="21"/>
  <c r="AI122" i="21"/>
  <c r="J132" i="21"/>
  <c r="K131" i="21"/>
  <c r="O131" i="21" s="1"/>
  <c r="O40" i="13"/>
  <c r="J43" i="26"/>
  <c r="K42" i="26"/>
  <c r="O42" i="26" s="1"/>
  <c r="AF38" i="26"/>
  <c r="AI37" i="26"/>
  <c r="S42" i="26"/>
  <c r="R43" i="26"/>
  <c r="T39" i="13"/>
  <c r="X38" i="13"/>
  <c r="Y38" i="13" s="1"/>
  <c r="S40" i="13"/>
  <c r="R41" i="13"/>
  <c r="AF32" i="19"/>
  <c r="AI31" i="19"/>
  <c r="AI40" i="13"/>
  <c r="AF41" i="13"/>
  <c r="K41" i="13"/>
  <c r="J42" i="13"/>
  <c r="S36" i="19"/>
  <c r="T36" i="19" s="1"/>
  <c r="X36" i="19" s="1"/>
  <c r="Y36" i="19" s="1"/>
  <c r="R37" i="19"/>
  <c r="C114" i="19"/>
  <c r="Y35" i="19"/>
  <c r="E114" i="19" s="1"/>
  <c r="K43" i="19"/>
  <c r="O43" i="19" s="1"/>
  <c r="J44" i="19"/>
  <c r="S41" i="18"/>
  <c r="T41" i="18" s="1"/>
  <c r="X41" i="18" s="1"/>
  <c r="R42" i="18"/>
  <c r="Y40" i="18"/>
  <c r="J42" i="18"/>
  <c r="K41" i="18"/>
  <c r="O41" i="18" s="1"/>
  <c r="AH45" i="18"/>
  <c r="AI44" i="18"/>
  <c r="AF47" i="18"/>
  <c r="J133" i="21" l="1"/>
  <c r="K132" i="21"/>
  <c r="O132" i="21" s="1"/>
  <c r="AF124" i="21"/>
  <c r="AI123" i="21"/>
  <c r="R122" i="21"/>
  <c r="S121" i="21"/>
  <c r="T121" i="21" s="1"/>
  <c r="X121" i="21" s="1"/>
  <c r="Y121" i="21" s="1"/>
  <c r="O41" i="13"/>
  <c r="J44" i="26"/>
  <c r="K43" i="26"/>
  <c r="O43" i="26" s="1"/>
  <c r="T42" i="26"/>
  <c r="X42" i="26" s="1"/>
  <c r="Y42" i="26" s="1"/>
  <c r="S43" i="26"/>
  <c r="T43" i="26" s="1"/>
  <c r="X43" i="26" s="1"/>
  <c r="R44" i="26"/>
  <c r="AI38" i="26"/>
  <c r="AF39" i="26"/>
  <c r="X39" i="13"/>
  <c r="Y39" i="13" s="1"/>
  <c r="R42" i="13"/>
  <c r="S41" i="13"/>
  <c r="T40" i="13"/>
  <c r="AF33" i="19"/>
  <c r="AI32" i="19"/>
  <c r="AI41" i="13"/>
  <c r="AF42" i="13"/>
  <c r="K42" i="13"/>
  <c r="J43" i="13"/>
  <c r="S37" i="19"/>
  <c r="T37" i="19" s="1"/>
  <c r="X37" i="19" s="1"/>
  <c r="Y37" i="19" s="1"/>
  <c r="R38" i="19"/>
  <c r="K44" i="19"/>
  <c r="O44" i="19" s="1"/>
  <c r="J45" i="19"/>
  <c r="Y41" i="18"/>
  <c r="S42" i="18"/>
  <c r="T42" i="18" s="1"/>
  <c r="X42" i="18" s="1"/>
  <c r="R43" i="18"/>
  <c r="K42" i="18"/>
  <c r="O42" i="18" s="1"/>
  <c r="J43" i="18"/>
  <c r="AF48" i="18"/>
  <c r="AH46" i="18"/>
  <c r="AI45" i="18"/>
  <c r="R123" i="21" l="1"/>
  <c r="S122" i="21"/>
  <c r="T122" i="21" s="1"/>
  <c r="X122" i="21" s="1"/>
  <c r="Y122" i="21" s="1"/>
  <c r="AI124" i="21"/>
  <c r="AF125" i="21"/>
  <c r="J134" i="21"/>
  <c r="K133" i="21"/>
  <c r="O133" i="21" s="1"/>
  <c r="O42" i="13"/>
  <c r="Y43" i="26"/>
  <c r="J45" i="26"/>
  <c r="K44" i="26"/>
  <c r="O44" i="26" s="1"/>
  <c r="S44" i="26"/>
  <c r="R45" i="26"/>
  <c r="AI39" i="26"/>
  <c r="AF40" i="26"/>
  <c r="X40" i="13"/>
  <c r="Y40" i="13" s="1"/>
  <c r="T41" i="13"/>
  <c r="S42" i="13"/>
  <c r="R43" i="13"/>
  <c r="AI33" i="19"/>
  <c r="AF34" i="19"/>
  <c r="AF43" i="13"/>
  <c r="AI42" i="13"/>
  <c r="K43" i="13"/>
  <c r="J44" i="13"/>
  <c r="S38" i="19"/>
  <c r="R39" i="19"/>
  <c r="K45" i="19"/>
  <c r="O45" i="19" s="1"/>
  <c r="J46" i="19"/>
  <c r="Y42" i="18"/>
  <c r="S43" i="18"/>
  <c r="T43" i="18" s="1"/>
  <c r="X43" i="18" s="1"/>
  <c r="R44" i="18"/>
  <c r="J44" i="18"/>
  <c r="K43" i="18"/>
  <c r="O43" i="18" s="1"/>
  <c r="AH47" i="18"/>
  <c r="AI46" i="18"/>
  <c r="AF49" i="18"/>
  <c r="J135" i="21" l="1"/>
  <c r="K134" i="21"/>
  <c r="O134" i="21" s="1"/>
  <c r="AI125" i="21"/>
  <c r="AF126" i="21"/>
  <c r="R124" i="21"/>
  <c r="S123" i="21"/>
  <c r="T123" i="21" s="1"/>
  <c r="X123" i="21" s="1"/>
  <c r="Y123" i="21" s="1"/>
  <c r="O43" i="13"/>
  <c r="K45" i="26"/>
  <c r="O45" i="26" s="1"/>
  <c r="J46" i="26"/>
  <c r="T44" i="26"/>
  <c r="X44" i="26" s="1"/>
  <c r="Y44" i="26" s="1"/>
  <c r="AI40" i="26"/>
  <c r="AF41" i="26"/>
  <c r="S45" i="26"/>
  <c r="T45" i="26" s="1"/>
  <c r="X45" i="26" s="1"/>
  <c r="R46" i="26"/>
  <c r="X41" i="13"/>
  <c r="Y41" i="13" s="1"/>
  <c r="T42" i="13"/>
  <c r="R44" i="13"/>
  <c r="S43" i="13"/>
  <c r="AI34" i="19"/>
  <c r="AF35" i="19"/>
  <c r="AF44" i="13"/>
  <c r="AI43" i="13"/>
  <c r="K44" i="13"/>
  <c r="J45" i="13"/>
  <c r="S39" i="19"/>
  <c r="T39" i="19" s="1"/>
  <c r="X39" i="19" s="1"/>
  <c r="Y39" i="19" s="1"/>
  <c r="R40" i="19"/>
  <c r="T38" i="19"/>
  <c r="X38" i="19" s="1"/>
  <c r="Y38" i="19" s="1"/>
  <c r="K46" i="19"/>
  <c r="O46" i="19" s="1"/>
  <c r="J47" i="19"/>
  <c r="S44" i="18"/>
  <c r="T44" i="18" s="1"/>
  <c r="X44" i="18" s="1"/>
  <c r="R45" i="18"/>
  <c r="Y43" i="18"/>
  <c r="K44" i="18"/>
  <c r="O44" i="18" s="1"/>
  <c r="J45" i="18"/>
  <c r="AF50" i="18"/>
  <c r="AH48" i="18"/>
  <c r="AI47" i="18"/>
  <c r="Y45" i="26" l="1"/>
  <c r="AF127" i="21"/>
  <c r="AI126" i="21"/>
  <c r="R125" i="21"/>
  <c r="S124" i="21"/>
  <c r="T124" i="21" s="1"/>
  <c r="X124" i="21" s="1"/>
  <c r="Y124" i="21" s="1"/>
  <c r="J136" i="21"/>
  <c r="K135" i="21"/>
  <c r="O135" i="21" s="1"/>
  <c r="O44" i="13"/>
  <c r="K46" i="26"/>
  <c r="O46" i="26" s="1"/>
  <c r="J47" i="26"/>
  <c r="AF42" i="26"/>
  <c r="AI41" i="26"/>
  <c r="S46" i="26"/>
  <c r="R47" i="26"/>
  <c r="X42" i="13"/>
  <c r="Y42" i="13" s="1"/>
  <c r="T43" i="13"/>
  <c r="R45" i="13"/>
  <c r="S44" i="13"/>
  <c r="AF36" i="19"/>
  <c r="AI35" i="19"/>
  <c r="C118" i="19" s="1"/>
  <c r="E118" i="19" s="1"/>
  <c r="D127" i="19" s="1"/>
  <c r="G22" i="24" s="1"/>
  <c r="AF45" i="13"/>
  <c r="AI44" i="13"/>
  <c r="K45" i="13"/>
  <c r="J46" i="13"/>
  <c r="S40" i="19"/>
  <c r="T40" i="19" s="1"/>
  <c r="X40" i="19" s="1"/>
  <c r="Y40" i="19" s="1"/>
  <c r="R41" i="19"/>
  <c r="K47" i="19"/>
  <c r="O47" i="19" s="1"/>
  <c r="J48" i="19"/>
  <c r="Y44" i="18"/>
  <c r="S45" i="18"/>
  <c r="T45" i="18" s="1"/>
  <c r="X45" i="18" s="1"/>
  <c r="R46" i="18"/>
  <c r="J46" i="18"/>
  <c r="K45" i="18"/>
  <c r="O45" i="18" s="1"/>
  <c r="AH49" i="18"/>
  <c r="AI48" i="18"/>
  <c r="AF51" i="18"/>
  <c r="J137" i="21" l="1"/>
  <c r="K136" i="21"/>
  <c r="O136" i="21" s="1"/>
  <c r="R126" i="21"/>
  <c r="S125" i="21"/>
  <c r="T125" i="21" s="1"/>
  <c r="X125" i="21" s="1"/>
  <c r="Y125" i="21" s="1"/>
  <c r="AF128" i="21"/>
  <c r="AI127" i="21"/>
  <c r="O45" i="13"/>
  <c r="K47" i="26"/>
  <c r="O47" i="26" s="1"/>
  <c r="J48" i="26"/>
  <c r="T46" i="26"/>
  <c r="X46" i="26" s="1"/>
  <c r="Y46" i="26" s="1"/>
  <c r="S47" i="26"/>
  <c r="T47" i="26" s="1"/>
  <c r="X47" i="26" s="1"/>
  <c r="R48" i="26"/>
  <c r="AI42" i="26"/>
  <c r="AF43" i="26"/>
  <c r="X43" i="13"/>
  <c r="Y43" i="13" s="1"/>
  <c r="T44" i="13"/>
  <c r="R46" i="13"/>
  <c r="S45" i="13"/>
  <c r="R22" i="24"/>
  <c r="J33" i="24"/>
  <c r="K33" i="24" s="1"/>
  <c r="AI36" i="19"/>
  <c r="AF37" i="19"/>
  <c r="AF46" i="13"/>
  <c r="AI45" i="13"/>
  <c r="K46" i="13"/>
  <c r="J47" i="13"/>
  <c r="S41" i="19"/>
  <c r="R42" i="19"/>
  <c r="K48" i="19"/>
  <c r="O48" i="19" s="1"/>
  <c r="J49" i="19"/>
  <c r="Y45" i="18"/>
  <c r="R47" i="18"/>
  <c r="S46" i="18"/>
  <c r="K46" i="18"/>
  <c r="O46" i="18" s="1"/>
  <c r="J47" i="18"/>
  <c r="AF52" i="18"/>
  <c r="AH50" i="18"/>
  <c r="AI49" i="18"/>
  <c r="AI128" i="21" l="1"/>
  <c r="AF129" i="21"/>
  <c r="R127" i="21"/>
  <c r="S126" i="21"/>
  <c r="T126" i="21" s="1"/>
  <c r="X126" i="21" s="1"/>
  <c r="Y126" i="21" s="1"/>
  <c r="J138" i="21"/>
  <c r="K137" i="21"/>
  <c r="O137" i="21" s="1"/>
  <c r="O46" i="13"/>
  <c r="Y47" i="26"/>
  <c r="J49" i="26"/>
  <c r="K48" i="26"/>
  <c r="O48" i="26" s="1"/>
  <c r="S48" i="26"/>
  <c r="R49" i="26"/>
  <c r="AF44" i="26"/>
  <c r="AI43" i="26"/>
  <c r="X44" i="13"/>
  <c r="Y44" i="13" s="1"/>
  <c r="T45" i="13"/>
  <c r="S46" i="13"/>
  <c r="R47" i="13"/>
  <c r="AI37" i="19"/>
  <c r="AF38" i="19"/>
  <c r="AF47" i="13"/>
  <c r="AI46" i="13"/>
  <c r="K47" i="13"/>
  <c r="J48" i="13"/>
  <c r="S42" i="19"/>
  <c r="T42" i="19" s="1"/>
  <c r="X42" i="19" s="1"/>
  <c r="Y42" i="19" s="1"/>
  <c r="R43" i="19"/>
  <c r="T41" i="19"/>
  <c r="X41" i="19" s="1"/>
  <c r="Y41" i="19" s="1"/>
  <c r="J50" i="19"/>
  <c r="K49" i="19"/>
  <c r="O49" i="19" s="1"/>
  <c r="T46" i="18"/>
  <c r="X46" i="18" s="1"/>
  <c r="R48" i="18"/>
  <c r="S47" i="18"/>
  <c r="T47" i="18" s="1"/>
  <c r="X47" i="18" s="1"/>
  <c r="J48" i="18"/>
  <c r="K47" i="18"/>
  <c r="O47" i="18" s="1"/>
  <c r="AH51" i="18"/>
  <c r="AI50" i="18"/>
  <c r="AF53" i="18"/>
  <c r="J139" i="21" l="1"/>
  <c r="K138" i="21"/>
  <c r="O138" i="21" s="1"/>
  <c r="S127" i="21"/>
  <c r="T127" i="21" s="1"/>
  <c r="X127" i="21" s="1"/>
  <c r="Y127" i="21" s="1"/>
  <c r="R128" i="21"/>
  <c r="AI129" i="21"/>
  <c r="AF130" i="21"/>
  <c r="O47" i="13"/>
  <c r="K49" i="26"/>
  <c r="O49" i="26" s="1"/>
  <c r="J50" i="26"/>
  <c r="J51" i="26" s="1"/>
  <c r="AI44" i="26"/>
  <c r="AF45" i="26"/>
  <c r="S49" i="26"/>
  <c r="T49" i="26" s="1"/>
  <c r="X49" i="26" s="1"/>
  <c r="R50" i="26"/>
  <c r="T48" i="26"/>
  <c r="X48" i="26" s="1"/>
  <c r="Y48" i="26" s="1"/>
  <c r="X45" i="13"/>
  <c r="Y45" i="13" s="1"/>
  <c r="S47" i="13"/>
  <c r="R48" i="13"/>
  <c r="T46" i="13"/>
  <c r="AI38" i="19"/>
  <c r="AF39" i="19"/>
  <c r="AF48" i="13"/>
  <c r="AI47" i="13"/>
  <c r="K48" i="13"/>
  <c r="J49" i="13"/>
  <c r="S43" i="19"/>
  <c r="T43" i="19" s="1"/>
  <c r="X43" i="19" s="1"/>
  <c r="Y43" i="19" s="1"/>
  <c r="R44" i="19"/>
  <c r="K50" i="19"/>
  <c r="O50" i="19" s="1"/>
  <c r="J51" i="19"/>
  <c r="Y47" i="18"/>
  <c r="Y46" i="18"/>
  <c r="R49" i="18"/>
  <c r="S48" i="18"/>
  <c r="T48" i="18" s="1"/>
  <c r="X48" i="18" s="1"/>
  <c r="K48" i="18"/>
  <c r="O48" i="18" s="1"/>
  <c r="J49" i="18"/>
  <c r="AF54" i="18"/>
  <c r="AH52" i="18"/>
  <c r="AI51" i="18"/>
  <c r="Y49" i="26" l="1"/>
  <c r="AF131" i="21"/>
  <c r="AI130" i="21"/>
  <c r="R129" i="21"/>
  <c r="S128" i="21"/>
  <c r="T128" i="21" s="1"/>
  <c r="X128" i="21" s="1"/>
  <c r="Y128" i="21" s="1"/>
  <c r="J140" i="21"/>
  <c r="K139" i="21"/>
  <c r="O139" i="21" s="1"/>
  <c r="O48" i="13"/>
  <c r="J52" i="26"/>
  <c r="K51" i="26"/>
  <c r="O51" i="26" s="1"/>
  <c r="K50" i="26"/>
  <c r="O50" i="26" s="1"/>
  <c r="S50" i="26"/>
  <c r="R51" i="26"/>
  <c r="AF46" i="26"/>
  <c r="AI45" i="26"/>
  <c r="X46" i="13"/>
  <c r="Y46" i="13" s="1"/>
  <c r="S48" i="13"/>
  <c r="R49" i="13"/>
  <c r="T47" i="13"/>
  <c r="AF40" i="19"/>
  <c r="AI39" i="19"/>
  <c r="AF49" i="13"/>
  <c r="AI48" i="13"/>
  <c r="K49" i="13"/>
  <c r="J50" i="13"/>
  <c r="S44" i="19"/>
  <c r="R45" i="19"/>
  <c r="K51" i="19"/>
  <c r="O51" i="19" s="1"/>
  <c r="J52" i="19"/>
  <c r="R50" i="18"/>
  <c r="S49" i="18"/>
  <c r="T49" i="18" s="1"/>
  <c r="X49" i="18" s="1"/>
  <c r="Y48" i="18"/>
  <c r="J50" i="18"/>
  <c r="K49" i="18"/>
  <c r="O49" i="18" s="1"/>
  <c r="AH53" i="18"/>
  <c r="AI52" i="18"/>
  <c r="AF55" i="18"/>
  <c r="J141" i="21" l="1"/>
  <c r="K140" i="21"/>
  <c r="O140" i="21" s="1"/>
  <c r="R130" i="21"/>
  <c r="S129" i="21"/>
  <c r="T129" i="21" s="1"/>
  <c r="X129" i="21" s="1"/>
  <c r="Y129" i="21" s="1"/>
  <c r="AI131" i="21"/>
  <c r="AF132" i="21"/>
  <c r="O49" i="13"/>
  <c r="J53" i="26"/>
  <c r="K52" i="26"/>
  <c r="O52" i="26" s="1"/>
  <c r="AI46" i="26"/>
  <c r="AF47" i="26"/>
  <c r="S51" i="26"/>
  <c r="T51" i="26" s="1"/>
  <c r="X51" i="26" s="1"/>
  <c r="Y51" i="26" s="1"/>
  <c r="R52" i="26"/>
  <c r="T50" i="26"/>
  <c r="X50" i="26" s="1"/>
  <c r="Y50" i="26" s="1"/>
  <c r="T48" i="13"/>
  <c r="X47" i="13"/>
  <c r="Y47" i="13" s="1"/>
  <c r="S49" i="13"/>
  <c r="R50" i="13"/>
  <c r="AI40" i="19"/>
  <c r="AF41" i="19"/>
  <c r="AF50" i="13"/>
  <c r="AI49" i="13"/>
  <c r="K50" i="13"/>
  <c r="J51" i="13"/>
  <c r="S45" i="19"/>
  <c r="T45" i="19" s="1"/>
  <c r="X45" i="19" s="1"/>
  <c r="Y45" i="19" s="1"/>
  <c r="R46" i="19"/>
  <c r="T44" i="19"/>
  <c r="X44" i="19" s="1"/>
  <c r="Y44" i="19" s="1"/>
  <c r="K52" i="19"/>
  <c r="O52" i="19" s="1"/>
  <c r="J53" i="19"/>
  <c r="Y49" i="18"/>
  <c r="S50" i="18"/>
  <c r="T50" i="18" s="1"/>
  <c r="X50" i="18" s="1"/>
  <c r="R51" i="18"/>
  <c r="K50" i="18"/>
  <c r="O50" i="18" s="1"/>
  <c r="J51" i="18"/>
  <c r="AF56" i="18"/>
  <c r="AH54" i="18"/>
  <c r="AI53" i="18"/>
  <c r="AI132" i="21" l="1"/>
  <c r="AF133" i="21"/>
  <c r="R131" i="21"/>
  <c r="S130" i="21"/>
  <c r="T130" i="21" s="1"/>
  <c r="X130" i="21" s="1"/>
  <c r="Y130" i="21" s="1"/>
  <c r="J142" i="21"/>
  <c r="K141" i="21"/>
  <c r="O141" i="21" s="1"/>
  <c r="O50" i="13"/>
  <c r="J54" i="26"/>
  <c r="K53" i="26"/>
  <c r="O53" i="26" s="1"/>
  <c r="S52" i="26"/>
  <c r="R53" i="26"/>
  <c r="AI47" i="26"/>
  <c r="AF48" i="26"/>
  <c r="X48" i="13"/>
  <c r="Y48" i="13" s="1"/>
  <c r="R51" i="13"/>
  <c r="S50" i="13"/>
  <c r="T49" i="13"/>
  <c r="AF42" i="19"/>
  <c r="AI41" i="19"/>
  <c r="AI50" i="13"/>
  <c r="AF51" i="13"/>
  <c r="K51" i="13"/>
  <c r="J52" i="13"/>
  <c r="S46" i="19"/>
  <c r="T46" i="19" s="1"/>
  <c r="X46" i="19" s="1"/>
  <c r="Y46" i="19" s="1"/>
  <c r="R47" i="19"/>
  <c r="K53" i="19"/>
  <c r="O53" i="19" s="1"/>
  <c r="J54" i="19"/>
  <c r="R52" i="18"/>
  <c r="S51" i="18"/>
  <c r="T51" i="18" s="1"/>
  <c r="X51" i="18" s="1"/>
  <c r="Y50" i="18"/>
  <c r="J52" i="18"/>
  <c r="K51" i="18"/>
  <c r="O51" i="18" s="1"/>
  <c r="AH55" i="18"/>
  <c r="AI54" i="18"/>
  <c r="AF57" i="18"/>
  <c r="R132" i="21" l="1"/>
  <c r="S131" i="21"/>
  <c r="T131" i="21" s="1"/>
  <c r="X131" i="21" s="1"/>
  <c r="Y131" i="21" s="1"/>
  <c r="AI133" i="21"/>
  <c r="AF134" i="21"/>
  <c r="J143" i="21"/>
  <c r="K142" i="21"/>
  <c r="O142" i="21" s="1"/>
  <c r="O51" i="13"/>
  <c r="J55" i="26"/>
  <c r="K54" i="26"/>
  <c r="O54" i="26" s="1"/>
  <c r="AI48" i="26"/>
  <c r="AF49" i="26"/>
  <c r="S53" i="26"/>
  <c r="T53" i="26" s="1"/>
  <c r="X53" i="26" s="1"/>
  <c r="Y53" i="26" s="1"/>
  <c r="R54" i="26"/>
  <c r="T52" i="26"/>
  <c r="X52" i="26" s="1"/>
  <c r="Y52" i="26" s="1"/>
  <c r="T50" i="13"/>
  <c r="X49" i="13"/>
  <c r="Y49" i="13" s="1"/>
  <c r="R52" i="13"/>
  <c r="S51" i="13"/>
  <c r="AI42" i="19"/>
  <c r="AF43" i="19"/>
  <c r="AI51" i="13"/>
  <c r="AF52" i="13"/>
  <c r="K52" i="13"/>
  <c r="J53" i="13"/>
  <c r="R48" i="19"/>
  <c r="S47" i="19"/>
  <c r="T47" i="19" s="1"/>
  <c r="X47" i="19" s="1"/>
  <c r="Y47" i="19" s="1"/>
  <c r="K54" i="19"/>
  <c r="O54" i="19" s="1"/>
  <c r="J55" i="19"/>
  <c r="J56" i="19" s="1"/>
  <c r="Y51" i="18"/>
  <c r="R53" i="18"/>
  <c r="S52" i="18"/>
  <c r="T52" i="18" s="1"/>
  <c r="X52" i="18" s="1"/>
  <c r="K52" i="18"/>
  <c r="O52" i="18" s="1"/>
  <c r="J53" i="18"/>
  <c r="AF58" i="18"/>
  <c r="AH56" i="18"/>
  <c r="AI55" i="18"/>
  <c r="J144" i="21" l="1"/>
  <c r="K143" i="21"/>
  <c r="O143" i="21" s="1"/>
  <c r="AF135" i="21"/>
  <c r="AI134" i="21"/>
  <c r="S132" i="21"/>
  <c r="T132" i="21" s="1"/>
  <c r="X132" i="21" s="1"/>
  <c r="Y132" i="21" s="1"/>
  <c r="R133" i="21"/>
  <c r="O52" i="13"/>
  <c r="J56" i="26"/>
  <c r="K55" i="26"/>
  <c r="O55" i="26" s="1"/>
  <c r="S54" i="26"/>
  <c r="R55" i="26"/>
  <c r="AF50" i="26"/>
  <c r="AI49" i="26"/>
  <c r="T51" i="13"/>
  <c r="X50" i="13"/>
  <c r="Y50" i="13" s="1"/>
  <c r="R53" i="13"/>
  <c r="S52" i="13"/>
  <c r="AF44" i="19"/>
  <c r="AI43" i="19"/>
  <c r="AI52" i="13"/>
  <c r="AF53" i="13"/>
  <c r="J57" i="19"/>
  <c r="K56" i="19"/>
  <c r="O56" i="19" s="1"/>
  <c r="K53" i="13"/>
  <c r="J54" i="13"/>
  <c r="R49" i="19"/>
  <c r="S48" i="19"/>
  <c r="T48" i="19" s="1"/>
  <c r="X48" i="19" s="1"/>
  <c r="Y48" i="19" s="1"/>
  <c r="K55" i="19"/>
  <c r="O55" i="19" s="1"/>
  <c r="S53" i="18"/>
  <c r="T53" i="18" s="1"/>
  <c r="X53" i="18" s="1"/>
  <c r="R54" i="18"/>
  <c r="Y52" i="18"/>
  <c r="K53" i="18"/>
  <c r="O53" i="18" s="1"/>
  <c r="J54" i="18"/>
  <c r="AH57" i="18"/>
  <c r="AI56" i="18"/>
  <c r="AF59" i="18"/>
  <c r="AF136" i="21" l="1"/>
  <c r="AI135" i="21"/>
  <c r="R134" i="21"/>
  <c r="S133" i="21"/>
  <c r="T133" i="21" s="1"/>
  <c r="X133" i="21" s="1"/>
  <c r="Y133" i="21" s="1"/>
  <c r="J145" i="21"/>
  <c r="K144" i="21"/>
  <c r="O144" i="21" s="1"/>
  <c r="O53" i="13"/>
  <c r="J57" i="26"/>
  <c r="K56" i="26"/>
  <c r="O56" i="26" s="1"/>
  <c r="AI50" i="26"/>
  <c r="AF51" i="26"/>
  <c r="S55" i="26"/>
  <c r="T55" i="26" s="1"/>
  <c r="X55" i="26" s="1"/>
  <c r="Y55" i="26" s="1"/>
  <c r="R56" i="26"/>
  <c r="T54" i="26"/>
  <c r="X54" i="26" s="1"/>
  <c r="Y54" i="26" s="1"/>
  <c r="T52" i="13"/>
  <c r="X51" i="13"/>
  <c r="Y51" i="13" s="1"/>
  <c r="S53" i="13"/>
  <c r="R54" i="13"/>
  <c r="AI44" i="19"/>
  <c r="AF45" i="19"/>
  <c r="AI53" i="13"/>
  <c r="AF54" i="13"/>
  <c r="K57" i="19"/>
  <c r="O57" i="19" s="1"/>
  <c r="J58" i="19"/>
  <c r="K54" i="13"/>
  <c r="J55" i="13"/>
  <c r="S49" i="19"/>
  <c r="T49" i="19" s="1"/>
  <c r="X49" i="19" s="1"/>
  <c r="R50" i="19"/>
  <c r="Y53" i="18"/>
  <c r="S54" i="18"/>
  <c r="T54" i="18" s="1"/>
  <c r="X54" i="18" s="1"/>
  <c r="R55" i="18"/>
  <c r="K54" i="18"/>
  <c r="O54" i="18" s="1"/>
  <c r="J55" i="18"/>
  <c r="J56" i="18" s="1"/>
  <c r="AF60" i="18"/>
  <c r="AH58" i="18"/>
  <c r="AI57" i="18"/>
  <c r="J146" i="21" l="1"/>
  <c r="K145" i="21"/>
  <c r="O145" i="21" s="1"/>
  <c r="R135" i="21"/>
  <c r="S134" i="21"/>
  <c r="T134" i="21" s="1"/>
  <c r="X134" i="21" s="1"/>
  <c r="Y134" i="21" s="1"/>
  <c r="AI136" i="21"/>
  <c r="AF137" i="21"/>
  <c r="O54" i="13"/>
  <c r="J58" i="26"/>
  <c r="K57" i="26"/>
  <c r="O57" i="26" s="1"/>
  <c r="S56" i="26"/>
  <c r="R57" i="26"/>
  <c r="AF52" i="26"/>
  <c r="AI51" i="26"/>
  <c r="X52" i="13"/>
  <c r="Y52" i="13" s="1"/>
  <c r="T53" i="13"/>
  <c r="R55" i="13"/>
  <c r="S54" i="13"/>
  <c r="AI45" i="19"/>
  <c r="AF46" i="19"/>
  <c r="AF55" i="13"/>
  <c r="AI54" i="13"/>
  <c r="J59" i="19"/>
  <c r="K58" i="19"/>
  <c r="O58" i="19" s="1"/>
  <c r="J57" i="18"/>
  <c r="K56" i="18"/>
  <c r="O56" i="18" s="1"/>
  <c r="S55" i="18"/>
  <c r="T55" i="18" s="1"/>
  <c r="X55" i="18" s="1"/>
  <c r="R56" i="18"/>
  <c r="K55" i="13"/>
  <c r="J56" i="13"/>
  <c r="R51" i="19"/>
  <c r="S50" i="19"/>
  <c r="T50" i="19" s="1"/>
  <c r="X50" i="19" s="1"/>
  <c r="Y50" i="19" s="1"/>
  <c r="Y49" i="19"/>
  <c r="Y54" i="18"/>
  <c r="K55" i="18"/>
  <c r="O55" i="18" s="1"/>
  <c r="AH59" i="18"/>
  <c r="AI58" i="18"/>
  <c r="AF61" i="18"/>
  <c r="S135" i="21" l="1"/>
  <c r="T135" i="21" s="1"/>
  <c r="X135" i="21" s="1"/>
  <c r="Y135" i="21" s="1"/>
  <c r="R136" i="21"/>
  <c r="AI137" i="21"/>
  <c r="AF138" i="21"/>
  <c r="J147" i="21"/>
  <c r="K146" i="21"/>
  <c r="O146" i="21" s="1"/>
  <c r="O55" i="13"/>
  <c r="K58" i="26"/>
  <c r="O58" i="26" s="1"/>
  <c r="J59" i="26"/>
  <c r="T56" i="26"/>
  <c r="X56" i="26" s="1"/>
  <c r="Y56" i="26" s="1"/>
  <c r="S57" i="26"/>
  <c r="T57" i="26" s="1"/>
  <c r="X57" i="26" s="1"/>
  <c r="Y57" i="26" s="1"/>
  <c r="R58" i="26"/>
  <c r="AI52" i="26"/>
  <c r="AF53" i="26"/>
  <c r="X53" i="13"/>
  <c r="Y53" i="13" s="1"/>
  <c r="T54" i="13"/>
  <c r="R56" i="13"/>
  <c r="S55" i="13"/>
  <c r="AI46" i="19"/>
  <c r="AF47" i="19"/>
  <c r="AI55" i="13"/>
  <c r="AF56" i="13"/>
  <c r="K59" i="19"/>
  <c r="O59" i="19" s="1"/>
  <c r="J60" i="19"/>
  <c r="S56" i="18"/>
  <c r="T56" i="18" s="1"/>
  <c r="X56" i="18" s="1"/>
  <c r="R57" i="18"/>
  <c r="K57" i="18"/>
  <c r="O57" i="18" s="1"/>
  <c r="J58" i="18"/>
  <c r="K56" i="13"/>
  <c r="J57" i="13"/>
  <c r="R52" i="19"/>
  <c r="S51" i="19"/>
  <c r="T51" i="19" s="1"/>
  <c r="X51" i="19" s="1"/>
  <c r="Y55" i="18"/>
  <c r="AF62" i="18"/>
  <c r="AH60" i="18"/>
  <c r="AI59" i="18"/>
  <c r="J148" i="21" l="1"/>
  <c r="K147" i="21"/>
  <c r="O147" i="21" s="1"/>
  <c r="AF139" i="21"/>
  <c r="AI138" i="21"/>
  <c r="S136" i="21"/>
  <c r="T136" i="21" s="1"/>
  <c r="X136" i="21" s="1"/>
  <c r="Y136" i="21" s="1"/>
  <c r="R137" i="21"/>
  <c r="O56" i="13"/>
  <c r="K59" i="26"/>
  <c r="O59" i="26" s="1"/>
  <c r="J60" i="26"/>
  <c r="S58" i="26"/>
  <c r="T58" i="26" s="1"/>
  <c r="X58" i="26" s="1"/>
  <c r="Y58" i="26" s="1"/>
  <c r="R59" i="26"/>
  <c r="AF54" i="26"/>
  <c r="AI53" i="26"/>
  <c r="X54" i="13"/>
  <c r="Y54" i="13" s="1"/>
  <c r="T55" i="13"/>
  <c r="R57" i="13"/>
  <c r="S56" i="13"/>
  <c r="AF48" i="19"/>
  <c r="AI47" i="19"/>
  <c r="AI56" i="13"/>
  <c r="AF57" i="13"/>
  <c r="J61" i="19"/>
  <c r="K60" i="19"/>
  <c r="O60" i="19" s="1"/>
  <c r="J59" i="18"/>
  <c r="K58" i="18"/>
  <c r="O58" i="18" s="1"/>
  <c r="S57" i="18"/>
  <c r="T57" i="18" s="1"/>
  <c r="X57" i="18" s="1"/>
  <c r="Y57" i="18" s="1"/>
  <c r="R58" i="18"/>
  <c r="Y56" i="18"/>
  <c r="K57" i="13"/>
  <c r="J58" i="13"/>
  <c r="Y51" i="19"/>
  <c r="S52" i="19"/>
  <c r="T52" i="19" s="1"/>
  <c r="X52" i="19" s="1"/>
  <c r="Y52" i="19" s="1"/>
  <c r="R53" i="19"/>
  <c r="AH61" i="18"/>
  <c r="AI60" i="18"/>
  <c r="AF63" i="18"/>
  <c r="R138" i="21" l="1"/>
  <c r="S137" i="21"/>
  <c r="T137" i="21" s="1"/>
  <c r="X137" i="21" s="1"/>
  <c r="Y137" i="21" s="1"/>
  <c r="AI139" i="21"/>
  <c r="AF140" i="21"/>
  <c r="J149" i="21"/>
  <c r="K148" i="21"/>
  <c r="O148" i="21" s="1"/>
  <c r="O57" i="13"/>
  <c r="J61" i="26"/>
  <c r="K60" i="26"/>
  <c r="O60" i="26" s="1"/>
  <c r="S59" i="26"/>
  <c r="T59" i="26" s="1"/>
  <c r="X59" i="26" s="1"/>
  <c r="Y59" i="26" s="1"/>
  <c r="R60" i="26"/>
  <c r="AI54" i="26"/>
  <c r="AF55" i="26"/>
  <c r="T56" i="13"/>
  <c r="X55" i="13"/>
  <c r="Y55" i="13" s="1"/>
  <c r="S57" i="13"/>
  <c r="R58" i="13"/>
  <c r="AF49" i="19"/>
  <c r="AI48" i="19"/>
  <c r="AF58" i="13"/>
  <c r="AI57" i="13"/>
  <c r="K61" i="19"/>
  <c r="O61" i="19" s="1"/>
  <c r="J62" i="19"/>
  <c r="S58" i="18"/>
  <c r="T58" i="18" s="1"/>
  <c r="X58" i="18" s="1"/>
  <c r="R59" i="18"/>
  <c r="K59" i="18"/>
  <c r="O59" i="18" s="1"/>
  <c r="J60" i="18"/>
  <c r="K58" i="13"/>
  <c r="J59" i="13"/>
  <c r="S53" i="19"/>
  <c r="T53" i="19" s="1"/>
  <c r="X53" i="19" s="1"/>
  <c r="R54" i="19"/>
  <c r="AF64" i="18"/>
  <c r="AH62" i="18"/>
  <c r="AI61" i="18"/>
  <c r="J150" i="21" l="1"/>
  <c r="K149" i="21"/>
  <c r="O149" i="21" s="1"/>
  <c r="AI140" i="21"/>
  <c r="AF141" i="21"/>
  <c r="R139" i="21"/>
  <c r="S138" i="21"/>
  <c r="T138" i="21" s="1"/>
  <c r="X138" i="21" s="1"/>
  <c r="Y138" i="21" s="1"/>
  <c r="O58" i="13"/>
  <c r="J62" i="26"/>
  <c r="K61" i="26"/>
  <c r="O61" i="26" s="1"/>
  <c r="AI55" i="26"/>
  <c r="AF56" i="26"/>
  <c r="S60" i="26"/>
  <c r="T60" i="26" s="1"/>
  <c r="X60" i="26" s="1"/>
  <c r="Y60" i="26" s="1"/>
  <c r="R61" i="26"/>
  <c r="X56" i="13"/>
  <c r="Y56" i="13" s="1"/>
  <c r="R59" i="13"/>
  <c r="S58" i="13"/>
  <c r="T57" i="13"/>
  <c r="AI49" i="19"/>
  <c r="AF50" i="19"/>
  <c r="AI58" i="13"/>
  <c r="AF59" i="13"/>
  <c r="J63" i="19"/>
  <c r="K62" i="19"/>
  <c r="O62" i="19" s="1"/>
  <c r="S59" i="18"/>
  <c r="T59" i="18" s="1"/>
  <c r="X59" i="18" s="1"/>
  <c r="Y59" i="18" s="1"/>
  <c r="R60" i="18"/>
  <c r="J61" i="18"/>
  <c r="K60" i="18"/>
  <c r="O60" i="18" s="1"/>
  <c r="Y58" i="18"/>
  <c r="K59" i="13"/>
  <c r="J60" i="13"/>
  <c r="R55" i="19"/>
  <c r="S54" i="19"/>
  <c r="T54" i="19" s="1"/>
  <c r="X54" i="19" s="1"/>
  <c r="Y54" i="19" s="1"/>
  <c r="Y53" i="19"/>
  <c r="AH63" i="18"/>
  <c r="AI62" i="18"/>
  <c r="AF65" i="18"/>
  <c r="S139" i="21" l="1"/>
  <c r="T139" i="21" s="1"/>
  <c r="X139" i="21" s="1"/>
  <c r="Y139" i="21" s="1"/>
  <c r="R140" i="21"/>
  <c r="AI141" i="21"/>
  <c r="AF142" i="21"/>
  <c r="J151" i="21"/>
  <c r="K150" i="21"/>
  <c r="O150" i="21" s="1"/>
  <c r="O59" i="13"/>
  <c r="K62" i="26"/>
  <c r="O62" i="26" s="1"/>
  <c r="J63" i="26"/>
  <c r="S61" i="26"/>
  <c r="T61" i="26" s="1"/>
  <c r="X61" i="26" s="1"/>
  <c r="Y61" i="26" s="1"/>
  <c r="R62" i="26"/>
  <c r="AI56" i="26"/>
  <c r="AF57" i="26"/>
  <c r="X57" i="13"/>
  <c r="Y57" i="13" s="1"/>
  <c r="T58" i="13"/>
  <c r="S59" i="13"/>
  <c r="R60" i="13"/>
  <c r="AF51" i="19"/>
  <c r="AI50" i="19"/>
  <c r="AF60" i="13"/>
  <c r="AI59" i="13"/>
  <c r="S55" i="19"/>
  <c r="T55" i="19" s="1"/>
  <c r="X55" i="19" s="1"/>
  <c r="R56" i="19"/>
  <c r="K63" i="19"/>
  <c r="O63" i="19" s="1"/>
  <c r="J64" i="19"/>
  <c r="S60" i="18"/>
  <c r="T60" i="18" s="1"/>
  <c r="X60" i="18" s="1"/>
  <c r="R61" i="18"/>
  <c r="K61" i="18"/>
  <c r="O61" i="18" s="1"/>
  <c r="J62" i="18"/>
  <c r="K60" i="13"/>
  <c r="J61" i="13"/>
  <c r="AF66" i="18"/>
  <c r="AH64" i="18"/>
  <c r="AI63" i="18"/>
  <c r="J152" i="21" l="1"/>
  <c r="K151" i="21"/>
  <c r="O151" i="21" s="1"/>
  <c r="AF143" i="21"/>
  <c r="AI142" i="21"/>
  <c r="S140" i="21"/>
  <c r="T140" i="21" s="1"/>
  <c r="X140" i="21" s="1"/>
  <c r="Y140" i="21" s="1"/>
  <c r="R141" i="21"/>
  <c r="O60" i="13"/>
  <c r="K63" i="26"/>
  <c r="O63" i="26" s="1"/>
  <c r="J64" i="26"/>
  <c r="AF58" i="26"/>
  <c r="AI57" i="26"/>
  <c r="S62" i="26"/>
  <c r="T62" i="26" s="1"/>
  <c r="X62" i="26" s="1"/>
  <c r="Y62" i="26" s="1"/>
  <c r="R63" i="26"/>
  <c r="X58" i="13"/>
  <c r="Y58" i="13" s="1"/>
  <c r="T59" i="13"/>
  <c r="R61" i="13"/>
  <c r="S60" i="13"/>
  <c r="AF52" i="19"/>
  <c r="AI51" i="19"/>
  <c r="AF61" i="13"/>
  <c r="AI60" i="13"/>
  <c r="J65" i="19"/>
  <c r="J66" i="19" s="1"/>
  <c r="K64" i="19"/>
  <c r="O64" i="19" s="1"/>
  <c r="S56" i="19"/>
  <c r="T56" i="19" s="1"/>
  <c r="X56" i="19" s="1"/>
  <c r="Y56" i="19" s="1"/>
  <c r="R57" i="19"/>
  <c r="Y55" i="19"/>
  <c r="S61" i="18"/>
  <c r="R62" i="18"/>
  <c r="K62" i="18"/>
  <c r="O62" i="18" s="1"/>
  <c r="J63" i="18"/>
  <c r="Y60" i="18"/>
  <c r="K61" i="13"/>
  <c r="J62" i="13"/>
  <c r="AH65" i="18"/>
  <c r="AI64" i="18"/>
  <c r="AF67" i="18"/>
  <c r="R142" i="21" l="1"/>
  <c r="S141" i="21"/>
  <c r="T141" i="21" s="1"/>
  <c r="X141" i="21" s="1"/>
  <c r="Y141" i="21" s="1"/>
  <c r="AI143" i="21"/>
  <c r="AF144" i="21"/>
  <c r="J153" i="21"/>
  <c r="K152" i="21"/>
  <c r="O152" i="21" s="1"/>
  <c r="O61" i="13"/>
  <c r="J65" i="26"/>
  <c r="K64" i="26"/>
  <c r="O64" i="26" s="1"/>
  <c r="S63" i="26"/>
  <c r="T63" i="26" s="1"/>
  <c r="X63" i="26" s="1"/>
  <c r="Y63" i="26" s="1"/>
  <c r="R64" i="26"/>
  <c r="AI58" i="26"/>
  <c r="AF59" i="26"/>
  <c r="X59" i="13"/>
  <c r="Y59" i="13" s="1"/>
  <c r="T60" i="13"/>
  <c r="S61" i="13"/>
  <c r="R62" i="13"/>
  <c r="J67" i="19"/>
  <c r="K66" i="19"/>
  <c r="O66" i="19" s="1"/>
  <c r="AI52" i="19"/>
  <c r="AF53" i="19"/>
  <c r="AF62" i="13"/>
  <c r="AI61" i="13"/>
  <c r="K65" i="19"/>
  <c r="O65" i="19" s="1"/>
  <c r="S57" i="19"/>
  <c r="T57" i="19" s="1"/>
  <c r="X57" i="19" s="1"/>
  <c r="R58" i="19"/>
  <c r="K63" i="18"/>
  <c r="O63" i="18" s="1"/>
  <c r="J64" i="18"/>
  <c r="S62" i="18"/>
  <c r="R63" i="18"/>
  <c r="T61" i="18"/>
  <c r="X61" i="18" s="1"/>
  <c r="K62" i="13"/>
  <c r="J63" i="13"/>
  <c r="AF68" i="18"/>
  <c r="AH66" i="18"/>
  <c r="AI65" i="18"/>
  <c r="J154" i="21" l="1"/>
  <c r="K153" i="21"/>
  <c r="O153" i="21" s="1"/>
  <c r="AI144" i="21"/>
  <c r="AF145" i="21"/>
  <c r="S142" i="21"/>
  <c r="T142" i="21" s="1"/>
  <c r="X142" i="21" s="1"/>
  <c r="Y142" i="21" s="1"/>
  <c r="R143" i="21"/>
  <c r="K65" i="26"/>
  <c r="O65" i="26" s="1"/>
  <c r="J66" i="26"/>
  <c r="O62" i="13"/>
  <c r="AF60" i="26"/>
  <c r="AI59" i="26"/>
  <c r="S64" i="26"/>
  <c r="T64" i="26" s="1"/>
  <c r="X64" i="26" s="1"/>
  <c r="Y64" i="26" s="1"/>
  <c r="R65" i="26"/>
  <c r="X60" i="13"/>
  <c r="Y60" i="13" s="1"/>
  <c r="T61" i="13"/>
  <c r="R63" i="13"/>
  <c r="S62" i="13"/>
  <c r="K67" i="19"/>
  <c r="O67" i="19" s="1"/>
  <c r="J68" i="19"/>
  <c r="AF54" i="19"/>
  <c r="AI53" i="19"/>
  <c r="AF63" i="13"/>
  <c r="AI62" i="13"/>
  <c r="S58" i="19"/>
  <c r="T58" i="19" s="1"/>
  <c r="X58" i="19" s="1"/>
  <c r="Y58" i="19" s="1"/>
  <c r="R59" i="19"/>
  <c r="Y57" i="19"/>
  <c r="Y61" i="18"/>
  <c r="T62" i="18"/>
  <c r="X62" i="18" s="1"/>
  <c r="Y62" i="18" s="1"/>
  <c r="S63" i="18"/>
  <c r="R64" i="18"/>
  <c r="K64" i="18"/>
  <c r="O64" i="18" s="1"/>
  <c r="J65" i="18"/>
  <c r="K63" i="13"/>
  <c r="J64" i="13"/>
  <c r="AH67" i="18"/>
  <c r="AI66" i="18"/>
  <c r="AF69" i="18"/>
  <c r="R144" i="21" l="1"/>
  <c r="S143" i="21"/>
  <c r="T143" i="21" s="1"/>
  <c r="X143" i="21" s="1"/>
  <c r="Y143" i="21" s="1"/>
  <c r="AI145" i="21"/>
  <c r="AF146" i="21"/>
  <c r="J155" i="21"/>
  <c r="K155" i="21" s="1"/>
  <c r="O155" i="21" s="1"/>
  <c r="D113" i="21" s="1"/>
  <c r="K154" i="21"/>
  <c r="O154" i="21" s="1"/>
  <c r="K66" i="26"/>
  <c r="O66" i="26" s="1"/>
  <c r="J67" i="26"/>
  <c r="S65" i="26"/>
  <c r="T65" i="26" s="1"/>
  <c r="X65" i="26" s="1"/>
  <c r="Y65" i="26" s="1"/>
  <c r="R66" i="26"/>
  <c r="O63" i="13"/>
  <c r="AI60" i="26"/>
  <c r="AF61" i="26"/>
  <c r="X61" i="13"/>
  <c r="Y61" i="13" s="1"/>
  <c r="T62" i="13"/>
  <c r="R64" i="13"/>
  <c r="S63" i="13"/>
  <c r="J69" i="19"/>
  <c r="K68" i="19"/>
  <c r="O68" i="19" s="1"/>
  <c r="AF55" i="19"/>
  <c r="AI54" i="19"/>
  <c r="AI63" i="13"/>
  <c r="AF64" i="13"/>
  <c r="S59" i="19"/>
  <c r="T59" i="19" s="1"/>
  <c r="X59" i="19" s="1"/>
  <c r="R60" i="19"/>
  <c r="K65" i="18"/>
  <c r="O65" i="18" s="1"/>
  <c r="J66" i="18"/>
  <c r="S64" i="18"/>
  <c r="T64" i="18" s="1"/>
  <c r="X64" i="18" s="1"/>
  <c r="Y64" i="18" s="1"/>
  <c r="R65" i="18"/>
  <c r="T63" i="18"/>
  <c r="X63" i="18" s="1"/>
  <c r="K64" i="13"/>
  <c r="J65" i="13"/>
  <c r="AF70" i="18"/>
  <c r="AH68" i="18"/>
  <c r="AI67" i="18"/>
  <c r="AF147" i="21" l="1"/>
  <c r="AI146" i="21"/>
  <c r="S144" i="21"/>
  <c r="T144" i="21" s="1"/>
  <c r="X144" i="21" s="1"/>
  <c r="Y144" i="21" s="1"/>
  <c r="R145" i="21"/>
  <c r="S66" i="26"/>
  <c r="T66" i="26" s="1"/>
  <c r="X66" i="26" s="1"/>
  <c r="R67" i="26"/>
  <c r="K67" i="26"/>
  <c r="O67" i="26" s="1"/>
  <c r="J68" i="26"/>
  <c r="O64" i="13"/>
  <c r="AF62" i="26"/>
  <c r="AI61" i="26"/>
  <c r="T63" i="13"/>
  <c r="X62" i="13"/>
  <c r="Y62" i="13" s="1"/>
  <c r="R65" i="13"/>
  <c r="S64" i="13"/>
  <c r="K69" i="19"/>
  <c r="O69" i="19" s="1"/>
  <c r="J70" i="19"/>
  <c r="AI55" i="19"/>
  <c r="AF56" i="19"/>
  <c r="AF65" i="13"/>
  <c r="AI64" i="13"/>
  <c r="S60" i="19"/>
  <c r="R61" i="19"/>
  <c r="Y59" i="19"/>
  <c r="Y63" i="18"/>
  <c r="K66" i="18"/>
  <c r="O66" i="18" s="1"/>
  <c r="J67" i="18"/>
  <c r="S65" i="18"/>
  <c r="T65" i="18" s="1"/>
  <c r="X65" i="18" s="1"/>
  <c r="Y65" i="18" s="1"/>
  <c r="R66" i="18"/>
  <c r="K65" i="13"/>
  <c r="J66" i="13"/>
  <c r="AH69" i="18"/>
  <c r="AI68" i="18"/>
  <c r="AF71" i="18"/>
  <c r="R146" i="21" l="1"/>
  <c r="S145" i="21"/>
  <c r="T145" i="21" s="1"/>
  <c r="X145" i="21" s="1"/>
  <c r="Y145" i="21" s="1"/>
  <c r="AF148" i="21"/>
  <c r="AI147" i="21"/>
  <c r="K68" i="26"/>
  <c r="O68" i="26" s="1"/>
  <c r="J69" i="26"/>
  <c r="S67" i="26"/>
  <c r="T67" i="26" s="1"/>
  <c r="X67" i="26" s="1"/>
  <c r="Y67" i="26" s="1"/>
  <c r="R68" i="26"/>
  <c r="Y66" i="26"/>
  <c r="O65" i="13"/>
  <c r="AI62" i="26"/>
  <c r="AF63" i="26"/>
  <c r="X63" i="13"/>
  <c r="Y63" i="13" s="1"/>
  <c r="T64" i="13"/>
  <c r="R66" i="13"/>
  <c r="S65" i="13"/>
  <c r="J71" i="19"/>
  <c r="K70" i="19"/>
  <c r="O70" i="19" s="1"/>
  <c r="AI56" i="19"/>
  <c r="AF57" i="19"/>
  <c r="AF66" i="13"/>
  <c r="AI65" i="13"/>
  <c r="S61" i="19"/>
  <c r="T61" i="19" s="1"/>
  <c r="X61" i="19" s="1"/>
  <c r="Y61" i="19" s="1"/>
  <c r="R62" i="19"/>
  <c r="T60" i="19"/>
  <c r="X60" i="19" s="1"/>
  <c r="K67" i="18"/>
  <c r="O67" i="18" s="1"/>
  <c r="J68" i="18"/>
  <c r="S66" i="18"/>
  <c r="T66" i="18" s="1"/>
  <c r="X66" i="18" s="1"/>
  <c r="Y66" i="18" s="1"/>
  <c r="R67" i="18"/>
  <c r="K66" i="13"/>
  <c r="J67" i="13"/>
  <c r="AF72" i="18"/>
  <c r="AH70" i="18"/>
  <c r="AI69" i="18"/>
  <c r="AI148" i="21" l="1"/>
  <c r="AF149" i="21"/>
  <c r="R147" i="21"/>
  <c r="S146" i="21"/>
  <c r="T146" i="21" s="1"/>
  <c r="X146" i="21" s="1"/>
  <c r="Y146" i="21" s="1"/>
  <c r="S68" i="26"/>
  <c r="T68" i="26" s="1"/>
  <c r="X68" i="26" s="1"/>
  <c r="R69" i="26"/>
  <c r="K69" i="26"/>
  <c r="O69" i="26" s="1"/>
  <c r="J70" i="26"/>
  <c r="O66" i="13"/>
  <c r="AI63" i="26"/>
  <c r="AF64" i="26"/>
  <c r="X64" i="13"/>
  <c r="Y64" i="13" s="1"/>
  <c r="T65" i="13"/>
  <c r="R67" i="13"/>
  <c r="S66" i="13"/>
  <c r="K71" i="19"/>
  <c r="O71" i="19" s="1"/>
  <c r="J72" i="19"/>
  <c r="AF58" i="19"/>
  <c r="AI57" i="19"/>
  <c r="AI66" i="13"/>
  <c r="AF67" i="13"/>
  <c r="Y60" i="19"/>
  <c r="S62" i="19"/>
  <c r="R63" i="19"/>
  <c r="K68" i="18"/>
  <c r="O68" i="18" s="1"/>
  <c r="J69" i="18"/>
  <c r="S67" i="18"/>
  <c r="R68" i="18"/>
  <c r="K67" i="13"/>
  <c r="J68" i="13"/>
  <c r="AH71" i="18"/>
  <c r="AI70" i="18"/>
  <c r="AF73" i="18"/>
  <c r="R148" i="21" l="1"/>
  <c r="S147" i="21"/>
  <c r="T147" i="21" s="1"/>
  <c r="X147" i="21" s="1"/>
  <c r="Y147" i="21" s="1"/>
  <c r="AI149" i="21"/>
  <c r="AF150" i="21"/>
  <c r="K70" i="26"/>
  <c r="O70" i="26" s="1"/>
  <c r="J71" i="26"/>
  <c r="S69" i="26"/>
  <c r="T69" i="26" s="1"/>
  <c r="X69" i="26" s="1"/>
  <c r="Y69" i="26" s="1"/>
  <c r="R70" i="26"/>
  <c r="Y68" i="26"/>
  <c r="O67" i="13"/>
  <c r="AI64" i="26"/>
  <c r="AF65" i="26"/>
  <c r="X65" i="13"/>
  <c r="Y65" i="13" s="1"/>
  <c r="T66" i="13"/>
  <c r="S67" i="13"/>
  <c r="R68" i="13"/>
  <c r="J73" i="19"/>
  <c r="K72" i="19"/>
  <c r="O72" i="19" s="1"/>
  <c r="AF59" i="19"/>
  <c r="AI58" i="19"/>
  <c r="AI67" i="13"/>
  <c r="AF68" i="13"/>
  <c r="S63" i="19"/>
  <c r="R64" i="19"/>
  <c r="T62" i="19"/>
  <c r="X62" i="19" s="1"/>
  <c r="T67" i="18"/>
  <c r="X67" i="18" s="1"/>
  <c r="Y67" i="18" s="1"/>
  <c r="K69" i="18"/>
  <c r="O69" i="18" s="1"/>
  <c r="J70" i="18"/>
  <c r="S68" i="18"/>
  <c r="T68" i="18" s="1"/>
  <c r="X68" i="18" s="1"/>
  <c r="Y68" i="18" s="1"/>
  <c r="R69" i="18"/>
  <c r="K68" i="13"/>
  <c r="J69" i="13"/>
  <c r="AF74" i="18"/>
  <c r="AH72" i="18"/>
  <c r="AI71" i="18"/>
  <c r="AF151" i="21" l="1"/>
  <c r="AI150" i="21"/>
  <c r="R149" i="21"/>
  <c r="S148" i="21"/>
  <c r="T148" i="21" s="1"/>
  <c r="X148" i="21" s="1"/>
  <c r="Y148" i="21" s="1"/>
  <c r="S70" i="26"/>
  <c r="T70" i="26" s="1"/>
  <c r="X70" i="26" s="1"/>
  <c r="R71" i="26"/>
  <c r="AI65" i="26"/>
  <c r="AF66" i="26"/>
  <c r="J72" i="26"/>
  <c r="K71" i="26"/>
  <c r="O71" i="26" s="1"/>
  <c r="O68" i="13"/>
  <c r="T67" i="13"/>
  <c r="X66" i="13"/>
  <c r="Y66" i="13" s="1"/>
  <c r="S68" i="13"/>
  <c r="R69" i="13"/>
  <c r="K73" i="19"/>
  <c r="O73" i="19" s="1"/>
  <c r="J74" i="19"/>
  <c r="AF60" i="19"/>
  <c r="AI59" i="19"/>
  <c r="AF69" i="13"/>
  <c r="AI68" i="13"/>
  <c r="Y62" i="19"/>
  <c r="S64" i="19"/>
  <c r="T64" i="19" s="1"/>
  <c r="X64" i="19" s="1"/>
  <c r="Y64" i="19" s="1"/>
  <c r="R65" i="19"/>
  <c r="T63" i="19"/>
  <c r="X63" i="19" s="1"/>
  <c r="Y63" i="19" s="1"/>
  <c r="K70" i="18"/>
  <c r="O70" i="18" s="1"/>
  <c r="J71" i="18"/>
  <c r="S69" i="18"/>
  <c r="R70" i="18"/>
  <c r="K69" i="13"/>
  <c r="J70" i="13"/>
  <c r="AH73" i="18"/>
  <c r="AI72" i="18"/>
  <c r="AF75" i="18"/>
  <c r="R150" i="21" l="1"/>
  <c r="S149" i="21"/>
  <c r="T149" i="21" s="1"/>
  <c r="X149" i="21" s="1"/>
  <c r="Y149" i="21" s="1"/>
  <c r="AI151" i="21"/>
  <c r="AF152" i="21"/>
  <c r="J73" i="26"/>
  <c r="K72" i="26"/>
  <c r="O72" i="26" s="1"/>
  <c r="AF67" i="26"/>
  <c r="AI66" i="26"/>
  <c r="S71" i="26"/>
  <c r="T71" i="26" s="1"/>
  <c r="X71" i="26" s="1"/>
  <c r="Y71" i="26" s="1"/>
  <c r="R72" i="26"/>
  <c r="Y70" i="26"/>
  <c r="O69" i="13"/>
  <c r="X67" i="13"/>
  <c r="Y67" i="13" s="1"/>
  <c r="R70" i="13"/>
  <c r="S69" i="13"/>
  <c r="T68" i="13"/>
  <c r="S65" i="19"/>
  <c r="T65" i="19" s="1"/>
  <c r="X65" i="19" s="1"/>
  <c r="R66" i="19"/>
  <c r="J75" i="19"/>
  <c r="K74" i="19"/>
  <c r="O74" i="19" s="1"/>
  <c r="AI60" i="19"/>
  <c r="AF61" i="19"/>
  <c r="AF70" i="13"/>
  <c r="AI69" i="13"/>
  <c r="T69" i="18"/>
  <c r="X69" i="18" s="1"/>
  <c r="Y69" i="18" s="1"/>
  <c r="K71" i="18"/>
  <c r="O71" i="18" s="1"/>
  <c r="J72" i="18"/>
  <c r="S70" i="18"/>
  <c r="T70" i="18" s="1"/>
  <c r="X70" i="18" s="1"/>
  <c r="Y70" i="18" s="1"/>
  <c r="R71" i="18"/>
  <c r="K70" i="13"/>
  <c r="J71" i="13"/>
  <c r="AF76" i="18"/>
  <c r="AH74" i="18"/>
  <c r="AI73" i="18"/>
  <c r="AI152" i="21" l="1"/>
  <c r="AF153" i="21"/>
  <c r="S150" i="21"/>
  <c r="T150" i="21" s="1"/>
  <c r="X150" i="21" s="1"/>
  <c r="Y150" i="21" s="1"/>
  <c r="R151" i="21"/>
  <c r="AI67" i="26"/>
  <c r="AF68" i="26"/>
  <c r="S72" i="26"/>
  <c r="T72" i="26" s="1"/>
  <c r="X72" i="26" s="1"/>
  <c r="Y72" i="26" s="1"/>
  <c r="R73" i="26"/>
  <c r="K73" i="26"/>
  <c r="O73" i="26" s="1"/>
  <c r="J74" i="26"/>
  <c r="O70" i="13"/>
  <c r="T69" i="13"/>
  <c r="X68" i="13"/>
  <c r="Y68" i="13" s="1"/>
  <c r="R71" i="13"/>
  <c r="S70" i="13"/>
  <c r="K75" i="19"/>
  <c r="O75" i="19" s="1"/>
  <c r="J76" i="19"/>
  <c r="S66" i="19"/>
  <c r="R67" i="19"/>
  <c r="AF62" i="19"/>
  <c r="AI61" i="19"/>
  <c r="AI70" i="13"/>
  <c r="AF71" i="13"/>
  <c r="Y65" i="19"/>
  <c r="K72" i="18"/>
  <c r="O72" i="18" s="1"/>
  <c r="J73" i="18"/>
  <c r="S71" i="18"/>
  <c r="T71" i="18" s="1"/>
  <c r="X71" i="18" s="1"/>
  <c r="Y71" i="18" s="1"/>
  <c r="R72" i="18"/>
  <c r="K71" i="13"/>
  <c r="J72" i="13"/>
  <c r="AH75" i="18"/>
  <c r="AI74" i="18"/>
  <c r="AF77" i="18"/>
  <c r="AI153" i="21" l="1"/>
  <c r="AF154" i="21"/>
  <c r="S151" i="21"/>
  <c r="T151" i="21" s="1"/>
  <c r="X151" i="21" s="1"/>
  <c r="Y151" i="21" s="1"/>
  <c r="R152" i="21"/>
  <c r="S73" i="26"/>
  <c r="T73" i="26" s="1"/>
  <c r="X73" i="26" s="1"/>
  <c r="R74" i="26"/>
  <c r="AF69" i="26"/>
  <c r="AI68" i="26"/>
  <c r="K74" i="26"/>
  <c r="O74" i="26" s="1"/>
  <c r="J75" i="26"/>
  <c r="O71" i="13"/>
  <c r="T70" i="13"/>
  <c r="X69" i="13"/>
  <c r="Y69" i="13" s="1"/>
  <c r="R72" i="13"/>
  <c r="S71" i="13"/>
  <c r="S67" i="19"/>
  <c r="R68" i="19"/>
  <c r="T66" i="19"/>
  <c r="X66" i="19" s="1"/>
  <c r="J77" i="19"/>
  <c r="K76" i="19"/>
  <c r="O76" i="19" s="1"/>
  <c r="AF63" i="19"/>
  <c r="AI62" i="19"/>
  <c r="AI71" i="13"/>
  <c r="AF72" i="13"/>
  <c r="S72" i="18"/>
  <c r="R73" i="18"/>
  <c r="K73" i="18"/>
  <c r="O73" i="18" s="1"/>
  <c r="J74" i="18"/>
  <c r="K72" i="13"/>
  <c r="J73" i="13"/>
  <c r="AF78" i="18"/>
  <c r="AH76" i="18"/>
  <c r="AI75" i="18"/>
  <c r="S152" i="21" l="1"/>
  <c r="T152" i="21" s="1"/>
  <c r="X152" i="21" s="1"/>
  <c r="Y152" i="21" s="1"/>
  <c r="R153" i="21"/>
  <c r="AF155" i="21"/>
  <c r="AI155" i="21" s="1"/>
  <c r="AI154" i="21"/>
  <c r="K75" i="26"/>
  <c r="O75" i="26" s="1"/>
  <c r="J76" i="26"/>
  <c r="AI69" i="26"/>
  <c r="AF70" i="26"/>
  <c r="S74" i="26"/>
  <c r="T74" i="26" s="1"/>
  <c r="X74" i="26" s="1"/>
  <c r="Y74" i="26" s="1"/>
  <c r="R75" i="26"/>
  <c r="Y73" i="26"/>
  <c r="O72" i="13"/>
  <c r="X70" i="13"/>
  <c r="Y70" i="13" s="1"/>
  <c r="S72" i="13"/>
  <c r="R73" i="13"/>
  <c r="T71" i="13"/>
  <c r="Y66" i="19"/>
  <c r="J78" i="19"/>
  <c r="K77" i="19"/>
  <c r="O77" i="19" s="1"/>
  <c r="S68" i="19"/>
  <c r="R69" i="19"/>
  <c r="T67" i="19"/>
  <c r="X67" i="19" s="1"/>
  <c r="AF64" i="19"/>
  <c r="AI63" i="19"/>
  <c r="AF73" i="13"/>
  <c r="AI72" i="13"/>
  <c r="K74" i="18"/>
  <c r="O74" i="18" s="1"/>
  <c r="J75" i="18"/>
  <c r="S73" i="18"/>
  <c r="T73" i="18" s="1"/>
  <c r="X73" i="18" s="1"/>
  <c r="Y73" i="18" s="1"/>
  <c r="R74" i="18"/>
  <c r="T72" i="18"/>
  <c r="X72" i="18" s="1"/>
  <c r="Y72" i="18" s="1"/>
  <c r="K73" i="13"/>
  <c r="J74" i="13"/>
  <c r="AH77" i="18"/>
  <c r="AI76" i="18"/>
  <c r="AF79" i="18"/>
  <c r="R154" i="21" l="1"/>
  <c r="S153" i="21"/>
  <c r="T153" i="21" s="1"/>
  <c r="X153" i="21" s="1"/>
  <c r="Y153" i="21" s="1"/>
  <c r="AF71" i="26"/>
  <c r="AI70" i="26"/>
  <c r="S75" i="26"/>
  <c r="T75" i="26" s="1"/>
  <c r="X75" i="26" s="1"/>
  <c r="Y75" i="26" s="1"/>
  <c r="R76" i="26"/>
  <c r="K76" i="26"/>
  <c r="O76" i="26" s="1"/>
  <c r="J77" i="26"/>
  <c r="O73" i="13"/>
  <c r="T72" i="13"/>
  <c r="X71" i="13"/>
  <c r="Y71" i="13" s="1"/>
  <c r="S73" i="13"/>
  <c r="R74" i="13"/>
  <c r="Y67" i="19"/>
  <c r="S69" i="19"/>
  <c r="R70" i="19"/>
  <c r="T68" i="19"/>
  <c r="X68" i="19" s="1"/>
  <c r="J79" i="19"/>
  <c r="K78" i="19"/>
  <c r="O78" i="19" s="1"/>
  <c r="AI64" i="19"/>
  <c r="AF65" i="19"/>
  <c r="AI73" i="13"/>
  <c r="AF74" i="13"/>
  <c r="K75" i="18"/>
  <c r="O75" i="18" s="1"/>
  <c r="J76" i="18"/>
  <c r="S74" i="18"/>
  <c r="R75" i="18"/>
  <c r="K74" i="13"/>
  <c r="J75" i="13"/>
  <c r="AF80" i="18"/>
  <c r="AH78" i="18"/>
  <c r="AI77" i="18"/>
  <c r="R155" i="21" l="1"/>
  <c r="S155" i="21" s="1"/>
  <c r="T155" i="21" s="1"/>
  <c r="X155" i="21" s="1"/>
  <c r="S154" i="21"/>
  <c r="T154" i="21" s="1"/>
  <c r="X154" i="21" s="1"/>
  <c r="Y154" i="21" s="1"/>
  <c r="K77" i="26"/>
  <c r="O77" i="26" s="1"/>
  <c r="J78" i="26"/>
  <c r="S76" i="26"/>
  <c r="T76" i="26" s="1"/>
  <c r="X76" i="26" s="1"/>
  <c r="Y76" i="26" s="1"/>
  <c r="R77" i="26"/>
  <c r="AF72" i="26"/>
  <c r="AI71" i="26"/>
  <c r="O74" i="13"/>
  <c r="T73" i="13"/>
  <c r="X72" i="13"/>
  <c r="Y72" i="13" s="1"/>
  <c r="S74" i="13"/>
  <c r="R75" i="13"/>
  <c r="Y68" i="19"/>
  <c r="K79" i="19"/>
  <c r="O79" i="19" s="1"/>
  <c r="J80" i="19"/>
  <c r="S70" i="19"/>
  <c r="R71" i="19"/>
  <c r="T69" i="19"/>
  <c r="X69" i="19" s="1"/>
  <c r="AI65" i="19"/>
  <c r="AF66" i="19"/>
  <c r="AI74" i="13"/>
  <c r="AF75" i="13"/>
  <c r="T74" i="18"/>
  <c r="X74" i="18" s="1"/>
  <c r="Y74" i="18" s="1"/>
  <c r="K76" i="18"/>
  <c r="O76" i="18" s="1"/>
  <c r="J77" i="18"/>
  <c r="S75" i="18"/>
  <c r="T75" i="18" s="1"/>
  <c r="X75" i="18" s="1"/>
  <c r="Y75" i="18" s="1"/>
  <c r="R76" i="18"/>
  <c r="K75" i="13"/>
  <c r="J76" i="13"/>
  <c r="AH79" i="18"/>
  <c r="AI78" i="18"/>
  <c r="AF81" i="18"/>
  <c r="Y155" i="21" l="1"/>
  <c r="C113" i="21"/>
  <c r="E113" i="21" s="1"/>
  <c r="C127" i="21" s="1"/>
  <c r="S77" i="26"/>
  <c r="T77" i="26" s="1"/>
  <c r="X77" i="26" s="1"/>
  <c r="Y77" i="26" s="1"/>
  <c r="R78" i="26"/>
  <c r="AF73" i="26"/>
  <c r="AI72" i="26"/>
  <c r="K78" i="26"/>
  <c r="O78" i="26" s="1"/>
  <c r="J79" i="26"/>
  <c r="O75" i="13"/>
  <c r="X73" i="13"/>
  <c r="Y73" i="13" s="1"/>
  <c r="S75" i="13"/>
  <c r="R76" i="13"/>
  <c r="T74" i="13"/>
  <c r="Y69" i="19"/>
  <c r="AI66" i="19"/>
  <c r="AF67" i="19"/>
  <c r="S71" i="19"/>
  <c r="T71" i="19" s="1"/>
  <c r="X71" i="19" s="1"/>
  <c r="Y71" i="19" s="1"/>
  <c r="R72" i="19"/>
  <c r="T70" i="19"/>
  <c r="X70" i="19" s="1"/>
  <c r="Y70" i="19" s="1"/>
  <c r="J81" i="19"/>
  <c r="K80" i="19"/>
  <c r="O80" i="19" s="1"/>
  <c r="AF76" i="13"/>
  <c r="AI75" i="13"/>
  <c r="K77" i="18"/>
  <c r="O77" i="18" s="1"/>
  <c r="J78" i="18"/>
  <c r="S76" i="18"/>
  <c r="R77" i="18"/>
  <c r="K76" i="13"/>
  <c r="J77" i="13"/>
  <c r="AF82" i="18"/>
  <c r="AH80" i="18"/>
  <c r="AI79" i="18"/>
  <c r="J21" i="24" l="1"/>
  <c r="J25" i="24" s="1"/>
  <c r="F127" i="21"/>
  <c r="K79" i="26"/>
  <c r="O79" i="26" s="1"/>
  <c r="J80" i="26"/>
  <c r="AF74" i="26"/>
  <c r="AI73" i="26"/>
  <c r="S78" i="26"/>
  <c r="T78" i="26" s="1"/>
  <c r="X78" i="26" s="1"/>
  <c r="Y78" i="26" s="1"/>
  <c r="R79" i="26"/>
  <c r="O76" i="13"/>
  <c r="T75" i="13"/>
  <c r="X74" i="13"/>
  <c r="Y74" i="13" s="1"/>
  <c r="S76" i="13"/>
  <c r="R77" i="13"/>
  <c r="J82" i="19"/>
  <c r="K81" i="19"/>
  <c r="O81" i="19" s="1"/>
  <c r="S72" i="19"/>
  <c r="R73" i="19"/>
  <c r="AI67" i="19"/>
  <c r="AF68" i="19"/>
  <c r="AI76" i="13"/>
  <c r="AF77" i="13"/>
  <c r="T76" i="18"/>
  <c r="X76" i="18" s="1"/>
  <c r="Y76" i="18" s="1"/>
  <c r="K78" i="18"/>
  <c r="O78" i="18" s="1"/>
  <c r="J79" i="18"/>
  <c r="S77" i="18"/>
  <c r="R78" i="18"/>
  <c r="K77" i="13"/>
  <c r="J78" i="13"/>
  <c r="AH81" i="18"/>
  <c r="AI80" i="18"/>
  <c r="AF83" i="18"/>
  <c r="AF75" i="26" l="1"/>
  <c r="AI74" i="26"/>
  <c r="S79" i="26"/>
  <c r="T79" i="26" s="1"/>
  <c r="X79" i="26" s="1"/>
  <c r="Y79" i="26" s="1"/>
  <c r="R80" i="26"/>
  <c r="K80" i="26"/>
  <c r="O80" i="26" s="1"/>
  <c r="J81" i="26"/>
  <c r="O77" i="13"/>
  <c r="X75" i="13"/>
  <c r="Y75" i="13" s="1"/>
  <c r="T76" i="13"/>
  <c r="R78" i="13"/>
  <c r="S77" i="13"/>
  <c r="AI68" i="19"/>
  <c r="AF69" i="19"/>
  <c r="S73" i="19"/>
  <c r="R74" i="19"/>
  <c r="J83" i="19"/>
  <c r="K82" i="19"/>
  <c r="O82" i="19" s="1"/>
  <c r="T72" i="19"/>
  <c r="X72" i="19" s="1"/>
  <c r="Y72" i="19" s="1"/>
  <c r="AF78" i="13"/>
  <c r="AI77" i="13"/>
  <c r="K79" i="18"/>
  <c r="O79" i="18" s="1"/>
  <c r="J80" i="18"/>
  <c r="S78" i="18"/>
  <c r="T78" i="18" s="1"/>
  <c r="X78" i="18" s="1"/>
  <c r="Y78" i="18" s="1"/>
  <c r="R79" i="18"/>
  <c r="T77" i="18"/>
  <c r="X77" i="18" s="1"/>
  <c r="Y77" i="18" s="1"/>
  <c r="K78" i="13"/>
  <c r="J79" i="13"/>
  <c r="AF84" i="18"/>
  <c r="AH82" i="18"/>
  <c r="AI81" i="18"/>
  <c r="J82" i="26" l="1"/>
  <c r="K81" i="26"/>
  <c r="O81" i="26" s="1"/>
  <c r="S80" i="26"/>
  <c r="T80" i="26" s="1"/>
  <c r="X80" i="26" s="1"/>
  <c r="Y80" i="26" s="1"/>
  <c r="R81" i="26"/>
  <c r="AI75" i="26"/>
  <c r="AF76" i="26"/>
  <c r="O78" i="13"/>
  <c r="X76" i="13"/>
  <c r="Y76" i="13" s="1"/>
  <c r="T77" i="13"/>
  <c r="R79" i="13"/>
  <c r="S78" i="13"/>
  <c r="S74" i="19"/>
  <c r="R75" i="19"/>
  <c r="T73" i="19"/>
  <c r="X73" i="19" s="1"/>
  <c r="Y73" i="19" s="1"/>
  <c r="K83" i="19"/>
  <c r="O83" i="19" s="1"/>
  <c r="J84" i="19"/>
  <c r="AI69" i="19"/>
  <c r="AF70" i="19"/>
  <c r="AI78" i="13"/>
  <c r="AF79" i="13"/>
  <c r="K80" i="18"/>
  <c r="O80" i="18" s="1"/>
  <c r="J81" i="18"/>
  <c r="S79" i="18"/>
  <c r="R80" i="18"/>
  <c r="K79" i="13"/>
  <c r="J80" i="13"/>
  <c r="AH83" i="18"/>
  <c r="AI82" i="18"/>
  <c r="AF85" i="18"/>
  <c r="S81" i="26" l="1"/>
  <c r="T81" i="26" s="1"/>
  <c r="X81" i="26" s="1"/>
  <c r="Y81" i="26" s="1"/>
  <c r="R82" i="26"/>
  <c r="AF77" i="26"/>
  <c r="AI76" i="26"/>
  <c r="K82" i="26"/>
  <c r="O82" i="26" s="1"/>
  <c r="J83" i="26"/>
  <c r="O79" i="13"/>
  <c r="X77" i="13"/>
  <c r="Y77" i="13" s="1"/>
  <c r="T78" i="13"/>
  <c r="R80" i="13"/>
  <c r="S79" i="13"/>
  <c r="AI70" i="19"/>
  <c r="AF71" i="19"/>
  <c r="J85" i="19"/>
  <c r="K84" i="19"/>
  <c r="O84" i="19" s="1"/>
  <c r="S75" i="19"/>
  <c r="R76" i="19"/>
  <c r="T74" i="19"/>
  <c r="X74" i="19" s="1"/>
  <c r="Y74" i="19" s="1"/>
  <c r="AF80" i="13"/>
  <c r="AI79" i="13"/>
  <c r="K81" i="18"/>
  <c r="O81" i="18" s="1"/>
  <c r="J82" i="18"/>
  <c r="T79" i="18"/>
  <c r="X79" i="18" s="1"/>
  <c r="Y79" i="18" s="1"/>
  <c r="S80" i="18"/>
  <c r="T80" i="18" s="1"/>
  <c r="X80" i="18" s="1"/>
  <c r="Y80" i="18" s="1"/>
  <c r="R81" i="18"/>
  <c r="K80" i="13"/>
  <c r="J81" i="13"/>
  <c r="AF86" i="18"/>
  <c r="AH84" i="18"/>
  <c r="AI83" i="18"/>
  <c r="AI77" i="26" l="1"/>
  <c r="AF78" i="26"/>
  <c r="K83" i="26"/>
  <c r="J84" i="26"/>
  <c r="O83" i="26"/>
  <c r="S82" i="26"/>
  <c r="T82" i="26" s="1"/>
  <c r="X82" i="26" s="1"/>
  <c r="Y82" i="26" s="1"/>
  <c r="R83" i="26"/>
  <c r="O80" i="13"/>
  <c r="X78" i="13"/>
  <c r="Y78" i="13" s="1"/>
  <c r="R81" i="13"/>
  <c r="S80" i="13"/>
  <c r="T79" i="13"/>
  <c r="S76" i="19"/>
  <c r="R77" i="19"/>
  <c r="T75" i="19"/>
  <c r="X75" i="19" s="1"/>
  <c r="Y75" i="19" s="1"/>
  <c r="J86" i="19"/>
  <c r="K85" i="19"/>
  <c r="O85" i="19" s="1"/>
  <c r="AI71" i="19"/>
  <c r="AF72" i="19"/>
  <c r="AF81" i="13"/>
  <c r="AI80" i="13"/>
  <c r="S81" i="18"/>
  <c r="T81" i="18" s="1"/>
  <c r="X81" i="18" s="1"/>
  <c r="Y81" i="18" s="1"/>
  <c r="R82" i="18"/>
  <c r="K82" i="18"/>
  <c r="O82" i="18" s="1"/>
  <c r="J83" i="18"/>
  <c r="K81" i="13"/>
  <c r="J82" i="13"/>
  <c r="AH85" i="18"/>
  <c r="AI84" i="18"/>
  <c r="AF87" i="18"/>
  <c r="S83" i="26" l="1"/>
  <c r="T83" i="26" s="1"/>
  <c r="X83" i="26" s="1"/>
  <c r="Y83" i="26" s="1"/>
  <c r="R84" i="26"/>
  <c r="K84" i="26"/>
  <c r="O84" i="26" s="1"/>
  <c r="J85" i="26"/>
  <c r="AF79" i="26"/>
  <c r="AI78" i="26"/>
  <c r="O81" i="13"/>
  <c r="X79" i="13"/>
  <c r="Y79" i="13" s="1"/>
  <c r="T80" i="13"/>
  <c r="S81" i="13"/>
  <c r="R82" i="13"/>
  <c r="J87" i="19"/>
  <c r="K86" i="19"/>
  <c r="O86" i="19" s="1"/>
  <c r="S77" i="19"/>
  <c r="R78" i="19"/>
  <c r="AI72" i="19"/>
  <c r="AF73" i="19"/>
  <c r="T76" i="19"/>
  <c r="X76" i="19" s="1"/>
  <c r="Y76" i="19" s="1"/>
  <c r="AF82" i="13"/>
  <c r="AI81" i="13"/>
  <c r="K83" i="18"/>
  <c r="O83" i="18" s="1"/>
  <c r="J84" i="18"/>
  <c r="S82" i="18"/>
  <c r="T82" i="18" s="1"/>
  <c r="X82" i="18" s="1"/>
  <c r="Y82" i="18" s="1"/>
  <c r="R83" i="18"/>
  <c r="K82" i="13"/>
  <c r="J83" i="13"/>
  <c r="AF88" i="18"/>
  <c r="AH86" i="18"/>
  <c r="AI85" i="18"/>
  <c r="K85" i="26" l="1"/>
  <c r="J86" i="26"/>
  <c r="O85" i="26"/>
  <c r="S84" i="26"/>
  <c r="T84" i="26" s="1"/>
  <c r="X84" i="26" s="1"/>
  <c r="Y84" i="26" s="1"/>
  <c r="R85" i="26"/>
  <c r="AF80" i="26"/>
  <c r="AI79" i="26"/>
  <c r="O82" i="13"/>
  <c r="T81" i="13"/>
  <c r="X80" i="13"/>
  <c r="Y80" i="13" s="1"/>
  <c r="R83" i="13"/>
  <c r="S82" i="13"/>
  <c r="AI73" i="19"/>
  <c r="AF74" i="19"/>
  <c r="S78" i="19"/>
  <c r="R79" i="19"/>
  <c r="T77" i="19"/>
  <c r="X77" i="19" s="1"/>
  <c r="Y77" i="19" s="1"/>
  <c r="K87" i="19"/>
  <c r="O87" i="19" s="1"/>
  <c r="J88" i="19"/>
  <c r="AF83" i="13"/>
  <c r="AI82" i="13"/>
  <c r="K84" i="18"/>
  <c r="O84" i="18" s="1"/>
  <c r="J85" i="18"/>
  <c r="S83" i="18"/>
  <c r="T83" i="18" s="1"/>
  <c r="X83" i="18" s="1"/>
  <c r="Y83" i="18" s="1"/>
  <c r="R84" i="18"/>
  <c r="K83" i="13"/>
  <c r="J84" i="13"/>
  <c r="AH87" i="18"/>
  <c r="AI86" i="18"/>
  <c r="AF89" i="18"/>
  <c r="S85" i="26" l="1"/>
  <c r="T85" i="26" s="1"/>
  <c r="X85" i="26" s="1"/>
  <c r="Y85" i="26" s="1"/>
  <c r="R86" i="26"/>
  <c r="AF81" i="26"/>
  <c r="AI80" i="26"/>
  <c r="K86" i="26"/>
  <c r="O86" i="26" s="1"/>
  <c r="J87" i="26"/>
  <c r="O83" i="13"/>
  <c r="X81" i="13"/>
  <c r="Y81" i="13" s="1"/>
  <c r="T82" i="13"/>
  <c r="S83" i="13"/>
  <c r="R84" i="13"/>
  <c r="J89" i="19"/>
  <c r="K88" i="19"/>
  <c r="O88" i="19" s="1"/>
  <c r="S79" i="19"/>
  <c r="T79" i="19" s="1"/>
  <c r="X79" i="19" s="1"/>
  <c r="Y79" i="19" s="1"/>
  <c r="R80" i="19"/>
  <c r="T78" i="19"/>
  <c r="X78" i="19" s="1"/>
  <c r="Y78" i="19" s="1"/>
  <c r="AI74" i="19"/>
  <c r="AF75" i="19"/>
  <c r="AI83" i="13"/>
  <c r="AF84" i="13"/>
  <c r="K85" i="18"/>
  <c r="O85" i="18" s="1"/>
  <c r="J86" i="18"/>
  <c r="S84" i="18"/>
  <c r="T84" i="18" s="1"/>
  <c r="X84" i="18" s="1"/>
  <c r="Y84" i="18" s="1"/>
  <c r="R85" i="18"/>
  <c r="K84" i="13"/>
  <c r="J85" i="13"/>
  <c r="AF90" i="18"/>
  <c r="AH88" i="18"/>
  <c r="AI87" i="18"/>
  <c r="K87" i="26" l="1"/>
  <c r="O87" i="26" s="1"/>
  <c r="J88" i="26"/>
  <c r="AF82" i="26"/>
  <c r="AI81" i="26"/>
  <c r="S86" i="26"/>
  <c r="T86" i="26" s="1"/>
  <c r="X86" i="26" s="1"/>
  <c r="Y86" i="26" s="1"/>
  <c r="R87" i="26"/>
  <c r="O84" i="13"/>
  <c r="X82" i="13"/>
  <c r="Y82" i="13" s="1"/>
  <c r="T83" i="13"/>
  <c r="R85" i="13"/>
  <c r="S84" i="13"/>
  <c r="AI75" i="19"/>
  <c r="AF76" i="19"/>
  <c r="S80" i="19"/>
  <c r="R81" i="19"/>
  <c r="J90" i="19"/>
  <c r="K89" i="19"/>
  <c r="O89" i="19" s="1"/>
  <c r="AF85" i="13"/>
  <c r="AI84" i="13"/>
  <c r="S85" i="18"/>
  <c r="T85" i="18" s="1"/>
  <c r="X85" i="18" s="1"/>
  <c r="Y85" i="18" s="1"/>
  <c r="R86" i="18"/>
  <c r="K86" i="18"/>
  <c r="O86" i="18" s="1"/>
  <c r="J87" i="18"/>
  <c r="K85" i="13"/>
  <c r="J86" i="13"/>
  <c r="AH89" i="18"/>
  <c r="AI88" i="18"/>
  <c r="AF91" i="18"/>
  <c r="S87" i="26" l="1"/>
  <c r="T87" i="26" s="1"/>
  <c r="X87" i="26" s="1"/>
  <c r="Y87" i="26" s="1"/>
  <c r="R88" i="26"/>
  <c r="AF83" i="26"/>
  <c r="AI82" i="26"/>
  <c r="K88" i="26"/>
  <c r="J89" i="26"/>
  <c r="O88" i="26"/>
  <c r="O85" i="13"/>
  <c r="X83" i="13"/>
  <c r="Y83" i="13" s="1"/>
  <c r="T84" i="13"/>
  <c r="R86" i="13"/>
  <c r="S85" i="13"/>
  <c r="J91" i="19"/>
  <c r="K90" i="19"/>
  <c r="O90" i="19" s="1"/>
  <c r="S81" i="19"/>
  <c r="R82" i="19"/>
  <c r="T80" i="19"/>
  <c r="X80" i="19" s="1"/>
  <c r="Y80" i="19" s="1"/>
  <c r="AI76" i="19"/>
  <c r="AF77" i="19"/>
  <c r="AF86" i="13"/>
  <c r="AI85" i="13"/>
  <c r="K87" i="18"/>
  <c r="O87" i="18" s="1"/>
  <c r="J88" i="18"/>
  <c r="S86" i="18"/>
  <c r="T86" i="18" s="1"/>
  <c r="X86" i="18" s="1"/>
  <c r="Y86" i="18" s="1"/>
  <c r="R87" i="18"/>
  <c r="K86" i="13"/>
  <c r="J87" i="13"/>
  <c r="AF92" i="18"/>
  <c r="AH90" i="18"/>
  <c r="AI89" i="18"/>
  <c r="K89" i="26" l="1"/>
  <c r="J90" i="26"/>
  <c r="O89" i="26"/>
  <c r="AI83" i="26"/>
  <c r="AF84" i="26"/>
  <c r="S88" i="26"/>
  <c r="T88" i="26" s="1"/>
  <c r="X88" i="26" s="1"/>
  <c r="Y88" i="26" s="1"/>
  <c r="R89" i="26"/>
  <c r="O86" i="13"/>
  <c r="X84" i="13"/>
  <c r="Y84" i="13" s="1"/>
  <c r="T85" i="13"/>
  <c r="R87" i="13"/>
  <c r="S86" i="13"/>
  <c r="AI77" i="19"/>
  <c r="AF78" i="19"/>
  <c r="S82" i="19"/>
  <c r="R83" i="19"/>
  <c r="T81" i="19"/>
  <c r="X81" i="19" s="1"/>
  <c r="Y81" i="19" s="1"/>
  <c r="K91" i="19"/>
  <c r="O91" i="19" s="1"/>
  <c r="J92" i="19"/>
  <c r="AI86" i="13"/>
  <c r="AF87" i="13"/>
  <c r="S87" i="18"/>
  <c r="T87" i="18" s="1"/>
  <c r="X87" i="18" s="1"/>
  <c r="Y87" i="18" s="1"/>
  <c r="R88" i="18"/>
  <c r="K88" i="18"/>
  <c r="O88" i="18" s="1"/>
  <c r="J89" i="18"/>
  <c r="K87" i="13"/>
  <c r="J88" i="13"/>
  <c r="AH91" i="18"/>
  <c r="AI90" i="18"/>
  <c r="AF93" i="18"/>
  <c r="AF85" i="26" l="1"/>
  <c r="AI84" i="26"/>
  <c r="S89" i="26"/>
  <c r="T89" i="26" s="1"/>
  <c r="X89" i="26" s="1"/>
  <c r="Y89" i="26" s="1"/>
  <c r="R90" i="26"/>
  <c r="K90" i="26"/>
  <c r="O90" i="26" s="1"/>
  <c r="J91" i="26"/>
  <c r="O87" i="13"/>
  <c r="X85" i="13"/>
  <c r="Y85" i="13" s="1"/>
  <c r="T86" i="13"/>
  <c r="R88" i="13"/>
  <c r="S87" i="13"/>
  <c r="J93" i="19"/>
  <c r="K92" i="19"/>
  <c r="O92" i="19" s="1"/>
  <c r="S83" i="19"/>
  <c r="T83" i="19" s="1"/>
  <c r="X83" i="19" s="1"/>
  <c r="Y83" i="19" s="1"/>
  <c r="R84" i="19"/>
  <c r="T82" i="19"/>
  <c r="X82" i="19" s="1"/>
  <c r="Y82" i="19" s="1"/>
  <c r="AI78" i="19"/>
  <c r="AF79" i="19"/>
  <c r="AF88" i="13"/>
  <c r="AI87" i="13"/>
  <c r="K89" i="18"/>
  <c r="O89" i="18" s="1"/>
  <c r="J90" i="18"/>
  <c r="S88" i="18"/>
  <c r="T88" i="18" s="1"/>
  <c r="X88" i="18" s="1"/>
  <c r="Y88" i="18" s="1"/>
  <c r="R89" i="18"/>
  <c r="K88" i="13"/>
  <c r="J89" i="13"/>
  <c r="AF94" i="18"/>
  <c r="AH92" i="18"/>
  <c r="AI91" i="18"/>
  <c r="K91" i="26" l="1"/>
  <c r="J92" i="26"/>
  <c r="O91" i="26"/>
  <c r="S90" i="26"/>
  <c r="T90" i="26" s="1"/>
  <c r="X90" i="26" s="1"/>
  <c r="Y90" i="26" s="1"/>
  <c r="R91" i="26"/>
  <c r="AI85" i="26"/>
  <c r="AF86" i="26"/>
  <c r="O88" i="13"/>
  <c r="X86" i="13"/>
  <c r="Y86" i="13" s="1"/>
  <c r="T87" i="13"/>
  <c r="S88" i="13"/>
  <c r="R89" i="13"/>
  <c r="AI79" i="19"/>
  <c r="AF80" i="19"/>
  <c r="S84" i="19"/>
  <c r="T84" i="19" s="1"/>
  <c r="X84" i="19" s="1"/>
  <c r="Y84" i="19" s="1"/>
  <c r="R85" i="19"/>
  <c r="J94" i="19"/>
  <c r="K93" i="19"/>
  <c r="O93" i="19" s="1"/>
  <c r="AI88" i="13"/>
  <c r="AF89" i="13"/>
  <c r="K90" i="18"/>
  <c r="O90" i="18" s="1"/>
  <c r="J91" i="18"/>
  <c r="S89" i="18"/>
  <c r="T89" i="18" s="1"/>
  <c r="X89" i="18" s="1"/>
  <c r="Y89" i="18" s="1"/>
  <c r="R90" i="18"/>
  <c r="K89" i="13"/>
  <c r="J90" i="13"/>
  <c r="AH93" i="18"/>
  <c r="AI92" i="18"/>
  <c r="AF95" i="18"/>
  <c r="AF96" i="18" s="1"/>
  <c r="S91" i="26" l="1"/>
  <c r="T91" i="26" s="1"/>
  <c r="X91" i="26" s="1"/>
  <c r="Y91" i="26" s="1"/>
  <c r="R92" i="26"/>
  <c r="K92" i="26"/>
  <c r="O92" i="26" s="1"/>
  <c r="J93" i="26"/>
  <c r="AF87" i="26"/>
  <c r="AI86" i="26"/>
  <c r="O89" i="13"/>
  <c r="X87" i="13"/>
  <c r="Y87" i="13" s="1"/>
  <c r="R90" i="13"/>
  <c r="S89" i="13"/>
  <c r="T88" i="13"/>
  <c r="J95" i="19"/>
  <c r="K94" i="19"/>
  <c r="O94" i="19" s="1"/>
  <c r="S85" i="19"/>
  <c r="R86" i="19"/>
  <c r="AI80" i="19"/>
  <c r="AF81" i="19"/>
  <c r="AF90" i="13"/>
  <c r="AI89" i="13"/>
  <c r="AF97" i="18"/>
  <c r="K91" i="18"/>
  <c r="O91" i="18" s="1"/>
  <c r="J92" i="18"/>
  <c r="S90" i="18"/>
  <c r="R91" i="18"/>
  <c r="K90" i="13"/>
  <c r="J91" i="13"/>
  <c r="AH94" i="18"/>
  <c r="AI93" i="18"/>
  <c r="K93" i="26" l="1"/>
  <c r="O93" i="26" s="1"/>
  <c r="J94" i="26"/>
  <c r="S92" i="26"/>
  <c r="R93" i="26"/>
  <c r="AF88" i="26"/>
  <c r="AI87" i="26"/>
  <c r="O90" i="13"/>
  <c r="X88" i="13"/>
  <c r="Y88" i="13" s="1"/>
  <c r="T89" i="13"/>
  <c r="S90" i="13"/>
  <c r="R91" i="13"/>
  <c r="AI81" i="19"/>
  <c r="AF82" i="19"/>
  <c r="S86" i="19"/>
  <c r="R87" i="19"/>
  <c r="T85" i="19"/>
  <c r="X85" i="19" s="1"/>
  <c r="Y85" i="19" s="1"/>
  <c r="K95" i="19"/>
  <c r="O95" i="19" s="1"/>
  <c r="D113" i="19" s="1"/>
  <c r="AI90" i="13"/>
  <c r="AF91" i="13"/>
  <c r="K92" i="18"/>
  <c r="J93" i="18"/>
  <c r="O92" i="18"/>
  <c r="T90" i="18"/>
  <c r="X90" i="18" s="1"/>
  <c r="Y90" i="18" s="1"/>
  <c r="S91" i="18"/>
  <c r="T91" i="18" s="1"/>
  <c r="X91" i="18" s="1"/>
  <c r="Y91" i="18" s="1"/>
  <c r="R92" i="18"/>
  <c r="AF98" i="18"/>
  <c r="K91" i="13"/>
  <c r="J92" i="13"/>
  <c r="AH95" i="18"/>
  <c r="AI94" i="18"/>
  <c r="AI88" i="26" l="1"/>
  <c r="AF89" i="26"/>
  <c r="T92" i="26"/>
  <c r="X92" i="26" s="1"/>
  <c r="Y92" i="26" s="1"/>
  <c r="S93" i="26"/>
  <c r="T93" i="26" s="1"/>
  <c r="X93" i="26" s="1"/>
  <c r="Y93" i="26" s="1"/>
  <c r="R94" i="26"/>
  <c r="K94" i="26"/>
  <c r="O94" i="26" s="1"/>
  <c r="J95" i="26"/>
  <c r="O91" i="13"/>
  <c r="X89" i="13"/>
  <c r="Y89" i="13" s="1"/>
  <c r="T90" i="13"/>
  <c r="R92" i="13"/>
  <c r="S91" i="13"/>
  <c r="S87" i="19"/>
  <c r="T87" i="19" s="1"/>
  <c r="X87" i="19" s="1"/>
  <c r="Y87" i="19" s="1"/>
  <c r="R88" i="19"/>
  <c r="T86" i="19"/>
  <c r="X86" i="19" s="1"/>
  <c r="Y86" i="19" s="1"/>
  <c r="AI82" i="19"/>
  <c r="AF83" i="19"/>
  <c r="AF92" i="13"/>
  <c r="AI91" i="13"/>
  <c r="AF99" i="18"/>
  <c r="K93" i="18"/>
  <c r="O93" i="18" s="1"/>
  <c r="J94" i="18"/>
  <c r="AI95" i="18"/>
  <c r="AH96" i="18"/>
  <c r="S92" i="18"/>
  <c r="R93" i="18"/>
  <c r="K92" i="13"/>
  <c r="J93" i="13"/>
  <c r="K95" i="26" l="1"/>
  <c r="O95" i="26" s="1"/>
  <c r="D113" i="26" s="1"/>
  <c r="S94" i="26"/>
  <c r="T94" i="26" s="1"/>
  <c r="X94" i="26" s="1"/>
  <c r="Y94" i="26" s="1"/>
  <c r="R95" i="26"/>
  <c r="S95" i="26" s="1"/>
  <c r="T95" i="26" s="1"/>
  <c r="X95" i="26" s="1"/>
  <c r="C113" i="26" s="1"/>
  <c r="AF90" i="26"/>
  <c r="AI89" i="26"/>
  <c r="O92" i="13"/>
  <c r="X90" i="13"/>
  <c r="Y90" i="13" s="1"/>
  <c r="T91" i="13"/>
  <c r="R93" i="13"/>
  <c r="S92" i="13"/>
  <c r="AI83" i="19"/>
  <c r="AF84" i="19"/>
  <c r="S88" i="19"/>
  <c r="R89" i="19"/>
  <c r="AF93" i="13"/>
  <c r="AI92" i="13"/>
  <c r="K94" i="18"/>
  <c r="O94" i="18" s="1"/>
  <c r="J95" i="18"/>
  <c r="T92" i="18"/>
  <c r="X92" i="18" s="1"/>
  <c r="Y92" i="18" s="1"/>
  <c r="AH97" i="18"/>
  <c r="AI96" i="18"/>
  <c r="S93" i="18"/>
  <c r="R94" i="18"/>
  <c r="AF100" i="18"/>
  <c r="K93" i="13"/>
  <c r="J94" i="13"/>
  <c r="AF91" i="26" l="1"/>
  <c r="AI90" i="26"/>
  <c r="Y95" i="26"/>
  <c r="E113" i="26"/>
  <c r="C127" i="26" s="1"/>
  <c r="O93" i="13"/>
  <c r="H21" i="24"/>
  <c r="H25" i="24" s="1"/>
  <c r="X91" i="13"/>
  <c r="Y91" i="13" s="1"/>
  <c r="T92" i="13"/>
  <c r="S93" i="13"/>
  <c r="R94" i="13"/>
  <c r="S89" i="19"/>
  <c r="R90" i="19"/>
  <c r="T88" i="19"/>
  <c r="X88" i="19" s="1"/>
  <c r="Y88" i="19" s="1"/>
  <c r="AI84" i="19"/>
  <c r="AF85" i="19"/>
  <c r="AF94" i="13"/>
  <c r="AI93" i="13"/>
  <c r="T93" i="18"/>
  <c r="X93" i="18" s="1"/>
  <c r="Y93" i="18" s="1"/>
  <c r="AH98" i="18"/>
  <c r="AI97" i="18"/>
  <c r="K95" i="18"/>
  <c r="O95" i="18" s="1"/>
  <c r="J96" i="18"/>
  <c r="AF101" i="18"/>
  <c r="S94" i="18"/>
  <c r="R95" i="18"/>
  <c r="K94" i="13"/>
  <c r="J95" i="13"/>
  <c r="F127" i="26" l="1"/>
  <c r="I21" i="24"/>
  <c r="AI91" i="26"/>
  <c r="AF92" i="26"/>
  <c r="O94" i="13"/>
  <c r="T93" i="13"/>
  <c r="X92" i="13"/>
  <c r="Y92" i="13" s="1"/>
  <c r="R95" i="13"/>
  <c r="S94" i="13"/>
  <c r="S90" i="19"/>
  <c r="R91" i="19"/>
  <c r="AI85" i="19"/>
  <c r="AF86" i="19"/>
  <c r="T89" i="19"/>
  <c r="X89" i="19" s="1"/>
  <c r="Y89" i="19" s="1"/>
  <c r="AF95" i="13"/>
  <c r="AI94" i="13"/>
  <c r="S95" i="18"/>
  <c r="T95" i="18" s="1"/>
  <c r="X95" i="18" s="1"/>
  <c r="Y95" i="18" s="1"/>
  <c r="R96" i="18"/>
  <c r="AF102" i="18"/>
  <c r="AH99" i="18"/>
  <c r="AI98" i="18"/>
  <c r="T94" i="18"/>
  <c r="X94" i="18" s="1"/>
  <c r="Y94" i="18" s="1"/>
  <c r="K96" i="18"/>
  <c r="O96" i="18" s="1"/>
  <c r="J97" i="18"/>
  <c r="K95" i="13"/>
  <c r="J96" i="13"/>
  <c r="I25" i="24" l="1"/>
  <c r="AF93" i="26"/>
  <c r="AI92" i="26"/>
  <c r="O95" i="13"/>
  <c r="X93" i="13"/>
  <c r="Y93" i="13" s="1"/>
  <c r="T94" i="13"/>
  <c r="S95" i="13"/>
  <c r="R96" i="13"/>
  <c r="AI86" i="19"/>
  <c r="AF87" i="19"/>
  <c r="S91" i="19"/>
  <c r="T91" i="19" s="1"/>
  <c r="X91" i="19" s="1"/>
  <c r="Y91" i="19" s="1"/>
  <c r="R92" i="19"/>
  <c r="T90" i="19"/>
  <c r="X90" i="19" s="1"/>
  <c r="Y90" i="19" s="1"/>
  <c r="AI95" i="13"/>
  <c r="AF96" i="13"/>
  <c r="AF103" i="18"/>
  <c r="K97" i="18"/>
  <c r="O97" i="18" s="1"/>
  <c r="J98" i="18"/>
  <c r="S96" i="18"/>
  <c r="T96" i="18" s="1"/>
  <c r="X96" i="18" s="1"/>
  <c r="Y96" i="18" s="1"/>
  <c r="R97" i="18"/>
  <c r="AH100" i="18"/>
  <c r="AI99" i="18"/>
  <c r="K96" i="13"/>
  <c r="J97" i="13"/>
  <c r="AI93" i="26" l="1"/>
  <c r="AF94" i="26"/>
  <c r="O96" i="13"/>
  <c r="X94" i="13"/>
  <c r="Y94" i="13" s="1"/>
  <c r="T95" i="13"/>
  <c r="R97" i="13"/>
  <c r="S96" i="13"/>
  <c r="AI87" i="19"/>
  <c r="AF88" i="19"/>
  <c r="S92" i="19"/>
  <c r="R93" i="19"/>
  <c r="AF97" i="13"/>
  <c r="AI96" i="13"/>
  <c r="K98" i="18"/>
  <c r="O98" i="18" s="1"/>
  <c r="J99" i="18"/>
  <c r="S97" i="18"/>
  <c r="T97" i="18" s="1"/>
  <c r="X97" i="18" s="1"/>
  <c r="Y97" i="18" s="1"/>
  <c r="R98" i="18"/>
  <c r="AH101" i="18"/>
  <c r="AI100" i="18"/>
  <c r="AF104" i="18"/>
  <c r="K97" i="13"/>
  <c r="J98" i="13"/>
  <c r="AF95" i="26" l="1"/>
  <c r="AI95" i="26" s="1"/>
  <c r="AI94" i="26"/>
  <c r="O97" i="13"/>
  <c r="X95" i="13"/>
  <c r="Y95" i="13" s="1"/>
  <c r="T96" i="13"/>
  <c r="S97" i="13"/>
  <c r="R98" i="13"/>
  <c r="T92" i="19"/>
  <c r="X92" i="19" s="1"/>
  <c r="Y92" i="19" s="1"/>
  <c r="AI88" i="19"/>
  <c r="AF89" i="19"/>
  <c r="S93" i="19"/>
  <c r="R94" i="19"/>
  <c r="AF98" i="13"/>
  <c r="AI97" i="13"/>
  <c r="AH102" i="18"/>
  <c r="AI101" i="18"/>
  <c r="K99" i="18"/>
  <c r="O99" i="18" s="1"/>
  <c r="J100" i="18"/>
  <c r="AF105" i="18"/>
  <c r="S98" i="18"/>
  <c r="R99" i="18"/>
  <c r="K98" i="13"/>
  <c r="J99" i="13"/>
  <c r="O98" i="13" l="1"/>
  <c r="T97" i="13"/>
  <c r="X96" i="13"/>
  <c r="Y96" i="13" s="1"/>
  <c r="S98" i="13"/>
  <c r="R99" i="13"/>
  <c r="T93" i="19"/>
  <c r="X93" i="19" s="1"/>
  <c r="Y93" i="19" s="1"/>
  <c r="S94" i="19"/>
  <c r="R95" i="19"/>
  <c r="S95" i="19" s="1"/>
  <c r="T95" i="19" s="1"/>
  <c r="X95" i="19" s="1"/>
  <c r="AI89" i="19"/>
  <c r="AF90" i="19"/>
  <c r="AI98" i="13"/>
  <c r="AF99" i="13"/>
  <c r="T98" i="18"/>
  <c r="X98" i="18" s="1"/>
  <c r="Y98" i="18" s="1"/>
  <c r="K100" i="18"/>
  <c r="O100" i="18" s="1"/>
  <c r="J101" i="18"/>
  <c r="AF106" i="18"/>
  <c r="S99" i="18"/>
  <c r="T99" i="18" s="1"/>
  <c r="X99" i="18" s="1"/>
  <c r="Y99" i="18" s="1"/>
  <c r="R100" i="18"/>
  <c r="AH103" i="18"/>
  <c r="AI102" i="18"/>
  <c r="K99" i="13"/>
  <c r="J100" i="13"/>
  <c r="O99" i="13" l="1"/>
  <c r="X97" i="13"/>
  <c r="Y97" i="13" s="1"/>
  <c r="R100" i="13"/>
  <c r="S99" i="13"/>
  <c r="T98" i="13"/>
  <c r="Y95" i="19"/>
  <c r="AI90" i="19"/>
  <c r="AF91" i="19"/>
  <c r="T94" i="19"/>
  <c r="X94" i="19" s="1"/>
  <c r="AF100" i="13"/>
  <c r="AI99" i="13"/>
  <c r="K101" i="18"/>
  <c r="O101" i="18" s="1"/>
  <c r="J102" i="18"/>
  <c r="AF107" i="18"/>
  <c r="AH104" i="18"/>
  <c r="AI103" i="18"/>
  <c r="S100" i="18"/>
  <c r="R101" i="18"/>
  <c r="K100" i="13"/>
  <c r="J101" i="13"/>
  <c r="O100" i="13" l="1"/>
  <c r="T99" i="13"/>
  <c r="X98" i="13"/>
  <c r="Y98" i="13" s="1"/>
  <c r="S100" i="13"/>
  <c r="R101" i="13"/>
  <c r="Y94" i="19"/>
  <c r="C113" i="19"/>
  <c r="E113" i="19" s="1"/>
  <c r="C127" i="19" s="1"/>
  <c r="AI91" i="19"/>
  <c r="AF92" i="19"/>
  <c r="AI100" i="13"/>
  <c r="AF101" i="13"/>
  <c r="S101" i="18"/>
  <c r="T101" i="18" s="1"/>
  <c r="X101" i="18" s="1"/>
  <c r="Y101" i="18" s="1"/>
  <c r="R102" i="18"/>
  <c r="AF108" i="18"/>
  <c r="K102" i="18"/>
  <c r="O102" i="18" s="1"/>
  <c r="J103" i="18"/>
  <c r="T100" i="18"/>
  <c r="X100" i="18" s="1"/>
  <c r="Y100" i="18" s="1"/>
  <c r="AH105" i="18"/>
  <c r="AI104" i="18"/>
  <c r="K101" i="13"/>
  <c r="J102" i="13"/>
  <c r="O101" i="13" l="1"/>
  <c r="T100" i="13"/>
  <c r="X99" i="13"/>
  <c r="Y99" i="13" s="1"/>
  <c r="R102" i="13"/>
  <c r="S101" i="13"/>
  <c r="AI92" i="19"/>
  <c r="AF93" i="19"/>
  <c r="F127" i="19"/>
  <c r="G21" i="24"/>
  <c r="G25" i="24" s="1"/>
  <c r="AF102" i="13"/>
  <c r="AI101" i="13"/>
  <c r="AF109" i="18"/>
  <c r="AH106" i="18"/>
  <c r="AI105" i="18"/>
  <c r="K103" i="18"/>
  <c r="O103" i="18" s="1"/>
  <c r="J104" i="18"/>
  <c r="S102" i="18"/>
  <c r="T102" i="18" s="1"/>
  <c r="X102" i="18" s="1"/>
  <c r="Y102" i="18" s="1"/>
  <c r="R103" i="18"/>
  <c r="K102" i="13"/>
  <c r="J103" i="13"/>
  <c r="O102" i="13" l="1"/>
  <c r="T101" i="13"/>
  <c r="X100" i="13"/>
  <c r="Y100" i="13" s="1"/>
  <c r="R103" i="13"/>
  <c r="S102" i="13"/>
  <c r="AI93" i="19"/>
  <c r="AF94" i="19"/>
  <c r="AI102" i="13"/>
  <c r="AF103" i="13"/>
  <c r="AH107" i="18"/>
  <c r="AI106" i="18"/>
  <c r="K104" i="18"/>
  <c r="O104" i="18" s="1"/>
  <c r="J105" i="18"/>
  <c r="S103" i="18"/>
  <c r="T103" i="18" s="1"/>
  <c r="X103" i="18" s="1"/>
  <c r="Y103" i="18" s="1"/>
  <c r="R104" i="18"/>
  <c r="AF110" i="18"/>
  <c r="K103" i="13"/>
  <c r="J104" i="13"/>
  <c r="O103" i="13" l="1"/>
  <c r="X101" i="13"/>
  <c r="Y101" i="13" s="1"/>
  <c r="T102" i="13"/>
  <c r="S103" i="13"/>
  <c r="R104" i="13"/>
  <c r="AI94" i="19"/>
  <c r="AF95" i="19"/>
  <c r="AI95" i="19" s="1"/>
  <c r="AF104" i="13"/>
  <c r="AI103" i="13"/>
  <c r="K105" i="18"/>
  <c r="O105" i="18" s="1"/>
  <c r="J106" i="18"/>
  <c r="AF111" i="18"/>
  <c r="S104" i="18"/>
  <c r="R105" i="18"/>
  <c r="AH108" i="18"/>
  <c r="AI107" i="18"/>
  <c r="K104" i="13"/>
  <c r="J105" i="13"/>
  <c r="O104" i="13" l="1"/>
  <c r="X102" i="13"/>
  <c r="Y102" i="13" s="1"/>
  <c r="S104" i="13"/>
  <c r="R105" i="13"/>
  <c r="T103" i="13"/>
  <c r="AF105" i="13"/>
  <c r="AI104" i="13"/>
  <c r="AH109" i="18"/>
  <c r="AI108" i="18"/>
  <c r="AF112" i="18"/>
  <c r="S105" i="18"/>
  <c r="R106" i="18"/>
  <c r="K106" i="18"/>
  <c r="O106" i="18" s="1"/>
  <c r="J107" i="18"/>
  <c r="T104" i="18"/>
  <c r="X104" i="18" s="1"/>
  <c r="Y104" i="18" s="1"/>
  <c r="K105" i="13"/>
  <c r="J106" i="13"/>
  <c r="O105" i="13" l="1"/>
  <c r="X103" i="13"/>
  <c r="Y103" i="13" s="1"/>
  <c r="T104" i="13"/>
  <c r="R106" i="13"/>
  <c r="S105" i="13"/>
  <c r="AI105" i="13"/>
  <c r="AF106" i="13"/>
  <c r="AF113" i="18"/>
  <c r="S106" i="18"/>
  <c r="R107" i="18"/>
  <c r="K107" i="18"/>
  <c r="O107" i="18" s="1"/>
  <c r="J108" i="18"/>
  <c r="T105" i="18"/>
  <c r="X105" i="18" s="1"/>
  <c r="Y105" i="18" s="1"/>
  <c r="AH110" i="18"/>
  <c r="AI109" i="18"/>
  <c r="K106" i="13"/>
  <c r="J107" i="13"/>
  <c r="O106" i="13" l="1"/>
  <c r="T105" i="13"/>
  <c r="X104" i="13"/>
  <c r="Y104" i="13" s="1"/>
  <c r="S106" i="13"/>
  <c r="R107" i="13"/>
  <c r="AI106" i="13"/>
  <c r="AF107" i="13"/>
  <c r="S107" i="18"/>
  <c r="T107" i="18" s="1"/>
  <c r="X107" i="18" s="1"/>
  <c r="Y107" i="18" s="1"/>
  <c r="R108" i="18"/>
  <c r="T106" i="18"/>
  <c r="X106" i="18" s="1"/>
  <c r="Y106" i="18" s="1"/>
  <c r="K108" i="18"/>
  <c r="O108" i="18" s="1"/>
  <c r="J109" i="18"/>
  <c r="AH111" i="18"/>
  <c r="AI110" i="18"/>
  <c r="AF114" i="18"/>
  <c r="K107" i="13"/>
  <c r="J108" i="13"/>
  <c r="O107" i="13" l="1"/>
  <c r="T106" i="13"/>
  <c r="X105" i="13"/>
  <c r="Y105" i="13" s="1"/>
  <c r="S107" i="13"/>
  <c r="R108" i="13"/>
  <c r="AI107" i="13"/>
  <c r="AF108" i="13"/>
  <c r="AH112" i="18"/>
  <c r="AI111" i="18"/>
  <c r="AF115" i="18"/>
  <c r="K109" i="18"/>
  <c r="O109" i="18" s="1"/>
  <c r="J110" i="18"/>
  <c r="S108" i="18"/>
  <c r="T108" i="18" s="1"/>
  <c r="X108" i="18" s="1"/>
  <c r="Y108" i="18" s="1"/>
  <c r="R109" i="18"/>
  <c r="K108" i="13"/>
  <c r="J109" i="13"/>
  <c r="O108" i="13" l="1"/>
  <c r="T107" i="13"/>
  <c r="X106" i="13"/>
  <c r="Y106" i="13" s="1"/>
  <c r="R109" i="13"/>
  <c r="S108" i="13"/>
  <c r="AI108" i="13"/>
  <c r="AF109" i="13"/>
  <c r="K110" i="18"/>
  <c r="O110" i="18" s="1"/>
  <c r="J111" i="18"/>
  <c r="S109" i="18"/>
  <c r="T109" i="18" s="1"/>
  <c r="X109" i="18" s="1"/>
  <c r="Y109" i="18" s="1"/>
  <c r="R110" i="18"/>
  <c r="AF116" i="18"/>
  <c r="AH113" i="18"/>
  <c r="AI112" i="18"/>
  <c r="K109" i="13"/>
  <c r="J110" i="13"/>
  <c r="O109" i="13" l="1"/>
  <c r="X107" i="13"/>
  <c r="Y107" i="13" s="1"/>
  <c r="T108" i="13"/>
  <c r="S109" i="13"/>
  <c r="R110" i="13"/>
  <c r="AF110" i="13"/>
  <c r="AI109" i="13"/>
  <c r="AF117" i="18"/>
  <c r="K111" i="18"/>
  <c r="O111" i="18" s="1"/>
  <c r="J112" i="18"/>
  <c r="AH114" i="18"/>
  <c r="AI113" i="18"/>
  <c r="S110" i="18"/>
  <c r="T110" i="18" s="1"/>
  <c r="X110" i="18" s="1"/>
  <c r="Y110" i="18" s="1"/>
  <c r="R111" i="18"/>
  <c r="K110" i="13"/>
  <c r="J111" i="13"/>
  <c r="O110" i="13" l="1"/>
  <c r="X108" i="13"/>
  <c r="Y108" i="13" s="1"/>
  <c r="R111" i="13"/>
  <c r="S110" i="13"/>
  <c r="T109" i="13"/>
  <c r="AI110" i="13"/>
  <c r="AF111" i="13"/>
  <c r="AH115" i="18"/>
  <c r="AI114" i="18"/>
  <c r="K112" i="18"/>
  <c r="O112" i="18" s="1"/>
  <c r="J113" i="18"/>
  <c r="S111" i="18"/>
  <c r="R112" i="18"/>
  <c r="AF118" i="18"/>
  <c r="K111" i="13"/>
  <c r="J112" i="13"/>
  <c r="O111" i="13" l="1"/>
  <c r="T110" i="13"/>
  <c r="X109" i="13"/>
  <c r="Y109" i="13" s="1"/>
  <c r="R112" i="13"/>
  <c r="S111" i="13"/>
  <c r="AF112" i="13"/>
  <c r="AI111" i="13"/>
  <c r="AF119" i="18"/>
  <c r="K113" i="18"/>
  <c r="O113" i="18" s="1"/>
  <c r="J114" i="18"/>
  <c r="S112" i="18"/>
  <c r="R113" i="18"/>
  <c r="T111" i="18"/>
  <c r="X111" i="18" s="1"/>
  <c r="Y111" i="18" s="1"/>
  <c r="AH116" i="18"/>
  <c r="AI115" i="18"/>
  <c r="K112" i="13"/>
  <c r="J113" i="13"/>
  <c r="O112" i="13" l="1"/>
  <c r="T111" i="13"/>
  <c r="X110" i="13"/>
  <c r="Y110" i="13" s="1"/>
  <c r="S112" i="13"/>
  <c r="R113" i="13"/>
  <c r="AF113" i="13"/>
  <c r="AI112" i="13"/>
  <c r="K114" i="18"/>
  <c r="O114" i="18" s="1"/>
  <c r="J115" i="18"/>
  <c r="S113" i="18"/>
  <c r="R114" i="18"/>
  <c r="AH117" i="18"/>
  <c r="AI116" i="18"/>
  <c r="T112" i="18"/>
  <c r="X112" i="18" s="1"/>
  <c r="Y112" i="18" s="1"/>
  <c r="AF120" i="18"/>
  <c r="K113" i="13"/>
  <c r="J114" i="13"/>
  <c r="O113" i="13" l="1"/>
  <c r="T112" i="13"/>
  <c r="X111" i="13"/>
  <c r="Y111" i="13" s="1"/>
  <c r="S113" i="13"/>
  <c r="R114" i="13"/>
  <c r="AF114" i="13"/>
  <c r="AI113" i="13"/>
  <c r="T113" i="18"/>
  <c r="X113" i="18" s="1"/>
  <c r="Y113" i="18" s="1"/>
  <c r="AH118" i="18"/>
  <c r="AI117" i="18"/>
  <c r="K115" i="18"/>
  <c r="O115" i="18" s="1"/>
  <c r="J116" i="18"/>
  <c r="AF121" i="18"/>
  <c r="S114" i="18"/>
  <c r="T114" i="18" s="1"/>
  <c r="X114" i="18" s="1"/>
  <c r="Y114" i="18" s="1"/>
  <c r="R115" i="18"/>
  <c r="K114" i="13"/>
  <c r="J115" i="13"/>
  <c r="O114" i="13" l="1"/>
  <c r="X112" i="13"/>
  <c r="Y112" i="13" s="1"/>
  <c r="R115" i="13"/>
  <c r="S114" i="13"/>
  <c r="T113" i="13"/>
  <c r="AF115" i="13"/>
  <c r="AI114" i="13"/>
  <c r="AH119" i="18"/>
  <c r="AI118" i="18"/>
  <c r="AF122" i="18"/>
  <c r="S115" i="18"/>
  <c r="R116" i="18"/>
  <c r="K116" i="18"/>
  <c r="O116" i="18" s="1"/>
  <c r="J117" i="18"/>
  <c r="K115" i="13"/>
  <c r="J116" i="13"/>
  <c r="O115" i="13" l="1"/>
  <c r="X113" i="13"/>
  <c r="Y113" i="13" s="1"/>
  <c r="T114" i="13"/>
  <c r="R116" i="13"/>
  <c r="S115" i="13"/>
  <c r="AF116" i="13"/>
  <c r="AI115" i="13"/>
  <c r="AF123" i="18"/>
  <c r="K117" i="18"/>
  <c r="O117" i="18" s="1"/>
  <c r="J118" i="18"/>
  <c r="S116" i="18"/>
  <c r="R117" i="18"/>
  <c r="T115" i="18"/>
  <c r="X115" i="18" s="1"/>
  <c r="Y115" i="18" s="1"/>
  <c r="AH120" i="18"/>
  <c r="AI119" i="18"/>
  <c r="K116" i="13"/>
  <c r="J117" i="13"/>
  <c r="O116" i="13" l="1"/>
  <c r="T115" i="13"/>
  <c r="X114" i="13"/>
  <c r="Y114" i="13" s="1"/>
  <c r="R117" i="13"/>
  <c r="S116" i="13"/>
  <c r="AF117" i="13"/>
  <c r="AI116" i="13"/>
  <c r="K118" i="18"/>
  <c r="O118" i="18" s="1"/>
  <c r="J119" i="18"/>
  <c r="S117" i="18"/>
  <c r="R118" i="18"/>
  <c r="AH121" i="18"/>
  <c r="AI120" i="18"/>
  <c r="T116" i="18"/>
  <c r="X116" i="18" s="1"/>
  <c r="Y116" i="18" s="1"/>
  <c r="AF124" i="18"/>
  <c r="K117" i="13"/>
  <c r="J118" i="13"/>
  <c r="O117" i="13" l="1"/>
  <c r="X115" i="13"/>
  <c r="Y115" i="13" s="1"/>
  <c r="T116" i="13"/>
  <c r="R118" i="13"/>
  <c r="S117" i="13"/>
  <c r="AF118" i="13"/>
  <c r="AI117" i="13"/>
  <c r="AF125" i="18"/>
  <c r="K119" i="18"/>
  <c r="O119" i="18" s="1"/>
  <c r="J120" i="18"/>
  <c r="T117" i="18"/>
  <c r="X117" i="18" s="1"/>
  <c r="Y117" i="18" s="1"/>
  <c r="AH122" i="18"/>
  <c r="AI121" i="18"/>
  <c r="S118" i="18"/>
  <c r="R119" i="18"/>
  <c r="K118" i="13"/>
  <c r="J119" i="13"/>
  <c r="O118" i="13" l="1"/>
  <c r="T117" i="13"/>
  <c r="X116" i="13"/>
  <c r="Y116" i="13" s="1"/>
  <c r="S118" i="13"/>
  <c r="R119" i="13"/>
  <c r="AI118" i="13"/>
  <c r="AF119" i="13"/>
  <c r="AH123" i="18"/>
  <c r="AI122" i="18"/>
  <c r="K120" i="18"/>
  <c r="O120" i="18" s="1"/>
  <c r="J121" i="18"/>
  <c r="S119" i="18"/>
  <c r="R120" i="18"/>
  <c r="T118" i="18"/>
  <c r="X118" i="18" s="1"/>
  <c r="Y118" i="18" s="1"/>
  <c r="AF126" i="18"/>
  <c r="K119" i="13"/>
  <c r="J120" i="13"/>
  <c r="O119" i="13" l="1"/>
  <c r="X117" i="13"/>
  <c r="Y117" i="13" s="1"/>
  <c r="R120" i="13"/>
  <c r="S119" i="13"/>
  <c r="T118" i="13"/>
  <c r="AF120" i="13"/>
  <c r="AI119" i="13"/>
  <c r="K121" i="18"/>
  <c r="O121" i="18" s="1"/>
  <c r="J122" i="18"/>
  <c r="AF127" i="18"/>
  <c r="T119" i="18"/>
  <c r="X119" i="18" s="1"/>
  <c r="Y119" i="18" s="1"/>
  <c r="S120" i="18"/>
  <c r="T120" i="18" s="1"/>
  <c r="X120" i="18" s="1"/>
  <c r="Y120" i="18" s="1"/>
  <c r="R121" i="18"/>
  <c r="AH124" i="18"/>
  <c r="AI123" i="18"/>
  <c r="K120" i="13"/>
  <c r="J121" i="13"/>
  <c r="O120" i="13" l="1"/>
  <c r="T119" i="13"/>
  <c r="X118" i="13"/>
  <c r="Y118" i="13" s="1"/>
  <c r="S120" i="13"/>
  <c r="R121" i="13"/>
  <c r="AI120" i="13"/>
  <c r="AF121" i="13"/>
  <c r="AF128" i="18"/>
  <c r="K122" i="18"/>
  <c r="O122" i="18" s="1"/>
  <c r="J123" i="18"/>
  <c r="S121" i="18"/>
  <c r="R122" i="18"/>
  <c r="AH125" i="18"/>
  <c r="AI124" i="18"/>
  <c r="K121" i="13"/>
  <c r="J122" i="13"/>
  <c r="O121" i="13" l="1"/>
  <c r="X119" i="13"/>
  <c r="Y119" i="13" s="1"/>
  <c r="T120" i="13"/>
  <c r="S121" i="13"/>
  <c r="R122" i="13"/>
  <c r="AI121" i="13"/>
  <c r="AF122" i="13"/>
  <c r="S122" i="18"/>
  <c r="T122" i="18" s="1"/>
  <c r="X122" i="18" s="1"/>
  <c r="Y122" i="18" s="1"/>
  <c r="R123" i="18"/>
  <c r="AH126" i="18"/>
  <c r="AI125" i="18"/>
  <c r="K123" i="18"/>
  <c r="O123" i="18" s="1"/>
  <c r="J124" i="18"/>
  <c r="T121" i="18"/>
  <c r="X121" i="18" s="1"/>
  <c r="Y121" i="18" s="1"/>
  <c r="AF129" i="18"/>
  <c r="K122" i="13"/>
  <c r="J123" i="13"/>
  <c r="O122" i="13" l="1"/>
  <c r="X120" i="13"/>
  <c r="Y120" i="13" s="1"/>
  <c r="S122" i="13"/>
  <c r="R123" i="13"/>
  <c r="T121" i="13"/>
  <c r="AF123" i="13"/>
  <c r="AI122" i="13"/>
  <c r="AH127" i="18"/>
  <c r="AI126" i="18"/>
  <c r="AF130" i="18"/>
  <c r="K124" i="18"/>
  <c r="O124" i="18" s="1"/>
  <c r="J125" i="18"/>
  <c r="S123" i="18"/>
  <c r="R124" i="18"/>
  <c r="K123" i="13"/>
  <c r="J124" i="13"/>
  <c r="O123" i="13" l="1"/>
  <c r="X121" i="13"/>
  <c r="Y121" i="13" s="1"/>
  <c r="R124" i="13"/>
  <c r="S123" i="13"/>
  <c r="T122" i="13"/>
  <c r="AF124" i="13"/>
  <c r="AI123" i="13"/>
  <c r="AF131" i="18"/>
  <c r="T123" i="18"/>
  <c r="X123" i="18" s="1"/>
  <c r="Y123" i="18" s="1"/>
  <c r="K125" i="18"/>
  <c r="O125" i="18" s="1"/>
  <c r="J126" i="18"/>
  <c r="S124" i="18"/>
  <c r="T124" i="18" s="1"/>
  <c r="X124" i="18" s="1"/>
  <c r="Y124" i="18" s="1"/>
  <c r="R125" i="18"/>
  <c r="AH128" i="18"/>
  <c r="AI127" i="18"/>
  <c r="K124" i="13"/>
  <c r="J125" i="13"/>
  <c r="J126" i="13" l="1"/>
  <c r="K126" i="13" s="1"/>
  <c r="O124" i="13"/>
  <c r="T123" i="13"/>
  <c r="X122" i="13"/>
  <c r="Y122" i="13" s="1"/>
  <c r="R125" i="13"/>
  <c r="S124" i="13"/>
  <c r="J127" i="13"/>
  <c r="AI124" i="13"/>
  <c r="AF125" i="13"/>
  <c r="AH129" i="18"/>
  <c r="AI128" i="18"/>
  <c r="K126" i="18"/>
  <c r="O126" i="18" s="1"/>
  <c r="J127" i="18"/>
  <c r="S125" i="18"/>
  <c r="R126" i="18"/>
  <c r="AF132" i="18"/>
  <c r="K125" i="13"/>
  <c r="O126" i="13" l="1"/>
  <c r="O125" i="13"/>
  <c r="T124" i="13"/>
  <c r="X123" i="13"/>
  <c r="Y123" i="13" s="1"/>
  <c r="S125" i="13"/>
  <c r="R126" i="13"/>
  <c r="AF126" i="13"/>
  <c r="AI125" i="13"/>
  <c r="K127" i="13"/>
  <c r="J128" i="13"/>
  <c r="AF133" i="18"/>
  <c r="K127" i="18"/>
  <c r="O127" i="18" s="1"/>
  <c r="J128" i="18"/>
  <c r="S126" i="18"/>
  <c r="R127" i="18"/>
  <c r="T125" i="18"/>
  <c r="X125" i="18" s="1"/>
  <c r="Y125" i="18" s="1"/>
  <c r="AH130" i="18"/>
  <c r="AI129" i="18"/>
  <c r="O127" i="13" l="1"/>
  <c r="X124" i="13"/>
  <c r="Y124" i="13" s="1"/>
  <c r="T125" i="13"/>
  <c r="R127" i="13"/>
  <c r="S126" i="13"/>
  <c r="AF127" i="13"/>
  <c r="AI126" i="13"/>
  <c r="K128" i="13"/>
  <c r="J129" i="13"/>
  <c r="K128" i="18"/>
  <c r="O128" i="18" s="1"/>
  <c r="J129" i="18"/>
  <c r="S127" i="18"/>
  <c r="R128" i="18"/>
  <c r="AH131" i="18"/>
  <c r="AI130" i="18"/>
  <c r="T126" i="18"/>
  <c r="X126" i="18" s="1"/>
  <c r="Y126" i="18" s="1"/>
  <c r="AF134" i="18"/>
  <c r="O128" i="13" l="1"/>
  <c r="X125" i="13"/>
  <c r="Y125" i="13" s="1"/>
  <c r="T126" i="13"/>
  <c r="S127" i="13"/>
  <c r="R128" i="13"/>
  <c r="K129" i="13"/>
  <c r="J130" i="13"/>
  <c r="AF128" i="13"/>
  <c r="AI127" i="13"/>
  <c r="AF135" i="18"/>
  <c r="T127" i="18"/>
  <c r="X127" i="18" s="1"/>
  <c r="Y127" i="18" s="1"/>
  <c r="AH132" i="18"/>
  <c r="AI131" i="18"/>
  <c r="K129" i="18"/>
  <c r="O129" i="18" s="1"/>
  <c r="J130" i="18"/>
  <c r="S128" i="18"/>
  <c r="R129" i="18"/>
  <c r="O129" i="13" l="1"/>
  <c r="T127" i="13"/>
  <c r="X126" i="13"/>
  <c r="Y126" i="13" s="1"/>
  <c r="R129" i="13"/>
  <c r="S128" i="13"/>
  <c r="AF129" i="13"/>
  <c r="AI128" i="13"/>
  <c r="K130" i="13"/>
  <c r="J131" i="13"/>
  <c r="K130" i="18"/>
  <c r="O130" i="18" s="1"/>
  <c r="J131" i="18"/>
  <c r="S129" i="18"/>
  <c r="R130" i="18"/>
  <c r="T128" i="18"/>
  <c r="X128" i="18" s="1"/>
  <c r="Y128" i="18" s="1"/>
  <c r="AH133" i="18"/>
  <c r="AI132" i="18"/>
  <c r="AF136" i="18"/>
  <c r="O130" i="13" l="1"/>
  <c r="X127" i="13"/>
  <c r="Y127" i="13" s="1"/>
  <c r="T128" i="13"/>
  <c r="S129" i="13"/>
  <c r="R130" i="13"/>
  <c r="AF130" i="13"/>
  <c r="AI129" i="13"/>
  <c r="K131" i="13"/>
  <c r="J132" i="13"/>
  <c r="T129" i="18"/>
  <c r="X129" i="18" s="1"/>
  <c r="Y129" i="18" s="1"/>
  <c r="AF137" i="18"/>
  <c r="K131" i="18"/>
  <c r="O131" i="18" s="1"/>
  <c r="J132" i="18"/>
  <c r="AH134" i="18"/>
  <c r="AI133" i="18"/>
  <c r="S130" i="18"/>
  <c r="T130" i="18" s="1"/>
  <c r="X130" i="18" s="1"/>
  <c r="Y130" i="18" s="1"/>
  <c r="R131" i="18"/>
  <c r="O131" i="13" l="1"/>
  <c r="X128" i="13"/>
  <c r="Y128" i="13" s="1"/>
  <c r="T129" i="13"/>
  <c r="R131" i="13"/>
  <c r="S130" i="13"/>
  <c r="K132" i="13"/>
  <c r="J133" i="13"/>
  <c r="AF131" i="13"/>
  <c r="AI130" i="13"/>
  <c r="AF138" i="18"/>
  <c r="AH135" i="18"/>
  <c r="AI134" i="18"/>
  <c r="S131" i="18"/>
  <c r="R132" i="18"/>
  <c r="K132" i="18"/>
  <c r="O132" i="18" s="1"/>
  <c r="J133" i="18"/>
  <c r="O132" i="13" l="1"/>
  <c r="T130" i="13"/>
  <c r="X129" i="13"/>
  <c r="Y129" i="13" s="1"/>
  <c r="S131" i="13"/>
  <c r="R132" i="13"/>
  <c r="K133" i="13"/>
  <c r="J134" i="13"/>
  <c r="AF132" i="13"/>
  <c r="AI131" i="13"/>
  <c r="AH136" i="18"/>
  <c r="AI135" i="18"/>
  <c r="S132" i="18"/>
  <c r="R133" i="18"/>
  <c r="K133" i="18"/>
  <c r="O133" i="18" s="1"/>
  <c r="J134" i="18"/>
  <c r="T131" i="18"/>
  <c r="X131" i="18" s="1"/>
  <c r="Y131" i="18" s="1"/>
  <c r="AF139" i="18"/>
  <c r="O133" i="13" l="1"/>
  <c r="T131" i="13"/>
  <c r="X130" i="13"/>
  <c r="Y130" i="13" s="1"/>
  <c r="R133" i="13"/>
  <c r="S132" i="13"/>
  <c r="K134" i="13"/>
  <c r="J135" i="13"/>
  <c r="AF133" i="13"/>
  <c r="AI132" i="13"/>
  <c r="T132" i="18"/>
  <c r="X132" i="18" s="1"/>
  <c r="Y132" i="18" s="1"/>
  <c r="S133" i="18"/>
  <c r="R134" i="18"/>
  <c r="K134" i="18"/>
  <c r="O134" i="18" s="1"/>
  <c r="J135" i="18"/>
  <c r="AF140" i="18"/>
  <c r="AH137" i="18"/>
  <c r="AI136" i="18"/>
  <c r="O134" i="13" l="1"/>
  <c r="T132" i="13"/>
  <c r="X131" i="13"/>
  <c r="Y131" i="13" s="1"/>
  <c r="R134" i="13"/>
  <c r="S133" i="13"/>
  <c r="AF134" i="13"/>
  <c r="AI133" i="13"/>
  <c r="K135" i="13"/>
  <c r="J136" i="13"/>
  <c r="T133" i="18"/>
  <c r="X133" i="18" s="1"/>
  <c r="Y133" i="18" s="1"/>
  <c r="AF141" i="18"/>
  <c r="S134" i="18"/>
  <c r="T134" i="18" s="1"/>
  <c r="X134" i="18" s="1"/>
  <c r="Y134" i="18" s="1"/>
  <c r="R135" i="18"/>
  <c r="K135" i="18"/>
  <c r="O135" i="18" s="1"/>
  <c r="J136" i="18"/>
  <c r="AH138" i="18"/>
  <c r="AI137" i="18"/>
  <c r="O135" i="13" l="1"/>
  <c r="T133" i="13"/>
  <c r="X132" i="13"/>
  <c r="Y132" i="13" s="1"/>
  <c r="S134" i="13"/>
  <c r="R135" i="13"/>
  <c r="K136" i="13"/>
  <c r="J137" i="13"/>
  <c r="AF135" i="13"/>
  <c r="AI134" i="13"/>
  <c r="AF142" i="18"/>
  <c r="K136" i="18"/>
  <c r="O136" i="18" s="1"/>
  <c r="J137" i="18"/>
  <c r="AH139" i="18"/>
  <c r="AI138" i="18"/>
  <c r="S135" i="18"/>
  <c r="R136" i="18"/>
  <c r="O136" i="13" l="1"/>
  <c r="X133" i="13"/>
  <c r="Y133" i="13" s="1"/>
  <c r="T134" i="13"/>
  <c r="R136" i="13"/>
  <c r="S135" i="13"/>
  <c r="AF136" i="13"/>
  <c r="AI135" i="13"/>
  <c r="K137" i="13"/>
  <c r="J138" i="13"/>
  <c r="T135" i="18"/>
  <c r="X135" i="18" s="1"/>
  <c r="Y135" i="18" s="1"/>
  <c r="AH140" i="18"/>
  <c r="AI139" i="18"/>
  <c r="K137" i="18"/>
  <c r="O137" i="18" s="1"/>
  <c r="J138" i="18"/>
  <c r="S136" i="18"/>
  <c r="R137" i="18"/>
  <c r="AF143" i="18"/>
  <c r="O137" i="13" l="1"/>
  <c r="X134" i="13"/>
  <c r="Y134" i="13" s="1"/>
  <c r="T135" i="13"/>
  <c r="R137" i="13"/>
  <c r="S136" i="13"/>
  <c r="K138" i="13"/>
  <c r="J139" i="13"/>
  <c r="AF137" i="13"/>
  <c r="AI136" i="13"/>
  <c r="T136" i="18"/>
  <c r="X136" i="18" s="1"/>
  <c r="Y136" i="18" s="1"/>
  <c r="S137" i="18"/>
  <c r="R138" i="18"/>
  <c r="AH141" i="18"/>
  <c r="AI140" i="18"/>
  <c r="K138" i="18"/>
  <c r="O138" i="18" s="1"/>
  <c r="J139" i="18"/>
  <c r="AF144" i="18"/>
  <c r="O138" i="13" l="1"/>
  <c r="T136" i="13"/>
  <c r="X135" i="13"/>
  <c r="Y135" i="13" s="1"/>
  <c r="S137" i="13"/>
  <c r="R138" i="13"/>
  <c r="AF138" i="13"/>
  <c r="AI137" i="13"/>
  <c r="K139" i="13"/>
  <c r="J140" i="13"/>
  <c r="T137" i="18"/>
  <c r="X137" i="18" s="1"/>
  <c r="Y137" i="18" s="1"/>
  <c r="AF145" i="18"/>
  <c r="K139" i="18"/>
  <c r="O139" i="18" s="1"/>
  <c r="J140" i="18"/>
  <c r="S138" i="18"/>
  <c r="T138" i="18" s="1"/>
  <c r="X138" i="18" s="1"/>
  <c r="Y138" i="18" s="1"/>
  <c r="R139" i="18"/>
  <c r="AH142" i="18"/>
  <c r="AI141" i="18"/>
  <c r="O139" i="13" l="1"/>
  <c r="X136" i="13"/>
  <c r="Y136" i="13" s="1"/>
  <c r="T137" i="13"/>
  <c r="R139" i="13"/>
  <c r="S138" i="13"/>
  <c r="AF139" i="13"/>
  <c r="AI138" i="13"/>
  <c r="K140" i="13"/>
  <c r="J141" i="13"/>
  <c r="AF146" i="18"/>
  <c r="S139" i="18"/>
  <c r="R140" i="18"/>
  <c r="K140" i="18"/>
  <c r="O140" i="18" s="1"/>
  <c r="J141" i="18"/>
  <c r="AH143" i="18"/>
  <c r="AI142" i="18"/>
  <c r="O140" i="13" l="1"/>
  <c r="X137" i="13"/>
  <c r="Y137" i="13" s="1"/>
  <c r="T138" i="13"/>
  <c r="S139" i="13"/>
  <c r="R140" i="13"/>
  <c r="K141" i="13"/>
  <c r="J142" i="13"/>
  <c r="AF140" i="13"/>
  <c r="AI139" i="13"/>
  <c r="T139" i="18"/>
  <c r="X139" i="18" s="1"/>
  <c r="Y139" i="18" s="1"/>
  <c r="S140" i="18"/>
  <c r="R141" i="18"/>
  <c r="K141" i="18"/>
  <c r="O141" i="18" s="1"/>
  <c r="J142" i="18"/>
  <c r="AH144" i="18"/>
  <c r="AI143" i="18"/>
  <c r="AF147" i="18"/>
  <c r="O141" i="13" l="1"/>
  <c r="X138" i="13"/>
  <c r="Y138" i="13" s="1"/>
  <c r="T139" i="13"/>
  <c r="R141" i="13"/>
  <c r="S140" i="13"/>
  <c r="AF141" i="13"/>
  <c r="AI140" i="13"/>
  <c r="K142" i="13"/>
  <c r="J143" i="13"/>
  <c r="AH145" i="18"/>
  <c r="AI144" i="18"/>
  <c r="T140" i="18"/>
  <c r="X140" i="18" s="1"/>
  <c r="Y140" i="18" s="1"/>
  <c r="S141" i="18"/>
  <c r="R142" i="18"/>
  <c r="K142" i="18"/>
  <c r="O142" i="18" s="1"/>
  <c r="J143" i="18"/>
  <c r="AF148" i="18"/>
  <c r="O142" i="13" l="1"/>
  <c r="T140" i="13"/>
  <c r="X139" i="13"/>
  <c r="Y139" i="13" s="1"/>
  <c r="R142" i="13"/>
  <c r="S141" i="13"/>
  <c r="AF142" i="13"/>
  <c r="AI141" i="13"/>
  <c r="K143" i="13"/>
  <c r="J144" i="13"/>
  <c r="K143" i="18"/>
  <c r="O143" i="18" s="1"/>
  <c r="J144" i="18"/>
  <c r="AF149" i="18"/>
  <c r="S142" i="18"/>
  <c r="R143" i="18"/>
  <c r="T141" i="18"/>
  <c r="X141" i="18" s="1"/>
  <c r="Y141" i="18" s="1"/>
  <c r="AH146" i="18"/>
  <c r="AI145" i="18"/>
  <c r="O143" i="13" l="1"/>
  <c r="T141" i="13"/>
  <c r="X140" i="13"/>
  <c r="Y140" i="13" s="1"/>
  <c r="R143" i="13"/>
  <c r="S142" i="13"/>
  <c r="AF143" i="13"/>
  <c r="AI142" i="13"/>
  <c r="K144" i="13"/>
  <c r="J145" i="13"/>
  <c r="AF150" i="18"/>
  <c r="S143" i="18"/>
  <c r="R144" i="18"/>
  <c r="K144" i="18"/>
  <c r="O144" i="18" s="1"/>
  <c r="J145" i="18"/>
  <c r="AH147" i="18"/>
  <c r="AI146" i="18"/>
  <c r="T142" i="18"/>
  <c r="X142" i="18" s="1"/>
  <c r="Y142" i="18" s="1"/>
  <c r="O144" i="13" l="1"/>
  <c r="T142" i="13"/>
  <c r="X141" i="13"/>
  <c r="Y141" i="13" s="1"/>
  <c r="S143" i="13"/>
  <c r="R144" i="13"/>
  <c r="AF144" i="13"/>
  <c r="AI143" i="13"/>
  <c r="K145" i="13"/>
  <c r="J146" i="13"/>
  <c r="AH148" i="18"/>
  <c r="AI147" i="18"/>
  <c r="S144" i="18"/>
  <c r="R145" i="18"/>
  <c r="T143" i="18"/>
  <c r="X143" i="18" s="1"/>
  <c r="Y143" i="18" s="1"/>
  <c r="K145" i="18"/>
  <c r="O145" i="18" s="1"/>
  <c r="J146" i="18"/>
  <c r="AF151" i="18"/>
  <c r="O145" i="13" l="1"/>
  <c r="T143" i="13"/>
  <c r="X142" i="13"/>
  <c r="Y142" i="13" s="1"/>
  <c r="S144" i="13"/>
  <c r="R145" i="13"/>
  <c r="AF145" i="13"/>
  <c r="AI144" i="13"/>
  <c r="K146" i="13"/>
  <c r="J147" i="13"/>
  <c r="T144" i="18"/>
  <c r="X144" i="18" s="1"/>
  <c r="Y144" i="18" s="1"/>
  <c r="K146" i="18"/>
  <c r="O146" i="18" s="1"/>
  <c r="J147" i="18"/>
  <c r="S145" i="18"/>
  <c r="R146" i="18"/>
  <c r="AF152" i="18"/>
  <c r="AH149" i="18"/>
  <c r="AI148" i="18"/>
  <c r="O146" i="13" l="1"/>
  <c r="X143" i="13"/>
  <c r="Y143" i="13" s="1"/>
  <c r="R146" i="13"/>
  <c r="S145" i="13"/>
  <c r="T144" i="13"/>
  <c r="K147" i="13"/>
  <c r="J148" i="13"/>
  <c r="AF146" i="13"/>
  <c r="AI145" i="13"/>
  <c r="AF153" i="18"/>
  <c r="S146" i="18"/>
  <c r="T146" i="18" s="1"/>
  <c r="X146" i="18" s="1"/>
  <c r="Y146" i="18" s="1"/>
  <c r="R147" i="18"/>
  <c r="AH150" i="18"/>
  <c r="AI149" i="18"/>
  <c r="T145" i="18"/>
  <c r="X145" i="18" s="1"/>
  <c r="Y145" i="18" s="1"/>
  <c r="K147" i="18"/>
  <c r="O147" i="18" s="1"/>
  <c r="J148" i="18"/>
  <c r="O147" i="13" l="1"/>
  <c r="X144" i="13"/>
  <c r="Y144" i="13" s="1"/>
  <c r="T145" i="13"/>
  <c r="S146" i="13"/>
  <c r="R147" i="13"/>
  <c r="AF147" i="13"/>
  <c r="AI146" i="13"/>
  <c r="K148" i="13"/>
  <c r="J149" i="13"/>
  <c r="S147" i="18"/>
  <c r="R148" i="18"/>
  <c r="K148" i="18"/>
  <c r="O148" i="18" s="1"/>
  <c r="J149" i="18"/>
  <c r="AH151" i="18"/>
  <c r="AI150" i="18"/>
  <c r="AF154" i="18"/>
  <c r="O148" i="13" l="1"/>
  <c r="X145" i="13"/>
  <c r="Y145" i="13" s="1"/>
  <c r="T146" i="13"/>
  <c r="S147" i="13"/>
  <c r="R148" i="13"/>
  <c r="AF148" i="13"/>
  <c r="AI147" i="13"/>
  <c r="K149" i="13"/>
  <c r="J150" i="13"/>
  <c r="AF155" i="18"/>
  <c r="K149" i="18"/>
  <c r="O149" i="18" s="1"/>
  <c r="J150" i="18"/>
  <c r="AH152" i="18"/>
  <c r="AI151" i="18"/>
  <c r="S148" i="18"/>
  <c r="R149" i="18"/>
  <c r="T147" i="18"/>
  <c r="X147" i="18" s="1"/>
  <c r="Y147" i="18" s="1"/>
  <c r="O149" i="13" l="1"/>
  <c r="T147" i="13"/>
  <c r="X146" i="13"/>
  <c r="Y146" i="13" s="1"/>
  <c r="S148" i="13"/>
  <c r="R149" i="13"/>
  <c r="AF149" i="13"/>
  <c r="AI148" i="13"/>
  <c r="J151" i="13"/>
  <c r="K150" i="13"/>
  <c r="T148" i="18"/>
  <c r="X148" i="18" s="1"/>
  <c r="Y148" i="18" s="1"/>
  <c r="K150" i="18"/>
  <c r="O150" i="18" s="1"/>
  <c r="J151" i="18"/>
  <c r="S149" i="18"/>
  <c r="R150" i="18"/>
  <c r="AH153" i="18"/>
  <c r="AI152" i="18"/>
  <c r="AF156" i="18"/>
  <c r="O150" i="13" l="1"/>
  <c r="X147" i="13"/>
  <c r="Y147" i="13" s="1"/>
  <c r="S149" i="13"/>
  <c r="R150" i="13"/>
  <c r="T148" i="13"/>
  <c r="AF150" i="13"/>
  <c r="AI149" i="13"/>
  <c r="K151" i="13"/>
  <c r="J152" i="13"/>
  <c r="AH154" i="18"/>
  <c r="AI153" i="18"/>
  <c r="S150" i="18"/>
  <c r="T150" i="18" s="1"/>
  <c r="X150" i="18" s="1"/>
  <c r="Y150" i="18" s="1"/>
  <c r="R151" i="18"/>
  <c r="AF157" i="18"/>
  <c r="T149" i="18"/>
  <c r="X149" i="18" s="1"/>
  <c r="Y149" i="18" s="1"/>
  <c r="K151" i="18"/>
  <c r="O151" i="18" s="1"/>
  <c r="J152" i="18"/>
  <c r="O151" i="13" l="1"/>
  <c r="T149" i="13"/>
  <c r="X148" i="13"/>
  <c r="Y148" i="13" s="1"/>
  <c r="R151" i="13"/>
  <c r="S150" i="13"/>
  <c r="K152" i="13"/>
  <c r="J153" i="13"/>
  <c r="AF151" i="13"/>
  <c r="AI150" i="13"/>
  <c r="S151" i="18"/>
  <c r="R152" i="18"/>
  <c r="K152" i="18"/>
  <c r="O152" i="18" s="1"/>
  <c r="J153" i="18"/>
  <c r="AF158" i="18"/>
  <c r="AH155" i="18"/>
  <c r="AI154" i="18"/>
  <c r="O152" i="13" l="1"/>
  <c r="X149" i="13"/>
  <c r="Y149" i="13" s="1"/>
  <c r="T150" i="13"/>
  <c r="S151" i="13"/>
  <c r="R152" i="13"/>
  <c r="K153" i="13"/>
  <c r="J154" i="13"/>
  <c r="AF152" i="13"/>
  <c r="AI151" i="13"/>
  <c r="AH156" i="18"/>
  <c r="AI155" i="18"/>
  <c r="AF159" i="18"/>
  <c r="S152" i="18"/>
  <c r="R153" i="18"/>
  <c r="K153" i="18"/>
  <c r="O153" i="18" s="1"/>
  <c r="J154" i="18"/>
  <c r="T151" i="18"/>
  <c r="X151" i="18" s="1"/>
  <c r="Y151" i="18" s="1"/>
  <c r="O153" i="13" l="1"/>
  <c r="X150" i="13"/>
  <c r="Y150" i="13" s="1"/>
  <c r="T151" i="13"/>
  <c r="S152" i="13"/>
  <c r="R153" i="13"/>
  <c r="AF153" i="13"/>
  <c r="AI152" i="13"/>
  <c r="K154" i="13"/>
  <c r="J155" i="13"/>
  <c r="AF160" i="18"/>
  <c r="S153" i="18"/>
  <c r="R154" i="18"/>
  <c r="K154" i="18"/>
  <c r="O154" i="18" s="1"/>
  <c r="J155" i="18"/>
  <c r="T152" i="18"/>
  <c r="X152" i="18" s="1"/>
  <c r="Y152" i="18" s="1"/>
  <c r="AH157" i="18"/>
  <c r="AI156" i="18"/>
  <c r="O154" i="13" l="1"/>
  <c r="X151" i="13"/>
  <c r="Y151" i="13" s="1"/>
  <c r="T152" i="13"/>
  <c r="S153" i="13"/>
  <c r="R154" i="13"/>
  <c r="K155" i="13"/>
  <c r="J156" i="13"/>
  <c r="AF154" i="13"/>
  <c r="AI153" i="13"/>
  <c r="T153" i="18"/>
  <c r="X153" i="18" s="1"/>
  <c r="Y153" i="18" s="1"/>
  <c r="S154" i="18"/>
  <c r="T154" i="18" s="1"/>
  <c r="X154" i="18" s="1"/>
  <c r="Y154" i="18" s="1"/>
  <c r="R155" i="18"/>
  <c r="AH158" i="18"/>
  <c r="AI157" i="18"/>
  <c r="K155" i="18"/>
  <c r="O155" i="18" s="1"/>
  <c r="J156" i="18"/>
  <c r="AF161" i="18"/>
  <c r="O155" i="13" l="1"/>
  <c r="X152" i="13"/>
  <c r="Y152" i="13" s="1"/>
  <c r="S154" i="13"/>
  <c r="R155" i="13"/>
  <c r="T153" i="13"/>
  <c r="K156" i="13"/>
  <c r="J157" i="13"/>
  <c r="AF155" i="13"/>
  <c r="AI154" i="13"/>
  <c r="K156" i="18"/>
  <c r="O156" i="18" s="1"/>
  <c r="J157" i="18"/>
  <c r="S155" i="18"/>
  <c r="R156" i="18"/>
  <c r="AF162" i="18"/>
  <c r="AH159" i="18"/>
  <c r="AI158" i="18"/>
  <c r="O156" i="13" l="1"/>
  <c r="T154" i="13"/>
  <c r="X153" i="13"/>
  <c r="Y153" i="13" s="1"/>
  <c r="S155" i="13"/>
  <c r="R156" i="13"/>
  <c r="AF156" i="13"/>
  <c r="AI155" i="13"/>
  <c r="K157" i="13"/>
  <c r="J158" i="13"/>
  <c r="AH160" i="18"/>
  <c r="AI159" i="18"/>
  <c r="T155" i="18"/>
  <c r="X155" i="18" s="1"/>
  <c r="Y155" i="18" s="1"/>
  <c r="K157" i="18"/>
  <c r="O157" i="18" s="1"/>
  <c r="J158" i="18"/>
  <c r="AF163" i="18"/>
  <c r="S156" i="18"/>
  <c r="R157" i="18"/>
  <c r="O157" i="13" l="1"/>
  <c r="X154" i="13"/>
  <c r="Y154" i="13" s="1"/>
  <c r="S156" i="13"/>
  <c r="R157" i="13"/>
  <c r="T155" i="13"/>
  <c r="AF157" i="13"/>
  <c r="AI156" i="13"/>
  <c r="K158" i="13"/>
  <c r="J159" i="13"/>
  <c r="AF164" i="18"/>
  <c r="S157" i="18"/>
  <c r="R158" i="18"/>
  <c r="K158" i="18"/>
  <c r="O158" i="18" s="1"/>
  <c r="J159" i="18"/>
  <c r="T156" i="18"/>
  <c r="X156" i="18" s="1"/>
  <c r="Y156" i="18" s="1"/>
  <c r="AH161" i="18"/>
  <c r="AI160" i="18"/>
  <c r="O158" i="13" l="1"/>
  <c r="T156" i="13"/>
  <c r="X155" i="13"/>
  <c r="Y155" i="13" s="1"/>
  <c r="R158" i="13"/>
  <c r="S157" i="13"/>
  <c r="K159" i="13"/>
  <c r="J160" i="13"/>
  <c r="AF158" i="13"/>
  <c r="AI157" i="13"/>
  <c r="S158" i="18"/>
  <c r="R159" i="18"/>
  <c r="T157" i="18"/>
  <c r="X157" i="18" s="1"/>
  <c r="Y157" i="18" s="1"/>
  <c r="K159" i="18"/>
  <c r="O159" i="18" s="1"/>
  <c r="J160" i="18"/>
  <c r="AH162" i="18"/>
  <c r="AI161" i="18"/>
  <c r="AF165" i="18"/>
  <c r="O159" i="13" l="1"/>
  <c r="X156" i="13"/>
  <c r="Y156" i="13" s="1"/>
  <c r="T157" i="13"/>
  <c r="S158" i="13"/>
  <c r="R159" i="13"/>
  <c r="K160" i="13"/>
  <c r="J161" i="13"/>
  <c r="AF159" i="13"/>
  <c r="AI158" i="13"/>
  <c r="S159" i="18"/>
  <c r="R160" i="18"/>
  <c r="AH163" i="18"/>
  <c r="AI162" i="18"/>
  <c r="AF166" i="18"/>
  <c r="K160" i="18"/>
  <c r="O160" i="18" s="1"/>
  <c r="J161" i="18"/>
  <c r="T158" i="18"/>
  <c r="X158" i="18" s="1"/>
  <c r="Y158" i="18" s="1"/>
  <c r="O160" i="13" l="1"/>
  <c r="X157" i="13"/>
  <c r="Y157" i="13" s="1"/>
  <c r="T158" i="13"/>
  <c r="S159" i="13"/>
  <c r="R160" i="13"/>
  <c r="AF160" i="13"/>
  <c r="AI159" i="13"/>
  <c r="K161" i="13"/>
  <c r="J162" i="13"/>
  <c r="AH164" i="18"/>
  <c r="AI163" i="18"/>
  <c r="K161" i="18"/>
  <c r="O161" i="18" s="1"/>
  <c r="J162" i="18"/>
  <c r="S160" i="18"/>
  <c r="R161" i="18"/>
  <c r="AF167" i="18"/>
  <c r="T159" i="18"/>
  <c r="X159" i="18" s="1"/>
  <c r="Y159" i="18" s="1"/>
  <c r="O161" i="13" l="1"/>
  <c r="X158" i="13"/>
  <c r="Y158" i="13" s="1"/>
  <c r="R161" i="13"/>
  <c r="S160" i="13"/>
  <c r="T159" i="13"/>
  <c r="K162" i="13"/>
  <c r="J163" i="13"/>
  <c r="AF161" i="13"/>
  <c r="AI160" i="13"/>
  <c r="K162" i="18"/>
  <c r="O162" i="18" s="1"/>
  <c r="J163" i="18"/>
  <c r="S161" i="18"/>
  <c r="R162" i="18"/>
  <c r="AF168" i="18"/>
  <c r="T160" i="18"/>
  <c r="X160" i="18" s="1"/>
  <c r="Y160" i="18" s="1"/>
  <c r="AH165" i="18"/>
  <c r="AI164" i="18"/>
  <c r="O162" i="13" l="1"/>
  <c r="X159" i="13"/>
  <c r="Y159" i="13" s="1"/>
  <c r="T160" i="13"/>
  <c r="S161" i="13"/>
  <c r="R162" i="13"/>
  <c r="AF162" i="13"/>
  <c r="AI161" i="13"/>
  <c r="K163" i="13"/>
  <c r="J164" i="13"/>
  <c r="T161" i="18"/>
  <c r="X161" i="18" s="1"/>
  <c r="Y161" i="18" s="1"/>
  <c r="AF169" i="18"/>
  <c r="K163" i="18"/>
  <c r="O163" i="18" s="1"/>
  <c r="J164" i="18"/>
  <c r="AH166" i="18"/>
  <c r="AI165" i="18"/>
  <c r="S162" i="18"/>
  <c r="R163" i="18"/>
  <c r="O163" i="13" l="1"/>
  <c r="X160" i="13"/>
  <c r="Y160" i="13" s="1"/>
  <c r="T161" i="13"/>
  <c r="S162" i="13"/>
  <c r="R163" i="13"/>
  <c r="K164" i="13"/>
  <c r="J165" i="13"/>
  <c r="AF163" i="13"/>
  <c r="AI162" i="13"/>
  <c r="S163" i="18"/>
  <c r="R164" i="18"/>
  <c r="AF170" i="18"/>
  <c r="T162" i="18"/>
  <c r="X162" i="18" s="1"/>
  <c r="Y162" i="18" s="1"/>
  <c r="K164" i="18"/>
  <c r="O164" i="18" s="1"/>
  <c r="J165" i="18"/>
  <c r="AH167" i="18"/>
  <c r="AI166" i="18"/>
  <c r="O164" i="13" l="1"/>
  <c r="X161" i="13"/>
  <c r="Y161" i="13" s="1"/>
  <c r="T162" i="13"/>
  <c r="R164" i="13"/>
  <c r="S163" i="13"/>
  <c r="AF164" i="13"/>
  <c r="AI163" i="13"/>
  <c r="K165" i="13"/>
  <c r="AF171" i="18"/>
  <c r="AH168" i="18"/>
  <c r="AI167" i="18"/>
  <c r="S164" i="18"/>
  <c r="R165" i="18"/>
  <c r="K165" i="18"/>
  <c r="O165" i="18" s="1"/>
  <c r="J166" i="18"/>
  <c r="T163" i="18"/>
  <c r="X163" i="18" s="1"/>
  <c r="Y163" i="18" s="1"/>
  <c r="O165" i="13" l="1"/>
  <c r="X162" i="13"/>
  <c r="Y162" i="13" s="1"/>
  <c r="T163" i="13"/>
  <c r="R165" i="13"/>
  <c r="S164" i="13"/>
  <c r="D113" i="13"/>
  <c r="AF165" i="13"/>
  <c r="AI165" i="13" s="1"/>
  <c r="AI164" i="13"/>
  <c r="K166" i="18"/>
  <c r="J167" i="18"/>
  <c r="O166" i="18"/>
  <c r="AH169" i="18"/>
  <c r="AI168" i="18"/>
  <c r="S165" i="18"/>
  <c r="R166" i="18"/>
  <c r="T164" i="18"/>
  <c r="X164" i="18" s="1"/>
  <c r="Y164" i="18" s="1"/>
  <c r="AF172" i="18"/>
  <c r="T164" i="13" l="1"/>
  <c r="X163" i="13"/>
  <c r="Y163" i="13" s="1"/>
  <c r="S165" i="13"/>
  <c r="Y164" i="13"/>
  <c r="S166" i="18"/>
  <c r="T166" i="18" s="1"/>
  <c r="X166" i="18" s="1"/>
  <c r="Y166" i="18" s="1"/>
  <c r="R167" i="18"/>
  <c r="AF173" i="18"/>
  <c r="T165" i="18"/>
  <c r="X165" i="18" s="1"/>
  <c r="Y165" i="18" s="1"/>
  <c r="K167" i="18"/>
  <c r="O167" i="18" s="1"/>
  <c r="J168" i="18"/>
  <c r="AH170" i="18"/>
  <c r="AI169" i="18"/>
  <c r="T165" i="13" l="1"/>
  <c r="X164" i="13"/>
  <c r="AF174" i="18"/>
  <c r="AH171" i="18"/>
  <c r="AI170" i="18"/>
  <c r="S167" i="18"/>
  <c r="R168" i="18"/>
  <c r="K168" i="18"/>
  <c r="O168" i="18" s="1"/>
  <c r="J169" i="18"/>
  <c r="X165" i="13" l="1"/>
  <c r="Y165" i="13" s="1"/>
  <c r="K169" i="18"/>
  <c r="O169" i="18" s="1"/>
  <c r="J170" i="18"/>
  <c r="AH172" i="18"/>
  <c r="AI171" i="18"/>
  <c r="S168" i="18"/>
  <c r="R169" i="18"/>
  <c r="T167" i="18"/>
  <c r="X167" i="18" s="1"/>
  <c r="Y167" i="18" s="1"/>
  <c r="AF175" i="18"/>
  <c r="C113" i="13" l="1"/>
  <c r="E113" i="13" s="1"/>
  <c r="C127" i="13" s="1"/>
  <c r="E21" i="24" s="1"/>
  <c r="E25" i="24" s="1"/>
  <c r="AH173" i="18"/>
  <c r="AI172" i="18"/>
  <c r="S169" i="18"/>
  <c r="T169" i="18" s="1"/>
  <c r="X169" i="18" s="1"/>
  <c r="Y169" i="18" s="1"/>
  <c r="R170" i="18"/>
  <c r="K170" i="18"/>
  <c r="O170" i="18" s="1"/>
  <c r="J171" i="18"/>
  <c r="AF176" i="18"/>
  <c r="T168" i="18"/>
  <c r="X168" i="18" s="1"/>
  <c r="Y168" i="18" s="1"/>
  <c r="F127" i="13" l="1"/>
  <c r="AF177" i="18"/>
  <c r="K171" i="18"/>
  <c r="O171" i="18" s="1"/>
  <c r="J172" i="18"/>
  <c r="S170" i="18"/>
  <c r="R171" i="18"/>
  <c r="AH174" i="18"/>
  <c r="AI173" i="18"/>
  <c r="AH175" i="18" l="1"/>
  <c r="AI174" i="18"/>
  <c r="K172" i="18"/>
  <c r="O172" i="18" s="1"/>
  <c r="J173" i="18"/>
  <c r="S171" i="18"/>
  <c r="R172" i="18"/>
  <c r="T170" i="18"/>
  <c r="X170" i="18" s="1"/>
  <c r="Y170" i="18" s="1"/>
  <c r="AF178" i="18"/>
  <c r="K173" i="18" l="1"/>
  <c r="O173" i="18" s="1"/>
  <c r="J174" i="18"/>
  <c r="S172" i="18"/>
  <c r="T172" i="18" s="1"/>
  <c r="X172" i="18" s="1"/>
  <c r="Y172" i="18" s="1"/>
  <c r="R173" i="18"/>
  <c r="AF179" i="18"/>
  <c r="T171" i="18"/>
  <c r="X171" i="18" s="1"/>
  <c r="Y171" i="18" s="1"/>
  <c r="AH176" i="18"/>
  <c r="AI175" i="18"/>
  <c r="S173" i="18" l="1"/>
  <c r="T173" i="18" s="1"/>
  <c r="X173" i="18" s="1"/>
  <c r="Y173" i="18" s="1"/>
  <c r="R174" i="18"/>
  <c r="K174" i="18"/>
  <c r="O174" i="18" s="1"/>
  <c r="J175" i="18"/>
  <c r="AH177" i="18"/>
  <c r="AI176" i="18"/>
  <c r="AF180" i="18"/>
  <c r="K175" i="18" l="1"/>
  <c r="O175" i="18" s="1"/>
  <c r="J176" i="18"/>
  <c r="AH178" i="18"/>
  <c r="AI177" i="18"/>
  <c r="S174" i="18"/>
  <c r="R175" i="18"/>
  <c r="AF181" i="18"/>
  <c r="AH179" i="18" l="1"/>
  <c r="AI178" i="18"/>
  <c r="K176" i="18"/>
  <c r="O176" i="18" s="1"/>
  <c r="J177" i="18"/>
  <c r="AF182" i="18"/>
  <c r="S175" i="18"/>
  <c r="R176" i="18"/>
  <c r="T174" i="18"/>
  <c r="X174" i="18" s="1"/>
  <c r="Y174" i="18" s="1"/>
  <c r="K177" i="18" l="1"/>
  <c r="O177" i="18" s="1"/>
  <c r="J178" i="18"/>
  <c r="AF183" i="18"/>
  <c r="T175" i="18"/>
  <c r="X175" i="18" s="1"/>
  <c r="Y175" i="18" s="1"/>
  <c r="S176" i="18"/>
  <c r="R177" i="18"/>
  <c r="AH180" i="18"/>
  <c r="AI179" i="18"/>
  <c r="T176" i="18" l="1"/>
  <c r="X176" i="18" s="1"/>
  <c r="Y176" i="18" s="1"/>
  <c r="AH181" i="18"/>
  <c r="AI180" i="18"/>
  <c r="K178" i="18"/>
  <c r="O178" i="18" s="1"/>
  <c r="J179" i="18"/>
  <c r="AF184" i="18"/>
  <c r="S177" i="18"/>
  <c r="T177" i="18" s="1"/>
  <c r="X177" i="18" s="1"/>
  <c r="Y177" i="18" s="1"/>
  <c r="R178" i="18"/>
  <c r="AH182" i="18" l="1"/>
  <c r="AI181" i="18"/>
  <c r="AF185" i="18"/>
  <c r="S178" i="18"/>
  <c r="T178" i="18" s="1"/>
  <c r="X178" i="18" s="1"/>
  <c r="Y178" i="18" s="1"/>
  <c r="R179" i="18"/>
  <c r="K179" i="18"/>
  <c r="O179" i="18" s="1"/>
  <c r="J180" i="18"/>
  <c r="AF186" i="18" l="1"/>
  <c r="K180" i="18"/>
  <c r="O180" i="18" s="1"/>
  <c r="J181" i="18"/>
  <c r="S179" i="18"/>
  <c r="T179" i="18" s="1"/>
  <c r="X179" i="18" s="1"/>
  <c r="Y179" i="18" s="1"/>
  <c r="R180" i="18"/>
  <c r="AH183" i="18"/>
  <c r="AI182" i="18"/>
  <c r="AH184" i="18" l="1"/>
  <c r="AI183" i="18"/>
  <c r="K181" i="18"/>
  <c r="O181" i="18" s="1"/>
  <c r="J182" i="18"/>
  <c r="S180" i="18"/>
  <c r="T180" i="18" s="1"/>
  <c r="X180" i="18" s="1"/>
  <c r="Y180" i="18" s="1"/>
  <c r="R181" i="18"/>
  <c r="AF187" i="18"/>
  <c r="S181" i="18" l="1"/>
  <c r="T181" i="18" s="1"/>
  <c r="X181" i="18" s="1"/>
  <c r="Y181" i="18" s="1"/>
  <c r="R182" i="18"/>
  <c r="AF188" i="18"/>
  <c r="K182" i="18"/>
  <c r="O182" i="18" s="1"/>
  <c r="J183" i="18"/>
  <c r="AH185" i="18"/>
  <c r="AI184" i="18"/>
  <c r="AH186" i="18" l="1"/>
  <c r="AI185" i="18"/>
  <c r="AF189" i="18"/>
  <c r="K183" i="18"/>
  <c r="O183" i="18" s="1"/>
  <c r="J184" i="18"/>
  <c r="S182" i="18"/>
  <c r="T182" i="18" s="1"/>
  <c r="X182" i="18" s="1"/>
  <c r="Y182" i="18" s="1"/>
  <c r="R183" i="18"/>
  <c r="S183" i="18" l="1"/>
  <c r="R184" i="18"/>
  <c r="AF190" i="18"/>
  <c r="K184" i="18"/>
  <c r="O184" i="18" s="1"/>
  <c r="J185" i="18"/>
  <c r="AH187" i="18"/>
  <c r="AI186" i="18"/>
  <c r="AH188" i="18" l="1"/>
  <c r="AI187" i="18"/>
  <c r="K185" i="18"/>
  <c r="O185" i="18" s="1"/>
  <c r="J186" i="18"/>
  <c r="S184" i="18"/>
  <c r="T184" i="18" s="1"/>
  <c r="X184" i="18" s="1"/>
  <c r="Y184" i="18" s="1"/>
  <c r="R185" i="18"/>
  <c r="AF191" i="18"/>
  <c r="T183" i="18"/>
  <c r="X183" i="18" s="1"/>
  <c r="Y183" i="18" s="1"/>
  <c r="S185" i="18" l="1"/>
  <c r="T185" i="18" s="1"/>
  <c r="X185" i="18" s="1"/>
  <c r="Y185" i="18" s="1"/>
  <c r="R186" i="18"/>
  <c r="AF192" i="18"/>
  <c r="K186" i="18"/>
  <c r="O186" i="18" s="1"/>
  <c r="J187" i="18"/>
  <c r="AH189" i="18"/>
  <c r="AI188" i="18"/>
  <c r="AF193" i="18" l="1"/>
  <c r="S186" i="18"/>
  <c r="T186" i="18" s="1"/>
  <c r="X186" i="18" s="1"/>
  <c r="Y186" i="18" s="1"/>
  <c r="R187" i="18"/>
  <c r="AH190" i="18"/>
  <c r="AI189" i="18"/>
  <c r="K187" i="18"/>
  <c r="O187" i="18" s="1"/>
  <c r="J188" i="18"/>
  <c r="K188" i="18" l="1"/>
  <c r="O188" i="18" s="1"/>
  <c r="J189" i="18"/>
  <c r="S187" i="18"/>
  <c r="T187" i="18" s="1"/>
  <c r="X187" i="18" s="1"/>
  <c r="Y187" i="18" s="1"/>
  <c r="R188" i="18"/>
  <c r="AH191" i="18"/>
  <c r="AI190" i="18"/>
  <c r="AF194" i="18"/>
  <c r="AF195" i="18" l="1"/>
  <c r="AH192" i="18"/>
  <c r="AI191" i="18"/>
  <c r="K189" i="18"/>
  <c r="O189" i="18" s="1"/>
  <c r="J190" i="18"/>
  <c r="S188" i="18"/>
  <c r="T188" i="18" s="1"/>
  <c r="X188" i="18" s="1"/>
  <c r="Y188" i="18" s="1"/>
  <c r="R189" i="18"/>
  <c r="AH193" i="18" l="1"/>
  <c r="AI192" i="18"/>
  <c r="K190" i="18"/>
  <c r="O190" i="18" s="1"/>
  <c r="J191" i="18"/>
  <c r="S189" i="18"/>
  <c r="R190" i="18"/>
  <c r="AF196" i="18"/>
  <c r="AF197" i="18" l="1"/>
  <c r="K191" i="18"/>
  <c r="O191" i="18" s="1"/>
  <c r="J192" i="18"/>
  <c r="S190" i="18"/>
  <c r="T190" i="18" s="1"/>
  <c r="X190" i="18" s="1"/>
  <c r="Y190" i="18" s="1"/>
  <c r="R191" i="18"/>
  <c r="T189" i="18"/>
  <c r="X189" i="18" s="1"/>
  <c r="Y189" i="18" s="1"/>
  <c r="AH194" i="18"/>
  <c r="AI193" i="18"/>
  <c r="AH195" i="18" l="1"/>
  <c r="AI194" i="18"/>
  <c r="K192" i="18"/>
  <c r="O192" i="18" s="1"/>
  <c r="J193" i="18"/>
  <c r="S191" i="18"/>
  <c r="R192" i="18"/>
  <c r="AF198" i="18"/>
  <c r="K193" i="18" l="1"/>
  <c r="O193" i="18" s="1"/>
  <c r="J194" i="18"/>
  <c r="AF199" i="18"/>
  <c r="S192" i="18"/>
  <c r="T192" i="18" s="1"/>
  <c r="X192" i="18" s="1"/>
  <c r="Y192" i="18" s="1"/>
  <c r="R193" i="18"/>
  <c r="T191" i="18"/>
  <c r="X191" i="18" s="1"/>
  <c r="Y191" i="18" s="1"/>
  <c r="AH196" i="18"/>
  <c r="AI195" i="18"/>
  <c r="AF200" i="18" l="1"/>
  <c r="S193" i="18"/>
  <c r="T193" i="18" s="1"/>
  <c r="X193" i="18" s="1"/>
  <c r="Y193" i="18" s="1"/>
  <c r="R194" i="18"/>
  <c r="K194" i="18"/>
  <c r="O194" i="18" s="1"/>
  <c r="J195" i="18"/>
  <c r="AH197" i="18"/>
  <c r="AI196" i="18"/>
  <c r="AH198" i="18" l="1"/>
  <c r="AI197" i="18"/>
  <c r="S194" i="18"/>
  <c r="T194" i="18" s="1"/>
  <c r="X194" i="18" s="1"/>
  <c r="Y194" i="18" s="1"/>
  <c r="R195" i="18"/>
  <c r="K195" i="18"/>
  <c r="O195" i="18" s="1"/>
  <c r="J196" i="18"/>
  <c r="AF201" i="18"/>
  <c r="AF202" i="18" l="1"/>
  <c r="S195" i="18"/>
  <c r="T195" i="18" s="1"/>
  <c r="X195" i="18" s="1"/>
  <c r="Y195" i="18" s="1"/>
  <c r="R196" i="18"/>
  <c r="K196" i="18"/>
  <c r="O196" i="18" s="1"/>
  <c r="J197" i="18"/>
  <c r="AH199" i="18"/>
  <c r="AI198" i="18"/>
  <c r="AH200" i="18" l="1"/>
  <c r="AI199" i="18"/>
  <c r="S196" i="18"/>
  <c r="T196" i="18" s="1"/>
  <c r="X196" i="18" s="1"/>
  <c r="Y196" i="18" s="1"/>
  <c r="R197" i="18"/>
  <c r="K197" i="18"/>
  <c r="O197" i="18" s="1"/>
  <c r="J198" i="18"/>
  <c r="AF203" i="18"/>
  <c r="AF204" i="18" l="1"/>
  <c r="S197" i="18"/>
  <c r="R198" i="18"/>
  <c r="K198" i="18"/>
  <c r="O198" i="18" s="1"/>
  <c r="J199" i="18"/>
  <c r="AH201" i="18"/>
  <c r="AI200" i="18"/>
  <c r="AH202" i="18" l="1"/>
  <c r="AI201" i="18"/>
  <c r="S198" i="18"/>
  <c r="T198" i="18" s="1"/>
  <c r="X198" i="18" s="1"/>
  <c r="Y198" i="18" s="1"/>
  <c r="R199" i="18"/>
  <c r="T197" i="18"/>
  <c r="X197" i="18" s="1"/>
  <c r="Y197" i="18" s="1"/>
  <c r="K199" i="18"/>
  <c r="O199" i="18" s="1"/>
  <c r="J200" i="18"/>
  <c r="AF205" i="18"/>
  <c r="S199" i="18" l="1"/>
  <c r="R200" i="18"/>
  <c r="K200" i="18"/>
  <c r="O200" i="18" s="1"/>
  <c r="J201" i="18"/>
  <c r="AH203" i="18"/>
  <c r="AI202" i="18"/>
  <c r="AH204" i="18" l="1"/>
  <c r="AI203" i="18"/>
  <c r="S200" i="18"/>
  <c r="T200" i="18" s="1"/>
  <c r="X200" i="18" s="1"/>
  <c r="Y200" i="18" s="1"/>
  <c r="R201" i="18"/>
  <c r="K201" i="18"/>
  <c r="O201" i="18" s="1"/>
  <c r="J202" i="18"/>
  <c r="T199" i="18"/>
  <c r="X199" i="18" s="1"/>
  <c r="Y199" i="18" s="1"/>
  <c r="S201" i="18" l="1"/>
  <c r="T201" i="18" s="1"/>
  <c r="X201" i="18" s="1"/>
  <c r="Y201" i="18" s="1"/>
  <c r="R202" i="18"/>
  <c r="K202" i="18"/>
  <c r="O202" i="18" s="1"/>
  <c r="J203" i="18"/>
  <c r="AH205" i="18"/>
  <c r="AI205" i="18" s="1"/>
  <c r="AI204" i="18"/>
  <c r="K203" i="18" l="1"/>
  <c r="O203" i="18" s="1"/>
  <c r="J204" i="18"/>
  <c r="S202" i="18"/>
  <c r="T202" i="18" s="1"/>
  <c r="X202" i="18" s="1"/>
  <c r="Y202" i="18" s="1"/>
  <c r="R203" i="18"/>
  <c r="K204" i="18" l="1"/>
  <c r="O204" i="18" s="1"/>
  <c r="J205" i="18"/>
  <c r="K205" i="18" s="1"/>
  <c r="O205" i="18" s="1"/>
  <c r="S203" i="18"/>
  <c r="T203" i="18" s="1"/>
  <c r="X203" i="18" s="1"/>
  <c r="Y203" i="18" s="1"/>
  <c r="R204" i="18"/>
  <c r="D113" i="18" l="1"/>
  <c r="S204" i="18"/>
  <c r="T204" i="18" s="1"/>
  <c r="X204" i="18" s="1"/>
  <c r="Y204" i="18" s="1"/>
  <c r="R205" i="18"/>
  <c r="S205" i="18" s="1"/>
  <c r="T205" i="18" s="1"/>
  <c r="X205" i="18" s="1"/>
  <c r="Y205" i="18" l="1"/>
  <c r="C113" i="18"/>
  <c r="E113" i="18" s="1"/>
  <c r="C127" i="18" s="1"/>
  <c r="F21" i="24" l="1"/>
  <c r="F127" i="18"/>
  <c r="F25" i="24" l="1"/>
  <c r="J32" i="24"/>
  <c r="R21" i="24"/>
  <c r="J36" i="24" l="1"/>
  <c r="R36" i="24" s="1"/>
  <c r="K32" i="24"/>
  <c r="R25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M.</author>
  </authors>
  <commentList>
    <comment ref="I1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Thomas M.:</t>
        </r>
        <r>
          <rPr>
            <sz val="9"/>
            <color indexed="81"/>
            <rFont val="Tahoma"/>
            <family val="2"/>
          </rPr>
          <t xml:space="preserve">
Thuya Géant (la densité du sapin pectiné est identique à celle du thuya géant. Source : https://tropix.cirad.fr/FichiersComplementaires/FR/Temperees/WESTERN%20RED%20CEDAR.pdf</t>
        </r>
      </text>
    </comment>
  </commentList>
</comments>
</file>

<file path=xl/sharedStrings.xml><?xml version="1.0" encoding="utf-8"?>
<sst xmlns="http://schemas.openxmlformats.org/spreadsheetml/2006/main" count="2008" uniqueCount="291">
  <si>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</si>
  <si>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</si>
  <si>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</si>
  <si>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</si>
  <si>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</si>
  <si>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</si>
  <si>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</si>
  <si>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</si>
  <si>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</si>
  <si>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</si>
  <si>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</si>
  <si>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</si>
  <si>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</si>
  <si>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</si>
  <si>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</si>
  <si>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</si>
  <si>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</si>
  <si>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</si>
  <si>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</si>
  <si>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</si>
  <si>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</si>
  <si>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</si>
  <si>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</si>
  <si>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</si>
  <si>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</si>
  <si>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</si>
  <si>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</si>
  <si>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</si>
  <si>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</si>
  <si>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</si>
  <si>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</si>
  <si>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</si>
  <si>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</si>
  <si>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</si>
  <si>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</si>
  <si>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</si>
  <si>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</si>
  <si>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</si>
  <si>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</si>
  <si>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</si>
  <si>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</si>
  <si>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</si>
  <si>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</si>
  <si>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</si>
  <si>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</si>
  <si>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</si>
  <si>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</si>
  <si>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</si>
  <si>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</si>
  <si>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</si>
  <si>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</si>
  <si>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</si>
  <si>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</si>
  <si>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</si>
  <si>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</si>
  <si>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</si>
  <si>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</si>
  <si>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</si>
  <si>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</si>
  <si>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</si>
  <si>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</si>
  <si>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</si>
  <si>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</si>
  <si>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</si>
  <si>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</si>
  <si>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</si>
  <si>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</si>
  <si>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</si>
  <si>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</si>
  <si>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</si>
  <si>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</si>
  <si>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</si>
  <si>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</si>
  <si>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</si>
  <si>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</si>
  <si>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</si>
  <si>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</si>
  <si>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OUI</t>
  </si>
  <si>
    <t>BO</t>
  </si>
  <si>
    <t>BE</t>
  </si>
  <si>
    <t>BI - papier</t>
  </si>
  <si>
    <t>BI - panneaux</t>
  </si>
  <si>
    <t>BI - générique</t>
  </si>
  <si>
    <t>V(7)</t>
  </si>
  <si>
    <t>Commune</t>
  </si>
  <si>
    <t>DONNEES PRINCIPALES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</si>
  <si>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</si>
  <si>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</si>
  <si>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</si>
  <si>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</si>
  <si>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</si>
  <si>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</si>
  <si>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</si>
  <si>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</si>
  <si>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</si>
  <si>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</si>
  <si>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</si>
  <si>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</si>
  <si>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</si>
  <si>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</si>
  <si>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</si>
  <si>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</si>
  <si>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</si>
  <si>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</si>
  <si>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</si>
  <si>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</si>
  <si>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</si>
  <si>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</si>
  <si>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</si>
  <si>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</si>
  <si>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</si>
  <si>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</si>
  <si>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</si>
  <si>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</si>
  <si>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</si>
  <si>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</si>
  <si>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</si>
  <si>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</si>
  <si>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</si>
  <si>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</si>
  <si>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</si>
  <si>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</si>
  <si>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</si>
  <si>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Nul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</si>
  <si>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</si>
  <si>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</si>
  <si>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</si>
  <si>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</si>
  <si>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</si>
  <si>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</si>
  <si>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</si>
  <si>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</si>
  <si>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</si>
  <si>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</si>
  <si>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</si>
  <si>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</si>
  <si>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</si>
  <si>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</si>
  <si>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</si>
  <si>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</si>
  <si>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</si>
  <si>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</si>
  <si>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</si>
  <si>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</si>
  <si>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</si>
  <si>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</si>
  <si>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</si>
  <si>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</si>
  <si>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</si>
  <si>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</si>
  <si>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</si>
  <si>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</si>
  <si>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</si>
  <si>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</si>
  <si>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</si>
  <si>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</si>
  <si>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</si>
  <si>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</si>
  <si>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</si>
  <si>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</si>
  <si>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</si>
  <si>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</si>
  <si>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</si>
  <si>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</si>
  <si>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</si>
  <si>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</si>
  <si>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</si>
  <si>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</si>
  <si>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</si>
  <si>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</si>
  <si>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</si>
  <si>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</si>
  <si>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</si>
  <si>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</si>
  <si>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</si>
  <si>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</si>
  <si>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</si>
  <si>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</si>
  <si>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</si>
  <si>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</si>
  <si>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</si>
  <si>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</si>
  <si>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</si>
  <si>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</si>
  <si>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</si>
  <si>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</si>
  <si>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</si>
  <si>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t>Volume Sciage (m3/ha)</t>
  </si>
  <si>
    <t>Volume Panneaux (m3/ha)</t>
  </si>
  <si>
    <t>Volume Papier (m3/ha)</t>
  </si>
  <si>
    <t>Volume Energie (m3/ha)</t>
  </si>
  <si>
    <t>Avant rabais</t>
  </si>
  <si>
    <t>Après rabais</t>
  </si>
  <si>
    <t>table</t>
  </si>
  <si>
    <t xml:space="preserve">source : </t>
  </si>
  <si>
    <t>Inflation</t>
  </si>
  <si>
    <t>DEPENSES</t>
  </si>
  <si>
    <t>RECETTES</t>
  </si>
  <si>
    <t>Plantation</t>
  </si>
  <si>
    <t>Entretien</t>
  </si>
  <si>
    <t>Gestion</t>
  </si>
  <si>
    <t>Assurances</t>
  </si>
  <si>
    <t>TFNB</t>
  </si>
  <si>
    <t>Gibier</t>
  </si>
  <si>
    <t>Entretien N+1</t>
  </si>
  <si>
    <t>Entretien N+2</t>
  </si>
  <si>
    <t>Entretien N+3</t>
  </si>
  <si>
    <t>Entretien N+4</t>
  </si>
  <si>
    <t>Entretien N+5</t>
  </si>
  <si>
    <t>Volume Sciage</t>
  </si>
  <si>
    <t>Volume Panneaux</t>
  </si>
  <si>
    <t>Volume papier</t>
  </si>
  <si>
    <t>Volume bois énergie</t>
  </si>
  <si>
    <t>Taxe foncière</t>
  </si>
  <si>
    <t>Entretiens courants</t>
  </si>
  <si>
    <t>Révolution</t>
  </si>
  <si>
    <t>Sols</t>
  </si>
  <si>
    <t>Données communes</t>
  </si>
  <si>
    <t>Honoraires gestion</t>
  </si>
  <si>
    <t>Surface totale</t>
  </si>
  <si>
    <t>€/ha</t>
  </si>
  <si>
    <t>Entret. N+1</t>
  </si>
  <si>
    <t>Entret. N+2</t>
  </si>
  <si>
    <t>Entret. N+3</t>
  </si>
  <si>
    <t>Entret. N+4</t>
  </si>
  <si>
    <t>Entret. N+5</t>
  </si>
  <si>
    <t>Autre entretiens courants</t>
  </si>
  <si>
    <t>Type</t>
  </si>
  <si>
    <t>Feuillus</t>
  </si>
  <si>
    <t>Résineux</t>
  </si>
  <si>
    <t>Peupliers</t>
  </si>
  <si>
    <t>Pin Maritime intensif</t>
  </si>
  <si>
    <t>Coefficients de substitution 30 ans</t>
  </si>
  <si>
    <t>Coefficient appliqué</t>
  </si>
  <si>
    <t>Valeur BO</t>
  </si>
  <si>
    <t>Valeur BI</t>
  </si>
  <si>
    <t>Valeur BE</t>
  </si>
  <si>
    <t>sources :</t>
  </si>
  <si>
    <t>https://franceboisforet.fr/wp-content/uploads/2020/05/Indicateur-2020-des-prix-du-bois-sur-pied-en-for%C3%AAt-priv%C3%A9e.pdf</t>
  </si>
  <si>
    <t>Colonne1</t>
  </si>
  <si>
    <t>http://arborea.com/vente-et-cours-du-bois/feuillus-nobles/</t>
  </si>
  <si>
    <t>http://www.leboisinternational.com/asset/uploads/2019/01/V1902-Cours-bois-sur-pied-Nov-Dec-2018.pdf</t>
  </si>
  <si>
    <t>https://www.europeansa-online.com/bois_sur_pied.php</t>
  </si>
  <si>
    <t>http://observatoire.franceboisforet.com/donnees-de-la-filiere/amont-forestier/experts-forestiers/</t>
  </si>
  <si>
    <t>https://nouvelle-aquitaine.cnpf.fr/n/le-prix-des-bois/n:2396</t>
  </si>
  <si>
    <t>Colonne2</t>
  </si>
  <si>
    <t>Colonne3</t>
  </si>
  <si>
    <t>Colonne4</t>
  </si>
  <si>
    <t>Valeur sur pied (en €/m3)</t>
  </si>
  <si>
    <t>Colonne5</t>
  </si>
  <si>
    <t>??</t>
  </si>
  <si>
    <t>Colonne42</t>
  </si>
  <si>
    <t>Revenu Coupe</t>
  </si>
  <si>
    <t>R(n)-C(n) /(1+r)^n</t>
  </si>
  <si>
    <t>VAN référence</t>
  </si>
  <si>
    <t>DeltaVAN</t>
  </si>
  <si>
    <t>DEPENSES-RECETTES</t>
  </si>
  <si>
    <t>RECETTES ISSUES DES COUPES</t>
  </si>
  <si>
    <t>RECAPITULATIF</t>
  </si>
  <si>
    <t>Destination biomasse éclaircies (avant transformation)</t>
  </si>
  <si>
    <t>néant</t>
  </si>
  <si>
    <t>Moyenne sur 30 ans</t>
  </si>
  <si>
    <t>VAN projet</t>
  </si>
  <si>
    <t>SUBVENTIONS</t>
  </si>
  <si>
    <t>Revenus tirés de la coupe (avant projet)</t>
  </si>
  <si>
    <t>Douglas</t>
  </si>
  <si>
    <t>Gibier/regarnis</t>
  </si>
  <si>
    <t>Forest Management Tables - Hummel and Christies</t>
  </si>
  <si>
    <t>Tables britanniques pour le Douglas</t>
  </si>
  <si>
    <t>Tables britanniques pour le Chene</t>
  </si>
  <si>
    <t>Classe de fertilité 6 (moyenne)</t>
  </si>
  <si>
    <t>Facteur expansion branche</t>
  </si>
  <si>
    <t>Donnay</t>
  </si>
  <si>
    <t>Calvados (14)</t>
  </si>
  <si>
    <t>Normandie</t>
  </si>
  <si>
    <t>Chene sessile / Hêtre / Alisier</t>
  </si>
  <si>
    <t>Pin Sylvestre</t>
  </si>
  <si>
    <t>Tables britanniques pour le Pin Sylvestre</t>
  </si>
  <si>
    <t>Classe de fertilité 20 (forte)</t>
  </si>
  <si>
    <t>Classe de fertilité 10 (moyenne-forte)</t>
  </si>
  <si>
    <t>Pin Maritime</t>
  </si>
  <si>
    <t>Tables britanniques pour le pinus contorta (équivalence indiquée dans les tables britanniques)</t>
  </si>
  <si>
    <t>Mélèze Hybride</t>
  </si>
  <si>
    <t>Tables brittaniques pour le Mélèze Hybride</t>
  </si>
  <si>
    <t>Moyenne - Forte</t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</si>
  <si>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reprise par accrus résineux</t>
    </r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</si>
  <si>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reboisement</t>
    </r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</si>
  <si>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pin laricio touché par une tempête</t>
    </r>
  </si>
  <si>
    <t>Thuya géant</t>
  </si>
  <si>
    <t>Classe de fertilité 20 (moyenne-forte)</t>
  </si>
  <si>
    <t>Tables britanniques pour le thuya géant (western red cedar)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</si>
</sst>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_-;\-* #,##0.00_-;_-* &quot;-&quot;??_-;_-@_-"/>
    <numFmt numFmtId="167" formatCode="0_/&quot; tC/ha&quot;"/>
    <numFmt numFmtId="168" formatCode="0.00&quot; ha&quot;"/>
    <numFmt numFmtId="169" formatCode="_-* #,##0\ _€_-;\-* #,##0\ _€_-;_-* &quot;-&quot;??\ _€_-;_-@_-"/>
    <numFmt numFmtId="170" formatCode="0&quot; m3&quot;"/>
    <numFmt numFmtId="171" formatCode="_-* #,##0&quot; tCO2/ha&quot;\ _€_-;\-* #,##0&quot; tCO2/ha&quot;\ _€_-;_-* &quot;-&quot;??\ _€_-;_-@_-"/>
    <numFmt numFmtId="172" formatCode="0.00&quot; tC02&quot;"/>
    <numFmt numFmtId="173" formatCode="0&quot; ans&quot;"/>
    <numFmt numFmtId="174" formatCode="0.00&quot; m3/an&quot;"/>
    <numFmt numFmtId="175" formatCode="0.0&quot; m3&quot;"/>
    <numFmt numFmtId="176" formatCode="0.0&quot; €/ha/an&quot;"/>
    <numFmt numFmtId="177" formatCode="&quot;à N+&quot;0"/>
    <numFmt numFmtId="178" formatCode="0.0"/>
    <numFmt numFmtId="179" formatCode="_-* #,##0\ &quot;€&quot;_-;\-* #,##0\ &quot;€&quot;_-;_-* &quot;-&quot;??\ &quot;€&quot;_-;_-@_-"/>
    <numFmt numFmtId="180" formatCode="_-* #,##0.0\ _€_-;\-* #,##0.0\ _€_-;_-* &quot;-&quot;??\ _€_-;_-@_-"/>
    <numFmt numFmtId="181" formatCode="&quot;Année &quot;0"/>
    <numFmt numFmtId="182" formatCode="#,##0\ &quot;€&quot;"/>
    <numFmt numFmtId="183" formatCode="0.0000&quot; ha&quot;"/>
    <numFmt numFmtId="184" formatCode="_-* #,##0.0000\ _€_-;\-* #,##0.0000\ _€_-;_-* &quot;-&quot;??\ _€_-;_-@_-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FF0000"/>
      <name val="Gill Sans MT"/>
      <family val="2"/>
    </font>
    <font>
      <sz val="11"/>
      <name val="Gill Sans M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DashDot">
        <color rgb="FFFF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/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thin">
        <color indexed="64"/>
      </bottom>
      <diagonal/>
    </border>
    <border>
      <left style="mediumDashDot">
        <color rgb="FFFF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thin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hair">
        <color indexed="64"/>
      </bottom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thin">
        <color indexed="64"/>
      </bottom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DashDot">
        <color rgb="FFFF0000"/>
      </bottom>
      <diagonal/>
    </border>
    <border>
      <left style="hair">
        <color indexed="64"/>
      </left>
      <right style="hair">
        <color indexed="64"/>
      </right>
      <top/>
      <bottom style="mediumDashDot">
        <color rgb="FFFF0000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DashDot">
        <color rgb="FFFF0000"/>
      </bottom>
      <diagonal/>
    </border>
    <border>
      <left style="thin">
        <color indexed="64"/>
      </left>
      <right style="mediumDashDot">
        <color rgb="FFFF0000"/>
      </right>
      <top style="hair">
        <color indexed="64"/>
      </top>
      <bottom style="mediumDashDot">
        <color rgb="FFFF0000"/>
      </bottom>
      <diagonal/>
    </border>
    <border>
      <left/>
      <right/>
      <top style="mediumDashDotDot">
        <color rgb="FFFF0000"/>
      </top>
      <bottom/>
      <diagonal/>
    </border>
    <border>
      <left/>
      <right style="mediumDashDotDot">
        <color rgb="FFFF0000"/>
      </right>
      <top style="mediumDashDotDot">
        <color rgb="FFFF0000"/>
      </top>
      <bottom/>
      <diagonal/>
    </border>
    <border>
      <left/>
      <right style="mediumDashDotDot">
        <color rgb="FFFF0000"/>
      </right>
      <top/>
      <bottom/>
      <diagonal/>
    </border>
    <border>
      <left/>
      <right/>
      <top/>
      <bottom style="mediumDashDotDot">
        <color rgb="FFFF0000"/>
      </bottom>
      <diagonal/>
    </border>
    <border>
      <left/>
      <right style="mediumDashDotDot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 style="mediumDashDotDot">
        <color rgb="FFFF0000"/>
      </right>
      <top style="mediumDashDotDot">
        <color rgb="FFFF0000"/>
      </top>
      <bottom/>
      <diagonal/>
    </border>
    <border>
      <left style="mediumDashDotDot">
        <color rgb="FFFF0000"/>
      </left>
      <right style="mediumDashDotDot">
        <color rgb="FFFF0000"/>
      </right>
      <top/>
      <bottom/>
      <diagonal/>
    </border>
    <border>
      <left style="mediumDashDotDot">
        <color rgb="FFFF0000"/>
      </left>
      <right style="mediumDashDotDot">
        <color rgb="FFFF0000"/>
      </right>
      <top/>
      <bottom style="mediumDashDotDot">
        <color rgb="FFFF0000"/>
      </bottom>
      <diagonal/>
    </border>
    <border>
      <left style="mediumDashDot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DashDot">
        <color rgb="FFFF0000"/>
      </right>
      <top/>
      <bottom/>
      <diagonal/>
    </border>
    <border>
      <left style="mediumDashDot">
        <color rgb="FFFF0000"/>
      </left>
      <right/>
      <top style="mediumDashDot">
        <color rgb="FFFF0000"/>
      </top>
      <bottom style="mediumDashDot">
        <color rgb="FFFF0000"/>
      </bottom>
      <diagonal/>
    </border>
    <border>
      <left/>
      <right/>
      <top style="mediumDashDot">
        <color rgb="FFFF0000"/>
      </top>
      <bottom style="mediumDashDot">
        <color rgb="FFFF0000"/>
      </bottom>
      <diagonal/>
    </border>
    <border>
      <left/>
      <right style="mediumDashDot">
        <color rgb="FFFF0000"/>
      </right>
      <top style="mediumDashDot">
        <color rgb="FFFF0000"/>
      </top>
      <bottom style="mediumDashDot">
        <color rgb="FFFF0000"/>
      </bottom>
      <diagonal/>
    </border>
    <border>
      <left style="thin">
        <color rgb="FFFF0000"/>
      </left>
      <right/>
      <top style="mediumDashDotDot">
        <color rgb="FFFF0000"/>
      </top>
      <bottom/>
      <diagonal/>
    </border>
    <border>
      <left/>
      <right style="thin">
        <color rgb="FFFF0000"/>
      </right>
      <top style="mediumDashDotDot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mediumDashDotDot">
        <color rgb="FFFF0000"/>
      </bottom>
      <diagonal/>
    </border>
    <border>
      <left/>
      <right style="thin">
        <color rgb="FFFF0000"/>
      </right>
      <top/>
      <bottom style="mediumDashDotDot">
        <color rgb="FFFF0000"/>
      </bottom>
      <diagonal/>
    </border>
    <border>
      <left style="mediumDashDotDot">
        <color rgb="FFFF0000"/>
      </left>
      <right/>
      <top style="mediumDashDotDot">
        <color rgb="FFFF0000"/>
      </top>
      <bottom style="mediumDashDotDot">
        <color rgb="FFFF0000"/>
      </bottom>
      <diagonal/>
    </border>
    <border>
      <left/>
      <right style="mediumDashDotDot">
        <color rgb="FFFF0000"/>
      </right>
      <top style="mediumDashDotDot">
        <color rgb="FFFF0000"/>
      </top>
      <bottom style="mediumDashDotDot">
        <color rgb="FFFF0000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26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0" borderId="0" xfId="0" applyFont="1"/>
    <xf numFmtId="9" fontId="0" fillId="0" borderId="0" xfId="2" applyFont="1"/>
    <xf numFmtId="169" fontId="0" fillId="0" borderId="0" xfId="1" applyNumberFormat="1" applyFont="1"/>
    <xf numFmtId="165" fontId="0" fillId="0" borderId="0" xfId="0" applyNumberFormat="1"/>
    <xf numFmtId="165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2" fillId="0" borderId="0" xfId="0" applyFont="1" applyBorder="1"/>
    <xf numFmtId="0" fontId="13" fillId="0" borderId="0" xfId="0" applyFont="1" applyAlignment="1">
      <alignment wrapText="1"/>
    </xf>
    <xf numFmtId="0" fontId="14" fillId="0" borderId="16" xfId="0" applyFont="1" applyBorder="1" applyAlignment="1">
      <alignment horizontal="center" vertical="center" wrapText="1"/>
    </xf>
    <xf numFmtId="0" fontId="3" fillId="0" borderId="0" xfId="0" applyFont="1" applyAlignment="1"/>
    <xf numFmtId="165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172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27" xfId="1" applyNumberFormat="1" applyFont="1" applyBorder="1" applyAlignment="1">
      <alignment horizontal="center"/>
    </xf>
    <xf numFmtId="165" fontId="0" fillId="0" borderId="2" xfId="1" applyNumberFormat="1" applyFont="1" applyBorder="1" applyAlignment="1">
      <alignment horizontal="center"/>
    </xf>
    <xf numFmtId="165" fontId="0" fillId="0" borderId="35" xfId="1" applyNumberFormat="1" applyFont="1" applyBorder="1" applyAlignment="1">
      <alignment horizontal="center"/>
    </xf>
    <xf numFmtId="165" fontId="0" fillId="0" borderId="38" xfId="1" applyNumberFormat="1" applyFont="1" applyBorder="1" applyAlignment="1">
      <alignment horizontal="center"/>
    </xf>
    <xf numFmtId="165" fontId="0" fillId="0" borderId="23" xfId="0" applyNumberFormat="1" applyBorder="1"/>
    <xf numFmtId="165" fontId="0" fillId="0" borderId="24" xfId="0" applyNumberFormat="1" applyBorder="1"/>
    <xf numFmtId="0" fontId="0" fillId="0" borderId="33" xfId="0" applyBorder="1"/>
    <xf numFmtId="0" fontId="0" fillId="0" borderId="34" xfId="0" applyBorder="1"/>
    <xf numFmtId="170" fontId="0" fillId="0" borderId="34" xfId="0" applyNumberFormat="1" applyBorder="1"/>
    <xf numFmtId="0" fontId="0" fillId="0" borderId="36" xfId="0" applyBorder="1"/>
    <xf numFmtId="170" fontId="0" fillId="0" borderId="37" xfId="0" applyNumberFormat="1" applyBorder="1"/>
    <xf numFmtId="0" fontId="0" fillId="0" borderId="40" xfId="0" applyBorder="1"/>
    <xf numFmtId="170" fontId="0" fillId="0" borderId="41" xfId="0" applyNumberFormat="1" applyBorder="1"/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174" fontId="0" fillId="0" borderId="42" xfId="1" applyNumberFormat="1" applyFont="1" applyBorder="1" applyAlignment="1">
      <alignment horizontal="center"/>
    </xf>
    <xf numFmtId="174" fontId="0" fillId="0" borderId="35" xfId="1" applyNumberFormat="1" applyFont="1" applyBorder="1" applyAlignment="1">
      <alignment horizontal="center"/>
    </xf>
    <xf numFmtId="174" fontId="0" fillId="0" borderId="38" xfId="1" applyNumberFormat="1" applyFont="1" applyBorder="1" applyAlignment="1">
      <alignment horizontal="center"/>
    </xf>
    <xf numFmtId="165" fontId="0" fillId="0" borderId="14" xfId="1" applyNumberFormat="1" applyFont="1" applyBorder="1" applyAlignment="1">
      <alignment horizontal="center"/>
    </xf>
    <xf numFmtId="165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165" fontId="11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5" fontId="9" fillId="0" borderId="14" xfId="1" applyNumberFormat="1" applyFont="1" applyBorder="1" applyAlignment="1">
      <alignment horizontal="center" vertical="center" wrapText="1"/>
    </xf>
    <xf numFmtId="165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5" fontId="18" fillId="0" borderId="46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165" fontId="0" fillId="0" borderId="18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0" fillId="0" borderId="23" xfId="1" applyNumberFormat="1" applyFont="1" applyBorder="1" applyAlignment="1">
      <alignment horizontal="center"/>
    </xf>
    <xf numFmtId="165" fontId="0" fillId="0" borderId="24" xfId="1" applyNumberFormat="1" applyFont="1" applyBorder="1" applyAlignment="1">
      <alignment horizontal="center"/>
    </xf>
    <xf numFmtId="171" fontId="20" fillId="0" borderId="0" xfId="0" applyNumberFormat="1" applyFont="1" applyFill="1"/>
    <xf numFmtId="169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71" fontId="21" fillId="0" borderId="0" xfId="0" applyNumberFormat="1" applyFont="1" applyFill="1"/>
    <xf numFmtId="165" fontId="21" fillId="0" borderId="0" xfId="1" applyNumberFormat="1" applyFont="1" applyAlignment="1">
      <alignment horizontal="center"/>
    </xf>
    <xf numFmtId="0" fontId="20" fillId="0" borderId="0" xfId="0" applyFont="1"/>
    <xf numFmtId="171" fontId="21" fillId="0" borderId="0" xfId="0" applyNumberFormat="1" applyFont="1"/>
    <xf numFmtId="171" fontId="3" fillId="0" borderId="0" xfId="0" applyNumberFormat="1" applyFont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30" xfId="0" applyBorder="1" applyAlignment="1">
      <alignment horizontal="center"/>
    </xf>
    <xf numFmtId="167" fontId="11" fillId="0" borderId="32" xfId="0" applyNumberFormat="1" applyFont="1" applyBorder="1" applyAlignment="1">
      <alignment horizontal="center"/>
    </xf>
    <xf numFmtId="0" fontId="0" fillId="0" borderId="33" xfId="0" applyBorder="1" applyAlignment="1">
      <alignment horizontal="center"/>
    </xf>
    <xf numFmtId="167" fontId="11" fillId="0" borderId="35" xfId="0" applyNumberFormat="1" applyFont="1" applyBorder="1" applyAlignment="1">
      <alignment horizontal="center"/>
    </xf>
    <xf numFmtId="173" fontId="0" fillId="0" borderId="35" xfId="1" applyNumberFormat="1" applyFont="1" applyBorder="1" applyAlignment="1">
      <alignment horizontal="center"/>
    </xf>
    <xf numFmtId="0" fontId="2" fillId="3" borderId="35" xfId="0" applyFont="1" applyFill="1" applyBorder="1" applyAlignment="1">
      <alignment wrapText="1"/>
    </xf>
    <xf numFmtId="173" fontId="2" fillId="3" borderId="35" xfId="1" applyNumberFormat="1" applyFont="1" applyFill="1" applyBorder="1" applyAlignment="1">
      <alignment horizontal="center"/>
    </xf>
    <xf numFmtId="0" fontId="0" fillId="0" borderId="36" xfId="0" applyBorder="1" applyAlignment="1">
      <alignment horizontal="center"/>
    </xf>
    <xf numFmtId="167" fontId="11" fillId="0" borderId="38" xfId="0" applyNumberFormat="1" applyFont="1" applyBorder="1" applyAlignment="1">
      <alignment horizontal="center"/>
    </xf>
    <xf numFmtId="165" fontId="0" fillId="0" borderId="0" xfId="1" applyFont="1" applyBorder="1" applyAlignment="1">
      <alignment horizontal="center"/>
    </xf>
    <xf numFmtId="165" fontId="0" fillId="0" borderId="2" xfId="1" applyFont="1" applyBorder="1" applyAlignment="1">
      <alignment horizontal="center"/>
    </xf>
    <xf numFmtId="165" fontId="8" fillId="3" borderId="38" xfId="1" applyNumberFormat="1" applyFont="1" applyFill="1" applyBorder="1" applyAlignment="1">
      <alignment horizontal="center"/>
    </xf>
    <xf numFmtId="0" fontId="12" fillId="0" borderId="50" xfId="0" applyFont="1" applyBorder="1" applyAlignment="1">
      <alignment wrapText="1"/>
    </xf>
    <xf numFmtId="0" fontId="13" fillId="0" borderId="51" xfId="0" applyFont="1" applyBorder="1" applyAlignment="1">
      <alignment wrapText="1"/>
    </xf>
    <xf numFmtId="0" fontId="13" fillId="0" borderId="51" xfId="0" applyFont="1" applyBorder="1"/>
    <xf numFmtId="0" fontId="12" fillId="0" borderId="52" xfId="0" applyFont="1" applyBorder="1"/>
    <xf numFmtId="0" fontId="13" fillId="0" borderId="54" xfId="0" applyFont="1" applyBorder="1"/>
    <xf numFmtId="0" fontId="13" fillId="0" borderId="55" xfId="0" applyFont="1" applyBorder="1"/>
    <xf numFmtId="172" fontId="12" fillId="0" borderId="55" xfId="0" applyNumberFormat="1" applyFont="1" applyBorder="1"/>
    <xf numFmtId="172" fontId="12" fillId="0" borderId="56" xfId="0" applyNumberFormat="1" applyFont="1" applyBorder="1"/>
    <xf numFmtId="171" fontId="14" fillId="0" borderId="47" xfId="0" applyNumberFormat="1" applyFont="1" applyBorder="1" applyAlignment="1">
      <alignment horizontal="center" vertical="center"/>
    </xf>
    <xf numFmtId="171" fontId="14" fillId="0" borderId="34" xfId="0" applyNumberFormat="1" applyFont="1" applyBorder="1" applyAlignment="1">
      <alignment horizontal="center" vertical="center"/>
    </xf>
    <xf numFmtId="168" fontId="13" fillId="0" borderId="49" xfId="0" applyNumberFormat="1" applyFont="1" applyBorder="1" applyAlignment="1">
      <alignment horizontal="center" vertical="center"/>
    </xf>
    <xf numFmtId="172" fontId="15" fillId="0" borderId="0" xfId="0" applyNumberFormat="1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171" fontId="14" fillId="0" borderId="53" xfId="0" applyNumberFormat="1" applyFont="1" applyBorder="1" applyAlignment="1">
      <alignment horizontal="center" vertical="center"/>
    </xf>
    <xf numFmtId="168" fontId="13" fillId="0" borderId="62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8" fontId="13" fillId="0" borderId="0" xfId="0" applyNumberFormat="1" applyFont="1" applyBorder="1" applyAlignment="1">
      <alignment horizontal="left"/>
    </xf>
    <xf numFmtId="172" fontId="12" fillId="0" borderId="7" xfId="0" applyNumberFormat="1" applyFont="1" applyBorder="1"/>
    <xf numFmtId="9" fontId="14" fillId="0" borderId="26" xfId="2" applyFont="1" applyBorder="1" applyAlignment="1">
      <alignment horizontal="center" vertical="center" wrapText="1"/>
    </xf>
    <xf numFmtId="9" fontId="11" fillId="0" borderId="41" xfId="2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3" fillId="0" borderId="63" xfId="0" applyFont="1" applyBorder="1"/>
    <xf numFmtId="0" fontId="0" fillId="0" borderId="0" xfId="0" applyFill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170" fontId="2" fillId="3" borderId="31" xfId="0" applyNumberFormat="1" applyFont="1" applyFill="1" applyBorder="1"/>
    <xf numFmtId="170" fontId="2" fillId="3" borderId="34" xfId="0" applyNumberFormat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5" fontId="0" fillId="0" borderId="41" xfId="0" applyNumberFormat="1" applyBorder="1"/>
    <xf numFmtId="165" fontId="0" fillId="0" borderId="34" xfId="0" applyNumberFormat="1" applyBorder="1"/>
    <xf numFmtId="174" fontId="24" fillId="0" borderId="35" xfId="1" applyNumberFormat="1" applyFont="1" applyBorder="1" applyAlignment="1">
      <alignment horizontal="center"/>
    </xf>
    <xf numFmtId="165" fontId="0" fillId="0" borderId="29" xfId="1" applyNumberFormat="1" applyFont="1" applyBorder="1" applyAlignment="1">
      <alignment horizontal="center"/>
    </xf>
    <xf numFmtId="165" fontId="0" fillId="0" borderId="37" xfId="0" applyNumberFormat="1" applyBorder="1"/>
    <xf numFmtId="175" fontId="2" fillId="3" borderId="30" xfId="0" applyNumberFormat="1" applyFont="1" applyFill="1" applyBorder="1"/>
    <xf numFmtId="9" fontId="2" fillId="3" borderId="31" xfId="2" applyFont="1" applyFill="1" applyBorder="1" applyAlignment="1">
      <alignment horizontal="center"/>
    </xf>
    <xf numFmtId="9" fontId="2" fillId="3" borderId="32" xfId="2" applyFont="1" applyFill="1" applyBorder="1" applyAlignment="1">
      <alignment horizontal="center"/>
    </xf>
    <xf numFmtId="175" fontId="2" fillId="3" borderId="33" xfId="0" applyNumberFormat="1" applyFont="1" applyFill="1" applyBorder="1"/>
    <xf numFmtId="9" fontId="2" fillId="3" borderId="34" xfId="2" applyFont="1" applyFill="1" applyBorder="1" applyAlignment="1">
      <alignment horizontal="center"/>
    </xf>
    <xf numFmtId="9" fontId="2" fillId="3" borderId="35" xfId="2" applyFont="1" applyFill="1" applyBorder="1" applyAlignment="1">
      <alignment horizontal="center"/>
    </xf>
    <xf numFmtId="9" fontId="2" fillId="3" borderId="38" xfId="2" applyFont="1" applyFill="1" applyBorder="1" applyAlignment="1">
      <alignment horizontal="center"/>
    </xf>
    <xf numFmtId="1" fontId="0" fillId="0" borderId="34" xfId="0" applyNumberFormat="1" applyBorder="1"/>
    <xf numFmtId="1" fontId="0" fillId="0" borderId="37" xfId="0" applyNumberFormat="1" applyBorder="1"/>
    <xf numFmtId="170" fontId="2" fillId="3" borderId="37" xfId="0" applyNumberFormat="1" applyFont="1" applyFill="1" applyBorder="1"/>
    <xf numFmtId="165" fontId="0" fillId="0" borderId="65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2" fillId="0" borderId="0" xfId="0" applyNumberFormat="1" applyFont="1"/>
    <xf numFmtId="165" fontId="0" fillId="2" borderId="14" xfId="1" applyNumberFormat="1" applyFont="1" applyFill="1" applyBorder="1" applyAlignment="1">
      <alignment horizontal="center"/>
    </xf>
    <xf numFmtId="0" fontId="2" fillId="0" borderId="0" xfId="0" applyFont="1" applyFill="1"/>
    <xf numFmtId="172" fontId="13" fillId="0" borderId="0" xfId="0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4" fillId="0" borderId="0" xfId="3" applyBorder="1"/>
    <xf numFmtId="165" fontId="0" fillId="2" borderId="23" xfId="1" applyNumberFormat="1" applyFont="1" applyFill="1" applyBorder="1" applyAlignment="1">
      <alignment horizontal="center"/>
    </xf>
    <xf numFmtId="165" fontId="3" fillId="2" borderId="28" xfId="1" applyNumberFormat="1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7" fillId="0" borderId="0" xfId="3" applyFont="1" applyAlignment="1"/>
    <xf numFmtId="1" fontId="0" fillId="0" borderId="64" xfId="0" applyNumberFormat="1" applyBorder="1"/>
    <xf numFmtId="9" fontId="11" fillId="0" borderId="31" xfId="2" applyFont="1" applyBorder="1" applyAlignment="1">
      <alignment horizontal="center"/>
    </xf>
    <xf numFmtId="1" fontId="0" fillId="0" borderId="20" xfId="0" applyNumberFormat="1" applyBorder="1"/>
    <xf numFmtId="172" fontId="13" fillId="0" borderId="0" xfId="0" applyNumberFormat="1" applyFont="1" applyBorder="1"/>
    <xf numFmtId="165" fontId="3" fillId="0" borderId="14" xfId="5" applyNumberFormat="1" applyFont="1" applyBorder="1" applyAlignment="1">
      <alignment horizontal="center" vertical="center" wrapText="1"/>
    </xf>
    <xf numFmtId="165" fontId="0" fillId="0" borderId="0" xfId="5" applyNumberFormat="1" applyFont="1" applyBorder="1" applyAlignment="1">
      <alignment horizontal="center"/>
    </xf>
    <xf numFmtId="165" fontId="0" fillId="0" borderId="23" xfId="5" applyNumberFormat="1" applyFont="1" applyBorder="1" applyAlignment="1">
      <alignment horizontal="center"/>
    </xf>
    <xf numFmtId="169" fontId="9" fillId="0" borderId="0" xfId="1" applyNumberFormat="1" applyFont="1" applyBorder="1" applyAlignment="1">
      <alignment horizontal="center"/>
    </xf>
    <xf numFmtId="169" fontId="19" fillId="0" borderId="14" xfId="1" applyNumberFormat="1" applyFont="1" applyBorder="1" applyAlignment="1">
      <alignment horizontal="center" vertical="center" wrapText="1"/>
    </xf>
    <xf numFmtId="169" fontId="9" fillId="0" borderId="29" xfId="1" applyNumberFormat="1" applyFont="1" applyBorder="1" applyAlignment="1">
      <alignment horizontal="center"/>
    </xf>
    <xf numFmtId="169" fontId="9" fillId="0" borderId="14" xfId="1" applyNumberFormat="1" applyFont="1" applyBorder="1" applyAlignment="1">
      <alignment horizontal="center" vertical="center" wrapText="1"/>
    </xf>
    <xf numFmtId="175" fontId="2" fillId="2" borderId="36" xfId="0" applyNumberFormat="1" applyFont="1" applyFill="1" applyBorder="1"/>
    <xf numFmtId="9" fontId="2" fillId="2" borderId="34" xfId="2" applyFont="1" applyFill="1" applyBorder="1" applyAlignment="1">
      <alignment horizontal="center"/>
    </xf>
    <xf numFmtId="9" fontId="11" fillId="2" borderId="41" xfId="2" applyFont="1" applyFill="1" applyBorder="1" applyAlignment="1">
      <alignment horizontal="center"/>
    </xf>
    <xf numFmtId="173" fontId="0" fillId="2" borderId="21" xfId="0" applyNumberFormat="1" applyFill="1" applyBorder="1"/>
    <xf numFmtId="165" fontId="11" fillId="0" borderId="0" xfId="5" applyNumberFormat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1" fontId="0" fillId="0" borderId="66" xfId="0" applyNumberFormat="1" applyBorder="1"/>
    <xf numFmtId="165" fontId="5" fillId="0" borderId="0" xfId="1" applyNumberFormat="1" applyFont="1" applyAlignment="1">
      <alignment vertical="center" wrapText="1"/>
    </xf>
    <xf numFmtId="165" fontId="5" fillId="0" borderId="67" xfId="1" applyNumberFormat="1" applyFont="1" applyBorder="1" applyAlignment="1">
      <alignment vertical="center" wrapText="1"/>
    </xf>
    <xf numFmtId="0" fontId="25" fillId="0" borderId="0" xfId="0" applyFont="1" applyAlignment="1">
      <alignment horizontal="left"/>
    </xf>
    <xf numFmtId="0" fontId="2" fillId="2" borderId="0" xfId="0" applyFont="1" applyFill="1" applyAlignment="1">
      <alignment horizontal="right"/>
    </xf>
    <xf numFmtId="165" fontId="0" fillId="2" borderId="0" xfId="1" applyNumberFormat="1" applyFont="1" applyFill="1" applyAlignment="1">
      <alignment horizontal="center"/>
    </xf>
    <xf numFmtId="0" fontId="3" fillId="0" borderId="14" xfId="0" applyFont="1" applyFill="1" applyBorder="1" applyAlignment="1">
      <alignment horizontal="center" vertical="center" wrapText="1"/>
    </xf>
    <xf numFmtId="165" fontId="0" fillId="0" borderId="0" xfId="1" applyNumberFormat="1" applyFont="1" applyFill="1" applyBorder="1" applyAlignment="1">
      <alignment horizontal="center"/>
    </xf>
    <xf numFmtId="165" fontId="0" fillId="0" borderId="14" xfId="1" applyNumberFormat="1" applyFont="1" applyFill="1" applyBorder="1" applyAlignment="1">
      <alignment horizontal="center"/>
    </xf>
    <xf numFmtId="165" fontId="0" fillId="0" borderId="2" xfId="1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/>
    <xf numFmtId="165" fontId="0" fillId="0" borderId="23" xfId="1" applyNumberFormat="1" applyFont="1" applyFill="1" applyBorder="1" applyAlignment="1">
      <alignment horizontal="center"/>
    </xf>
    <xf numFmtId="165" fontId="1" fillId="0" borderId="2" xfId="1" applyNumberFormat="1" applyFont="1" applyFill="1" applyBorder="1" applyAlignment="1">
      <alignment horizontal="center"/>
    </xf>
    <xf numFmtId="165" fontId="1" fillId="0" borderId="14" xfId="1" applyNumberFormat="1" applyFont="1" applyFill="1" applyBorder="1" applyAlignment="1">
      <alignment horizontal="center"/>
    </xf>
    <xf numFmtId="165" fontId="3" fillId="0" borderId="46" xfId="1" applyNumberFormat="1" applyFont="1" applyFill="1" applyBorder="1" applyAlignment="1">
      <alignment horizontal="center"/>
    </xf>
    <xf numFmtId="165" fontId="0" fillId="0" borderId="24" xfId="1" applyNumberFormat="1" applyFont="1" applyFill="1" applyBorder="1" applyAlignment="1">
      <alignment horizontal="center"/>
    </xf>
    <xf numFmtId="0" fontId="26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169" fontId="2" fillId="0" borderId="0" xfId="1" applyNumberFormat="1" applyFont="1" applyFill="1"/>
    <xf numFmtId="169" fontId="11" fillId="0" borderId="33" xfId="1" applyNumberFormat="1" applyFont="1" applyFill="1" applyBorder="1"/>
    <xf numFmtId="169" fontId="11" fillId="0" borderId="34" xfId="1" applyNumberFormat="1" applyFont="1" applyFill="1" applyBorder="1"/>
    <xf numFmtId="169" fontId="11" fillId="0" borderId="35" xfId="1" applyNumberFormat="1" applyFont="1" applyFill="1" applyBorder="1"/>
    <xf numFmtId="169" fontId="11" fillId="0" borderId="36" xfId="1" applyNumberFormat="1" applyFont="1" applyFill="1" applyBorder="1"/>
    <xf numFmtId="169" fontId="11" fillId="0" borderId="37" xfId="1" applyNumberFormat="1" applyFont="1" applyFill="1" applyBorder="1"/>
    <xf numFmtId="169" fontId="11" fillId="0" borderId="38" xfId="1" applyNumberFormat="1" applyFont="1" applyFill="1" applyBorder="1"/>
    <xf numFmtId="0" fontId="18" fillId="0" borderId="43" xfId="0" applyFont="1" applyFill="1" applyBorder="1" applyAlignment="1">
      <alignment horizontal="center"/>
    </xf>
    <xf numFmtId="0" fontId="18" fillId="0" borderId="44" xfId="0" applyFont="1" applyFill="1" applyBorder="1" applyAlignment="1">
      <alignment horizontal="center"/>
    </xf>
    <xf numFmtId="0" fontId="18" fillId="0" borderId="45" xfId="0" applyFont="1" applyFill="1" applyBorder="1" applyAlignment="1">
      <alignment horizontal="center"/>
    </xf>
    <xf numFmtId="177" fontId="2" fillId="0" borderId="0" xfId="1" applyNumberFormat="1" applyFont="1" applyFill="1"/>
    <xf numFmtId="9" fontId="11" fillId="0" borderId="31" xfId="2" applyFont="1" applyFill="1" applyBorder="1" applyAlignment="1">
      <alignment horizontal="center"/>
    </xf>
    <xf numFmtId="9" fontId="11" fillId="0" borderId="41" xfId="2" applyFont="1" applyFill="1" applyBorder="1" applyAlignment="1">
      <alignment horizontal="center"/>
    </xf>
    <xf numFmtId="9" fontId="11" fillId="0" borderId="37" xfId="2" applyFont="1" applyFill="1" applyBorder="1" applyAlignment="1">
      <alignment horizontal="center"/>
    </xf>
    <xf numFmtId="175" fontId="11" fillId="0" borderId="30" xfId="0" applyNumberFormat="1" applyFont="1" applyFill="1" applyBorder="1"/>
    <xf numFmtId="9" fontId="11" fillId="0" borderId="32" xfId="2" applyFont="1" applyFill="1" applyBorder="1" applyAlignment="1">
      <alignment horizontal="center"/>
    </xf>
    <xf numFmtId="175" fontId="11" fillId="0" borderId="33" xfId="0" applyNumberFormat="1" applyFont="1" applyFill="1" applyBorder="1"/>
    <xf numFmtId="9" fontId="11" fillId="0" borderId="34" xfId="2" applyFont="1" applyFill="1" applyBorder="1" applyAlignment="1">
      <alignment horizontal="center"/>
    </xf>
    <xf numFmtId="9" fontId="11" fillId="0" borderId="35" xfId="2" applyFont="1" applyFill="1" applyBorder="1" applyAlignment="1">
      <alignment horizontal="center"/>
    </xf>
    <xf numFmtId="175" fontId="11" fillId="0" borderId="36" xfId="0" applyNumberFormat="1" applyFont="1" applyFill="1" applyBorder="1"/>
    <xf numFmtId="9" fontId="11" fillId="0" borderId="38" xfId="2" applyFont="1" applyFill="1" applyBorder="1" applyAlignment="1">
      <alignment horizontal="center"/>
    </xf>
    <xf numFmtId="0" fontId="18" fillId="0" borderId="63" xfId="0" applyFont="1" applyFill="1" applyBorder="1"/>
    <xf numFmtId="169" fontId="11" fillId="0" borderId="30" xfId="1" applyNumberFormat="1" applyFont="1" applyFill="1" applyBorder="1"/>
    <xf numFmtId="169" fontId="11" fillId="0" borderId="31" xfId="1" applyNumberFormat="1" applyFont="1" applyFill="1" applyBorder="1"/>
    <xf numFmtId="169" fontId="11" fillId="0" borderId="32" xfId="1" applyNumberFormat="1" applyFont="1" applyFill="1" applyBorder="1"/>
    <xf numFmtId="9" fontId="11" fillId="0" borderId="70" xfId="2" applyFont="1" applyFill="1" applyBorder="1" applyAlignment="1">
      <alignment horizontal="center"/>
    </xf>
    <xf numFmtId="0" fontId="3" fillId="0" borderId="0" xfId="0" applyFont="1" applyFill="1"/>
    <xf numFmtId="0" fontId="22" fillId="0" borderId="1" xfId="0" applyFont="1" applyBorder="1" applyAlignment="1">
      <alignment horizontal="center"/>
    </xf>
    <xf numFmtId="169" fontId="19" fillId="0" borderId="17" xfId="1" applyNumberFormat="1" applyFont="1" applyBorder="1" applyAlignment="1">
      <alignment horizontal="center" vertical="center" wrapText="1"/>
    </xf>
    <xf numFmtId="169" fontId="19" fillId="0" borderId="18" xfId="1" applyNumberFormat="1" applyFont="1" applyBorder="1" applyAlignment="1">
      <alignment horizontal="center" vertical="center" wrapText="1"/>
    </xf>
    <xf numFmtId="169" fontId="9" fillId="0" borderId="4" xfId="1" applyNumberFormat="1" applyFont="1" applyBorder="1" applyAlignment="1">
      <alignment horizontal="center"/>
    </xf>
    <xf numFmtId="169" fontId="0" fillId="0" borderId="0" xfId="1" applyNumberFormat="1" applyFont="1" applyBorder="1"/>
    <xf numFmtId="169" fontId="9" fillId="0" borderId="27" xfId="1" applyNumberFormat="1" applyFont="1" applyBorder="1" applyAlignment="1">
      <alignment horizontal="center"/>
    </xf>
    <xf numFmtId="169" fontId="0" fillId="0" borderId="2" xfId="1" applyNumberFormat="1" applyFont="1" applyBorder="1"/>
    <xf numFmtId="169" fontId="9" fillId="0" borderId="2" xfId="1" applyNumberFormat="1" applyFont="1" applyBorder="1" applyAlignment="1">
      <alignment horizontal="center"/>
    </xf>
    <xf numFmtId="169" fontId="9" fillId="0" borderId="24" xfId="1" applyNumberFormat="1" applyFont="1" applyBorder="1" applyAlignment="1">
      <alignment horizontal="center"/>
    </xf>
    <xf numFmtId="169" fontId="0" fillId="0" borderId="3" xfId="1" applyNumberFormat="1" applyFont="1" applyBorder="1" applyAlignment="1">
      <alignment horizontal="center"/>
    </xf>
    <xf numFmtId="165" fontId="11" fillId="0" borderId="5" xfId="5" applyNumberFormat="1" applyFont="1" applyFill="1" applyBorder="1" applyAlignment="1">
      <alignment horizontal="center"/>
    </xf>
    <xf numFmtId="165" fontId="0" fillId="0" borderId="5" xfId="5" applyNumberFormat="1" applyFont="1" applyBorder="1" applyAlignment="1">
      <alignment horizontal="center"/>
    </xf>
    <xf numFmtId="165" fontId="0" fillId="0" borderId="22" xfId="5" applyNumberFormat="1" applyFont="1" applyBorder="1" applyAlignment="1">
      <alignment horizontal="center"/>
    </xf>
    <xf numFmtId="169" fontId="0" fillId="0" borderId="4" xfId="1" applyNumberFormat="1" applyFont="1" applyBorder="1" applyAlignment="1">
      <alignment horizontal="center"/>
    </xf>
    <xf numFmtId="169" fontId="0" fillId="0" borderId="29" xfId="1" applyNumberFormat="1" applyFont="1" applyBorder="1" applyAlignment="1">
      <alignment horizontal="center"/>
    </xf>
    <xf numFmtId="165" fontId="11" fillId="0" borderId="2" xfId="5" applyNumberFormat="1" applyFont="1" applyFill="1" applyBorder="1" applyAlignment="1">
      <alignment horizontal="center"/>
    </xf>
    <xf numFmtId="165" fontId="0" fillId="0" borderId="2" xfId="5" applyNumberFormat="1" applyFont="1" applyBorder="1" applyAlignment="1">
      <alignment horizontal="center"/>
    </xf>
    <xf numFmtId="165" fontId="0" fillId="0" borderId="24" xfId="5" applyNumberFormat="1" applyFont="1" applyBorder="1" applyAlignment="1">
      <alignment horizontal="center"/>
    </xf>
    <xf numFmtId="178" fontId="27" fillId="0" borderId="0" xfId="0" applyNumberFormat="1" applyFont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3" fillId="0" borderId="0" xfId="0" applyFont="1"/>
    <xf numFmtId="168" fontId="18" fillId="0" borderId="72" xfId="0" applyNumberFormat="1" applyFont="1" applyFill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18" fillId="0" borderId="74" xfId="0" applyFont="1" applyFill="1" applyBorder="1" applyAlignment="1">
      <alignment horizontal="center"/>
    </xf>
    <xf numFmtId="1" fontId="11" fillId="0" borderId="75" xfId="0" applyNumberFormat="1" applyFont="1" applyFill="1" applyBorder="1"/>
    <xf numFmtId="179" fontId="18" fillId="0" borderId="76" xfId="4" applyNumberFormat="1" applyFont="1" applyFill="1" applyBorder="1"/>
    <xf numFmtId="1" fontId="11" fillId="0" borderId="77" xfId="0" applyNumberFormat="1" applyFont="1" applyFill="1" applyBorder="1"/>
    <xf numFmtId="179" fontId="18" fillId="0" borderId="78" xfId="4" applyNumberFormat="1" applyFont="1" applyFill="1" applyBorder="1"/>
    <xf numFmtId="173" fontId="11" fillId="0" borderId="79" xfId="0" applyNumberFormat="1" applyFont="1" applyFill="1" applyBorder="1"/>
    <xf numFmtId="179" fontId="18" fillId="0" borderId="80" xfId="4" applyNumberFormat="1" applyFont="1" applyFill="1" applyBorder="1"/>
    <xf numFmtId="0" fontId="11" fillId="0" borderId="81" xfId="0" applyFont="1" applyFill="1" applyBorder="1"/>
    <xf numFmtId="0" fontId="11" fillId="0" borderId="0" xfId="0" applyFont="1" applyFill="1" applyBorder="1"/>
    <xf numFmtId="0" fontId="3" fillId="0" borderId="82" xfId="0" applyFont="1" applyBorder="1"/>
    <xf numFmtId="0" fontId="18" fillId="0" borderId="73" xfId="0" applyFont="1" applyFill="1" applyBorder="1" applyAlignment="1">
      <alignment horizontal="center"/>
    </xf>
    <xf numFmtId="0" fontId="11" fillId="0" borderId="75" xfId="0" applyFont="1" applyFill="1" applyBorder="1"/>
    <xf numFmtId="0" fontId="11" fillId="0" borderId="77" xfId="0" applyFont="1" applyFill="1" applyBorder="1"/>
    <xf numFmtId="0" fontId="11" fillId="0" borderId="83" xfId="0" applyFont="1" applyFill="1" applyBorder="1"/>
    <xf numFmtId="175" fontId="11" fillId="0" borderId="84" xfId="0" applyNumberFormat="1" applyFont="1" applyFill="1" applyBorder="1"/>
    <xf numFmtId="9" fontId="11" fillId="0" borderId="85" xfId="2" applyFont="1" applyFill="1" applyBorder="1" applyAlignment="1">
      <alignment horizontal="center"/>
    </xf>
    <xf numFmtId="9" fontId="11" fillId="0" borderId="86" xfId="2" applyFont="1" applyFill="1" applyBorder="1" applyAlignment="1">
      <alignment horizontal="center"/>
    </xf>
    <xf numFmtId="9" fontId="11" fillId="0" borderId="87" xfId="2" applyFont="1" applyFill="1" applyBorder="1" applyAlignment="1">
      <alignment horizontal="center"/>
    </xf>
    <xf numFmtId="169" fontId="11" fillId="0" borderId="84" xfId="1" applyNumberFormat="1" applyFont="1" applyFill="1" applyBorder="1"/>
    <xf numFmtId="169" fontId="11" fillId="0" borderId="85" xfId="1" applyNumberFormat="1" applyFont="1" applyFill="1" applyBorder="1"/>
    <xf numFmtId="169" fontId="11" fillId="0" borderId="87" xfId="1" applyNumberFormat="1" applyFont="1" applyFill="1" applyBorder="1"/>
    <xf numFmtId="179" fontId="18" fillId="0" borderId="88" xfId="4" applyNumberFormat="1" applyFont="1" applyFill="1" applyBorder="1"/>
    <xf numFmtId="0" fontId="0" fillId="0" borderId="89" xfId="0" applyBorder="1"/>
    <xf numFmtId="0" fontId="3" fillId="0" borderId="89" xfId="0" applyFont="1" applyBorder="1"/>
    <xf numFmtId="0" fontId="0" fillId="0" borderId="89" xfId="0" applyFill="1" applyBorder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169" fontId="0" fillId="0" borderId="91" xfId="1" applyNumberFormat="1" applyFont="1" applyBorder="1"/>
    <xf numFmtId="173" fontId="3" fillId="0" borderId="0" xfId="0" applyNumberFormat="1" applyFont="1" applyFill="1" applyBorder="1"/>
    <xf numFmtId="165" fontId="0" fillId="0" borderId="0" xfId="1" applyNumberFormat="1" applyFont="1" applyBorder="1"/>
    <xf numFmtId="168" fontId="3" fillId="0" borderId="0" xfId="0" applyNumberFormat="1" applyFont="1" applyBorder="1"/>
    <xf numFmtId="0" fontId="2" fillId="3" borderId="0" xfId="0" applyFont="1" applyFill="1" applyBorder="1"/>
    <xf numFmtId="9" fontId="8" fillId="3" borderId="0" xfId="0" applyNumberFormat="1" applyFont="1" applyFill="1" applyBorder="1"/>
    <xf numFmtId="1" fontId="2" fillId="3" borderId="0" xfId="1" applyNumberFormat="1" applyFont="1" applyFill="1" applyBorder="1" applyAlignment="1">
      <alignment horizontal="right"/>
    </xf>
    <xf numFmtId="0" fontId="3" fillId="0" borderId="0" xfId="0" applyFont="1" applyBorder="1"/>
    <xf numFmtId="9" fontId="8" fillId="3" borderId="0" xfId="2" applyFont="1" applyFill="1" applyBorder="1"/>
    <xf numFmtId="176" fontId="29" fillId="3" borderId="0" xfId="4" applyNumberFormat="1" applyFont="1" applyFill="1" applyBorder="1"/>
    <xf numFmtId="176" fontId="29" fillId="3" borderId="0" xfId="0" applyNumberFormat="1" applyFont="1" applyFill="1" applyBorder="1"/>
    <xf numFmtId="0" fontId="0" fillId="0" borderId="92" xfId="0" applyBorder="1"/>
    <xf numFmtId="0" fontId="3" fillId="0" borderId="92" xfId="0" applyFont="1" applyBorder="1"/>
    <xf numFmtId="0" fontId="0" fillId="0" borderId="92" xfId="0" applyFill="1" applyBorder="1"/>
    <xf numFmtId="168" fontId="18" fillId="0" borderId="101" xfId="0" applyNumberFormat="1" applyFont="1" applyFill="1" applyBorder="1" applyAlignment="1">
      <alignment horizontal="center"/>
    </xf>
    <xf numFmtId="169" fontId="22" fillId="0" borderId="14" xfId="1" applyNumberFormat="1" applyFont="1" applyBorder="1" applyAlignment="1">
      <alignment horizontal="center"/>
    </xf>
    <xf numFmtId="165" fontId="6" fillId="0" borderId="67" xfId="1" applyNumberFormat="1" applyFont="1" applyFill="1" applyBorder="1" applyAlignment="1">
      <alignment vertical="center" wrapText="1"/>
    </xf>
    <xf numFmtId="0" fontId="18" fillId="0" borderId="0" xfId="0" applyFont="1" applyFill="1" applyAlignment="1">
      <alignment horizontal="right"/>
    </xf>
    <xf numFmtId="165" fontId="18" fillId="0" borderId="1" xfId="1" applyNumberFormat="1" applyFont="1" applyFill="1" applyBorder="1" applyAlignment="1">
      <alignment horizontal="center"/>
    </xf>
    <xf numFmtId="171" fontId="21" fillId="2" borderId="0" xfId="0" applyNumberFormat="1" applyFont="1" applyFill="1"/>
    <xf numFmtId="169" fontId="21" fillId="2" borderId="0" xfId="1" applyNumberFormat="1" applyFont="1" applyFill="1" applyAlignment="1">
      <alignment horizontal="center"/>
    </xf>
    <xf numFmtId="165" fontId="0" fillId="2" borderId="0" xfId="1" applyFont="1" applyFill="1" applyBorder="1" applyAlignment="1">
      <alignment horizontal="center"/>
    </xf>
    <xf numFmtId="169" fontId="2" fillId="0" borderId="92" xfId="1" applyNumberFormat="1" applyFont="1" applyFill="1" applyBorder="1"/>
    <xf numFmtId="177" fontId="2" fillId="0" borderId="92" xfId="1" applyNumberFormat="1" applyFont="1" applyFill="1" applyBorder="1"/>
    <xf numFmtId="0" fontId="2" fillId="0" borderId="92" xfId="0" applyFont="1" applyFill="1" applyBorder="1"/>
    <xf numFmtId="177" fontId="2" fillId="0" borderId="93" xfId="1" applyNumberFormat="1" applyFont="1" applyFill="1" applyBorder="1"/>
    <xf numFmtId="0" fontId="30" fillId="0" borderId="9" xfId="0" applyFont="1" applyFill="1" applyBorder="1" applyAlignment="1">
      <alignment horizontal="right"/>
    </xf>
    <xf numFmtId="180" fontId="31" fillId="0" borderId="10" xfId="1" applyNumberFormat="1" applyFont="1" applyFill="1" applyBorder="1"/>
    <xf numFmtId="180" fontId="30" fillId="0" borderId="10" xfId="1" applyNumberFormat="1" applyFont="1" applyFill="1" applyBorder="1"/>
    <xf numFmtId="180" fontId="28" fillId="5" borderId="13" xfId="0" applyNumberFormat="1" applyFont="1" applyFill="1" applyBorder="1"/>
    <xf numFmtId="0" fontId="28" fillId="5" borderId="11" xfId="0" applyFont="1" applyFill="1" applyBorder="1" applyAlignment="1">
      <alignment horizontal="right"/>
    </xf>
    <xf numFmtId="0" fontId="0" fillId="0" borderId="107" xfId="0" applyBorder="1"/>
    <xf numFmtId="169" fontId="0" fillId="0" borderId="108" xfId="1" applyNumberFormat="1" applyFont="1" applyBorder="1"/>
    <xf numFmtId="165" fontId="0" fillId="0" borderId="108" xfId="1" applyNumberFormat="1" applyFont="1" applyBorder="1"/>
    <xf numFmtId="0" fontId="0" fillId="0" borderId="109" xfId="0" applyFill="1" applyBorder="1"/>
    <xf numFmtId="0" fontId="2" fillId="0" borderId="110" xfId="0" applyFont="1" applyFill="1" applyBorder="1"/>
    <xf numFmtId="177" fontId="2" fillId="0" borderId="110" xfId="1" applyNumberFormat="1" applyFont="1" applyFill="1" applyBorder="1"/>
    <xf numFmtId="177" fontId="2" fillId="0" borderId="109" xfId="1" applyNumberFormat="1" applyFont="1" applyFill="1" applyBorder="1"/>
    <xf numFmtId="179" fontId="8" fillId="3" borderId="90" xfId="4" applyNumberFormat="1" applyFont="1" applyFill="1" applyBorder="1"/>
    <xf numFmtId="181" fontId="0" fillId="0" borderId="0" xfId="0" applyNumberFormat="1" applyBorder="1" applyAlignment="1">
      <alignment horizontal="right"/>
    </xf>
    <xf numFmtId="179" fontId="8" fillId="3" borderId="91" xfId="4" applyNumberFormat="1" applyFont="1" applyFill="1" applyBorder="1"/>
    <xf numFmtId="181" fontId="0" fillId="0" borderId="92" xfId="0" applyNumberFormat="1" applyBorder="1" applyAlignment="1">
      <alignment horizontal="right"/>
    </xf>
    <xf numFmtId="179" fontId="8" fillId="3" borderId="93" xfId="4" applyNumberFormat="1" applyFont="1" applyFill="1" applyBorder="1"/>
    <xf numFmtId="165" fontId="11" fillId="0" borderId="19" xfId="5" applyNumberFormat="1" applyFont="1" applyFill="1" applyBorder="1" applyAlignment="1">
      <alignment horizontal="center"/>
    </xf>
    <xf numFmtId="165" fontId="11" fillId="0" borderId="27" xfId="5" applyNumberFormat="1" applyFont="1" applyFill="1" applyBorder="1" applyAlignment="1">
      <alignment horizontal="center"/>
    </xf>
    <xf numFmtId="165" fontId="11" fillId="0" borderId="65" xfId="5" applyNumberFormat="1" applyFont="1" applyFill="1" applyBorder="1" applyAlignment="1">
      <alignment horizontal="center"/>
    </xf>
    <xf numFmtId="0" fontId="17" fillId="0" borderId="0" xfId="3" applyFont="1" applyAlignment="1">
      <alignment vertical="center"/>
    </xf>
    <xf numFmtId="0" fontId="17" fillId="0" borderId="0" xfId="3" applyFont="1" applyAlignment="1">
      <alignment vertical="center" wrapText="1"/>
    </xf>
    <xf numFmtId="182" fontId="13" fillId="0" borderId="0" xfId="0" applyNumberFormat="1" applyFont="1" applyBorder="1"/>
    <xf numFmtId="182" fontId="12" fillId="0" borderId="0" xfId="0" applyNumberFormat="1" applyFont="1" applyBorder="1"/>
    <xf numFmtId="1" fontId="2" fillId="3" borderId="41" xfId="5" applyNumberFormat="1" applyFont="1" applyFill="1" applyBorder="1"/>
    <xf numFmtId="169" fontId="9" fillId="0" borderId="0" xfId="1" applyNumberFormat="1" applyFont="1" applyFill="1" applyBorder="1" applyAlignment="1">
      <alignment horizontal="center"/>
    </xf>
    <xf numFmtId="9" fontId="2" fillId="2" borderId="37" xfId="2" applyFont="1" applyFill="1" applyBorder="1" applyAlignment="1">
      <alignment horizontal="center"/>
    </xf>
    <xf numFmtId="9" fontId="11" fillId="2" borderId="70" xfId="2" applyFont="1" applyFill="1" applyBorder="1" applyAlignment="1">
      <alignment horizontal="center"/>
    </xf>
    <xf numFmtId="9" fontId="11" fillId="2" borderId="37" xfId="2" applyFont="1" applyFill="1" applyBorder="1" applyAlignment="1">
      <alignment horizontal="center"/>
    </xf>
    <xf numFmtId="0" fontId="35" fillId="0" borderId="0" xfId="0" applyFont="1"/>
    <xf numFmtId="2" fontId="6" fillId="0" borderId="0" xfId="0" applyNumberFormat="1" applyFont="1" applyAlignment="1">
      <alignment vertical="center" wrapText="1"/>
    </xf>
    <xf numFmtId="2" fontId="0" fillId="0" borderId="0" xfId="0" applyNumberFormat="1"/>
    <xf numFmtId="0" fontId="3" fillId="0" borderId="14" xfId="0" applyFont="1" applyBorder="1" applyAlignment="1">
      <alignment horizontal="center" vertical="center"/>
    </xf>
    <xf numFmtId="0" fontId="36" fillId="0" borderId="0" xfId="0" applyFont="1" applyAlignment="1">
      <alignment vertical="center" wrapText="1"/>
    </xf>
    <xf numFmtId="0" fontId="37" fillId="0" borderId="0" xfId="0" applyFont="1" applyBorder="1"/>
    <xf numFmtId="0" fontId="38" fillId="0" borderId="0" xfId="0" applyFont="1" applyFill="1" applyBorder="1" applyAlignment="1">
      <alignment horizontal="left"/>
    </xf>
    <xf numFmtId="183" fontId="13" fillId="0" borderId="48" xfId="0" applyNumberFormat="1" applyFont="1" applyBorder="1" applyAlignment="1">
      <alignment horizontal="center" vertical="center"/>
    </xf>
    <xf numFmtId="183" fontId="13" fillId="0" borderId="49" xfId="0" applyNumberFormat="1" applyFont="1" applyBorder="1" applyAlignment="1">
      <alignment horizontal="center" vertical="center"/>
    </xf>
    <xf numFmtId="184" fontId="0" fillId="0" borderId="0" xfId="1" applyNumberFormat="1" applyFont="1" applyBorder="1"/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3" borderId="40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3" fillId="3" borderId="42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65" fontId="0" fillId="0" borderId="34" xfId="1" applyNumberFormat="1" applyFont="1" applyBorder="1" applyAlignment="1">
      <alignment horizontal="center"/>
    </xf>
    <xf numFmtId="165" fontId="0" fillId="0" borderId="37" xfId="1" applyNumberFormat="1" applyFont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" fillId="3" borderId="34" xfId="0" applyFont="1" applyFill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3" borderId="31" xfId="0" applyFont="1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165" fontId="22" fillId="0" borderId="3" xfId="1" applyNumberFormat="1" applyFont="1" applyBorder="1" applyAlignment="1">
      <alignment horizontal="center"/>
    </xf>
    <xf numFmtId="165" fontId="22" fillId="0" borderId="5" xfId="1" applyNumberFormat="1" applyFont="1" applyBorder="1" applyAlignment="1">
      <alignment horizontal="center"/>
    </xf>
    <xf numFmtId="165" fontId="22" fillId="0" borderId="19" xfId="1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0" xfId="0" applyFont="1" applyAlignment="1">
      <alignment horizontal="center" vertical="center" textRotation="90"/>
    </xf>
    <xf numFmtId="169" fontId="3" fillId="0" borderId="105" xfId="1" applyNumberFormat="1" applyFont="1" applyBorder="1" applyAlignment="1">
      <alignment horizontal="center"/>
    </xf>
    <xf numFmtId="169" fontId="3" fillId="0" borderId="89" xfId="1" applyNumberFormat="1" applyFont="1" applyBorder="1" applyAlignment="1">
      <alignment horizontal="center"/>
    </xf>
    <xf numFmtId="169" fontId="3" fillId="0" borderId="106" xfId="1" applyNumberFormat="1" applyFont="1" applyBorder="1" applyAlignment="1">
      <alignment horizontal="center"/>
    </xf>
    <xf numFmtId="0" fontId="18" fillId="0" borderId="98" xfId="0" applyFont="1" applyFill="1" applyBorder="1" applyAlignment="1">
      <alignment horizontal="center"/>
    </xf>
    <xf numFmtId="0" fontId="18" fillId="0" borderId="99" xfId="0" applyFont="1" applyFill="1" applyBorder="1" applyAlignment="1">
      <alignment horizontal="center"/>
    </xf>
    <xf numFmtId="0" fontId="18" fillId="0" borderId="100" xfId="0" applyFont="1" applyFill="1" applyBorder="1" applyAlignment="1">
      <alignment horizontal="center"/>
    </xf>
    <xf numFmtId="0" fontId="18" fillId="0" borderId="68" xfId="0" applyFont="1" applyFill="1" applyBorder="1" applyAlignment="1">
      <alignment horizontal="center"/>
    </xf>
    <xf numFmtId="0" fontId="18" fillId="0" borderId="39" xfId="0" applyFont="1" applyFill="1" applyBorder="1" applyAlignment="1">
      <alignment horizontal="center"/>
    </xf>
    <xf numFmtId="0" fontId="18" fillId="0" borderId="69" xfId="0" applyFont="1" applyFill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18" xfId="0" applyFont="1" applyBorder="1" applyAlignment="1">
      <alignment horizontal="center"/>
    </xf>
    <xf numFmtId="0" fontId="32" fillId="0" borderId="102" xfId="0" applyFont="1" applyBorder="1" applyAlignment="1">
      <alignment horizontal="center" vertical="center"/>
    </xf>
    <xf numFmtId="0" fontId="32" fillId="0" borderId="103" xfId="0" applyFont="1" applyBorder="1" applyAlignment="1">
      <alignment horizontal="center" vertical="center"/>
    </xf>
    <xf numFmtId="0" fontId="32" fillId="0" borderId="104" xfId="0" applyFont="1" applyBorder="1" applyAlignment="1">
      <alignment horizontal="center" vertical="center"/>
    </xf>
    <xf numFmtId="0" fontId="33" fillId="0" borderId="94" xfId="0" applyFont="1" applyBorder="1" applyAlignment="1">
      <alignment horizontal="center" vertical="center" textRotation="90"/>
    </xf>
    <xf numFmtId="0" fontId="33" fillId="0" borderId="95" xfId="0" applyFont="1" applyBorder="1" applyAlignment="1">
      <alignment horizontal="center" vertical="center" textRotation="90"/>
    </xf>
    <xf numFmtId="0" fontId="33" fillId="0" borderId="96" xfId="0" applyFont="1" applyBorder="1" applyAlignment="1">
      <alignment horizontal="center" vertical="center" textRotation="90"/>
    </xf>
    <xf numFmtId="0" fontId="34" fillId="0" borderId="6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18" fillId="0" borderId="71" xfId="0" applyFont="1" applyFill="1" applyBorder="1" applyAlignment="1">
      <alignment horizontal="center"/>
    </xf>
    <xf numFmtId="0" fontId="18" fillId="0" borderId="14" xfId="0" applyFont="1" applyFill="1" applyBorder="1" applyAlignment="1">
      <alignment horizontal="center"/>
    </xf>
    <xf numFmtId="0" fontId="18" fillId="0" borderId="18" xfId="0" applyFont="1" applyFill="1" applyBorder="1" applyAlignment="1">
      <alignment horizontal="center"/>
    </xf>
    <xf numFmtId="0" fontId="3" fillId="0" borderId="9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65" xfId="0" applyFont="1" applyBorder="1" applyAlignment="1">
      <alignment horizontal="center"/>
    </xf>
    <xf numFmtId="0" fontId="19" fillId="0" borderId="22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169" fontId="22" fillId="0" borderId="17" xfId="1" applyNumberFormat="1" applyFont="1" applyBorder="1" applyAlignment="1">
      <alignment horizontal="center"/>
    </xf>
    <xf numFmtId="169" fontId="22" fillId="0" borderId="14" xfId="1" applyNumberFormat="1" applyFont="1" applyBorder="1" applyAlignment="1">
      <alignment horizontal="center"/>
    </xf>
    <xf numFmtId="169" fontId="22" fillId="0" borderId="18" xfId="1" applyNumberFormat="1" applyFont="1" applyBorder="1" applyAlignment="1">
      <alignment horizontal="center"/>
    </xf>
    <xf numFmtId="169" fontId="3" fillId="0" borderId="90" xfId="1" applyNumberFormat="1" applyFont="1" applyBorder="1" applyAlignment="1">
      <alignment horizontal="center"/>
    </xf>
    <xf numFmtId="0" fontId="34" fillId="0" borderId="95" xfId="0" applyFont="1" applyBorder="1" applyAlignment="1">
      <alignment horizontal="center" vertical="center"/>
    </xf>
    <xf numFmtId="0" fontId="34" fillId="0" borderId="96" xfId="0" applyFont="1" applyBorder="1" applyAlignment="1">
      <alignment horizontal="center" vertical="center"/>
    </xf>
    <xf numFmtId="0" fontId="8" fillId="0" borderId="111" xfId="0" applyFont="1" applyBorder="1" applyAlignment="1">
      <alignment horizontal="center"/>
    </xf>
    <xf numFmtId="0" fontId="8" fillId="0" borderId="112" xfId="0" applyFont="1" applyBorder="1" applyAlignment="1">
      <alignment horizontal="center"/>
    </xf>
  </cellXfs>
  <cellStyles count="6">
    <cellStyle name="Lien hypertexte" xfId="3" builtinId="8"/>
    <cellStyle name="Milliers" xfId="1" builtinId="3"/>
    <cellStyle name="Milliers 2" xfId="5" xr:uid="{00000000-0005-0000-0000-000002000000}"/>
    <cellStyle name="Monétaire" xfId="4" builtinId="4"/>
    <cellStyle name="Normal" xfId="0" builtinId="0"/>
    <cellStyle name="Pourcentage" xfId="2" builtinId="5"/>
  </cellStyles>
  <dxfs count="46">
    <dxf>
      <font>
        <b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numFmt numFmtId="0" formatCode="General"/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1AB49C"/>
      <color rgb="FF1A7F7F"/>
      <color rgb="FF3237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96981</xdr:colOff>
      <xdr:row>59</xdr:row>
      <xdr:rowOff>69273</xdr:rowOff>
    </xdr:from>
    <xdr:to>
      <xdr:col>6</xdr:col>
      <xdr:colOff>984906</xdr:colOff>
      <xdr:row>89</xdr:row>
      <xdr:rowOff>68662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690" y="13743709"/>
          <a:ext cx="5016580" cy="7189898"/>
        </a:xfrm>
        <a:prstGeom prst="rect">
          <a:avLst/>
        </a:prstGeom>
      </xdr:spPr>
    </xdr:pic>
    <xdr:clientData/>
  </xdr:twoCellAnchor>
  <xdr:twoCellAnchor editAs="oneCell">
    <xdr:from>
      <xdr:col>1</xdr:col>
      <xdr:colOff>112795</xdr:colOff>
      <xdr:row>14</xdr:row>
      <xdr:rowOff>40557</xdr:rowOff>
    </xdr:from>
    <xdr:to>
      <xdr:col>7</xdr:col>
      <xdr:colOff>642258</xdr:colOff>
      <xdr:row>32</xdr:row>
      <xdr:rowOff>8581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1710685" y="2415952"/>
          <a:ext cx="4050167" cy="5678406"/>
        </a:xfrm>
        <a:prstGeom prst="rect">
          <a:avLst/>
        </a:prstGeom>
      </xdr:spPr>
    </xdr:pic>
    <xdr:clientData/>
  </xdr:twoCellAnchor>
  <xdr:twoCellAnchor editAs="oneCell">
    <xdr:from>
      <xdr:col>10</xdr:col>
      <xdr:colOff>705592</xdr:colOff>
      <xdr:row>166</xdr:row>
      <xdr:rowOff>170505</xdr:rowOff>
    </xdr:from>
    <xdr:to>
      <xdr:col>16</xdr:col>
      <xdr:colOff>43948</xdr:colOff>
      <xdr:row>181</xdr:row>
      <xdr:rowOff>167169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52507"/>
        <a:stretch/>
      </xdr:blipFill>
      <xdr:spPr>
        <a:xfrm>
          <a:off x="9614065" y="39323450"/>
          <a:ext cx="5323519" cy="3529574"/>
        </a:xfrm>
        <a:prstGeom prst="rect">
          <a:avLst/>
        </a:prstGeom>
      </xdr:spPr>
    </xdr:pic>
    <xdr:clientData/>
  </xdr:twoCellAnchor>
  <xdr:twoCellAnchor>
    <xdr:from>
      <xdr:col>11</xdr:col>
      <xdr:colOff>338561</xdr:colOff>
      <xdr:row>168</xdr:row>
      <xdr:rowOff>41618</xdr:rowOff>
    </xdr:from>
    <xdr:to>
      <xdr:col>15</xdr:col>
      <xdr:colOff>304800</xdr:colOff>
      <xdr:row>168</xdr:row>
      <xdr:rowOff>200194</xdr:rowOff>
    </xdr:to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10244561" y="39665618"/>
          <a:ext cx="3956348" cy="15857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2</xdr:col>
      <xdr:colOff>81150</xdr:colOff>
      <xdr:row>104</xdr:row>
      <xdr:rowOff>161308</xdr:rowOff>
    </xdr:from>
    <xdr:to>
      <xdr:col>6</xdr:col>
      <xdr:colOff>305437</xdr:colOff>
      <xdr:row>134</xdr:row>
      <xdr:rowOff>221674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9405" y="24711563"/>
          <a:ext cx="4214396" cy="7126184"/>
        </a:xfrm>
        <a:prstGeom prst="rect">
          <a:avLst/>
        </a:prstGeom>
      </xdr:spPr>
    </xdr:pic>
    <xdr:clientData/>
  </xdr:twoCellAnchor>
  <xdr:twoCellAnchor>
    <xdr:from>
      <xdr:col>7</xdr:col>
      <xdr:colOff>707572</xdr:colOff>
      <xdr:row>4</xdr:row>
      <xdr:rowOff>90851</xdr:rowOff>
    </xdr:from>
    <xdr:to>
      <xdr:col>17</xdr:col>
      <xdr:colOff>95010</xdr:colOff>
      <xdr:row>34</xdr:row>
      <xdr:rowOff>78458</xdr:rowOff>
    </xdr:to>
    <xdr:grpSp>
      <xdr:nvGrpSpPr>
        <xdr:cNvPr id="4" name="Group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7311572" y="852851"/>
          <a:ext cx="10499938" cy="5956607"/>
          <a:chOff x="6640286" y="1560422"/>
          <a:chExt cx="9402295" cy="6780293"/>
        </a:xfrm>
      </xdr:grpSpPr>
      <xdr:pic>
        <xdr:nvPicPr>
          <xdr:cNvPr id="27" name="Image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6640286" y="2133600"/>
            <a:ext cx="9402295" cy="6207115"/>
          </a:xfrm>
          <a:prstGeom prst="rect">
            <a:avLst/>
          </a:prstGeom>
        </xdr:spPr>
      </xdr:pic>
      <xdr:pic>
        <xdr:nvPicPr>
          <xdr:cNvPr id="23" name="Image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/>
          <a:srcRect l="3823" t="20511" r="3958" b="55773"/>
          <a:stretch/>
        </xdr:blipFill>
        <xdr:spPr>
          <a:xfrm>
            <a:off x="7837713" y="1560422"/>
            <a:ext cx="7696200" cy="1106579"/>
          </a:xfrm>
          <a:prstGeom prst="rect">
            <a:avLst/>
          </a:prstGeom>
        </xdr:spPr>
      </xdr:pic>
    </xdr:grpSp>
    <xdr:clientData/>
  </xdr:twoCellAnchor>
  <xdr:twoCellAnchor>
    <xdr:from>
      <xdr:col>7</xdr:col>
      <xdr:colOff>381001</xdr:colOff>
      <xdr:row>50</xdr:row>
      <xdr:rowOff>28452</xdr:rowOff>
    </xdr:from>
    <xdr:to>
      <xdr:col>17</xdr:col>
      <xdr:colOff>76200</xdr:colOff>
      <xdr:row>69</xdr:row>
      <xdr:rowOff>168621</xdr:rowOff>
    </xdr:to>
    <xdr:grpSp>
      <xdr:nvGrpSpPr>
        <xdr:cNvPr id="6" name="Grou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pSpPr/>
      </xdr:nvGrpSpPr>
      <xdr:grpSpPr>
        <a:xfrm>
          <a:off x="6985001" y="9807452"/>
          <a:ext cx="10807699" cy="3918419"/>
          <a:chOff x="5214257" y="13559395"/>
          <a:chExt cx="11930743" cy="5468834"/>
        </a:xfrm>
      </xdr:grpSpPr>
      <xdr:pic>
        <xdr:nvPicPr>
          <xdr:cNvPr id="25" name="Image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/>
          <a:srcRect l="608" t="46755" r="263" b="282"/>
          <a:stretch/>
        </xdr:blipFill>
        <xdr:spPr>
          <a:xfrm>
            <a:off x="5214257" y="15098486"/>
            <a:ext cx="11930743" cy="3929743"/>
          </a:xfrm>
          <a:prstGeom prst="rect">
            <a:avLst/>
          </a:prstGeom>
        </xdr:spPr>
      </xdr:pic>
      <xdr:pic>
        <xdr:nvPicPr>
          <xdr:cNvPr id="34" name="Image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/>
          <a:srcRect l="3823" t="20511" r="3958" b="55773"/>
          <a:stretch/>
        </xdr:blipFill>
        <xdr:spPr>
          <a:xfrm>
            <a:off x="5551713" y="13559395"/>
            <a:ext cx="11082837" cy="1593518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221673</xdr:colOff>
      <xdr:row>96</xdr:row>
      <xdr:rowOff>117064</xdr:rowOff>
    </xdr:from>
    <xdr:to>
      <xdr:col>16</xdr:col>
      <xdr:colOff>995204</xdr:colOff>
      <xdr:row>116</xdr:row>
      <xdr:rowOff>121024</xdr:rowOff>
    </xdr:to>
    <xdr:grpSp>
      <xdr:nvGrpSpPr>
        <xdr:cNvPr id="7" name="Grou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5714423" y="19008314"/>
          <a:ext cx="11886031" cy="4004460"/>
          <a:chOff x="5001491" y="24328577"/>
          <a:chExt cx="10748803" cy="4859286"/>
        </a:xfrm>
      </xdr:grpSpPr>
      <xdr:pic>
        <xdr:nvPicPr>
          <xdr:cNvPr id="35" name="Image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/>
          <a:srcRect t="49002"/>
          <a:stretch/>
        </xdr:blipFill>
        <xdr:spPr>
          <a:xfrm>
            <a:off x="5001491" y="25741745"/>
            <a:ext cx="10748803" cy="3446118"/>
          </a:xfrm>
          <a:prstGeom prst="rect">
            <a:avLst/>
          </a:prstGeom>
        </xdr:spPr>
      </xdr:pic>
      <xdr:pic>
        <xdr:nvPicPr>
          <xdr:cNvPr id="36" name="Image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/>
          <a:srcRect l="3823" t="20511" r="3958" b="55773"/>
          <a:stretch/>
        </xdr:blipFill>
        <xdr:spPr>
          <a:xfrm>
            <a:off x="5486399" y="24328577"/>
            <a:ext cx="9737178" cy="1431396"/>
          </a:xfrm>
          <a:prstGeom prst="rect">
            <a:avLst/>
          </a:prstGeom>
        </xdr:spPr>
      </xdr:pic>
    </xdr:grpSp>
    <xdr:clientData/>
  </xdr:twoCellAnchor>
  <xdr:twoCellAnchor editAs="oneCell">
    <xdr:from>
      <xdr:col>6</xdr:col>
      <xdr:colOff>554180</xdr:colOff>
      <xdr:row>148</xdr:row>
      <xdr:rowOff>2711</xdr:rowOff>
    </xdr:from>
    <xdr:to>
      <xdr:col>16</xdr:col>
      <xdr:colOff>864395</xdr:colOff>
      <xdr:row>165</xdr:row>
      <xdr:rowOff>112311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l="-233" t="44827" r="233" b="2311"/>
        <a:stretch/>
      </xdr:blipFill>
      <xdr:spPr>
        <a:xfrm>
          <a:off x="5472544" y="34916166"/>
          <a:ext cx="10285487" cy="4113563"/>
        </a:xfrm>
        <a:prstGeom prst="rect">
          <a:avLst/>
        </a:prstGeom>
      </xdr:spPr>
    </xdr:pic>
    <xdr:clientData/>
  </xdr:twoCellAnchor>
  <xdr:twoCellAnchor editAs="oneCell">
    <xdr:from>
      <xdr:col>2</xdr:col>
      <xdr:colOff>235528</xdr:colOff>
      <xdr:row>150</xdr:row>
      <xdr:rowOff>180953</xdr:rowOff>
    </xdr:from>
    <xdr:to>
      <xdr:col>6</xdr:col>
      <xdr:colOff>554183</xdr:colOff>
      <xdr:row>181</xdr:row>
      <xdr:rowOff>100201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63783" y="35565462"/>
          <a:ext cx="4308764" cy="7220594"/>
        </a:xfrm>
        <a:prstGeom prst="rect">
          <a:avLst/>
        </a:prstGeom>
      </xdr:spPr>
    </xdr:pic>
    <xdr:clientData/>
  </xdr:twoCellAnchor>
  <xdr:twoCellAnchor>
    <xdr:from>
      <xdr:col>7</xdr:col>
      <xdr:colOff>124692</xdr:colOff>
      <xdr:row>142</xdr:row>
      <xdr:rowOff>160263</xdr:rowOff>
    </xdr:from>
    <xdr:to>
      <xdr:col>16</xdr:col>
      <xdr:colOff>360220</xdr:colOff>
      <xdr:row>148</xdr:row>
      <xdr:rowOff>103604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823" t="20511" r="3958" b="55773"/>
        <a:stretch/>
      </xdr:blipFill>
      <xdr:spPr>
        <a:xfrm>
          <a:off x="6040583" y="33660554"/>
          <a:ext cx="9213273" cy="1356505"/>
        </a:xfrm>
        <a:prstGeom prst="rect">
          <a:avLst/>
        </a:prstGeom>
      </xdr:spPr>
    </xdr:pic>
    <xdr:clientData/>
  </xdr:twoCellAnchor>
  <xdr:twoCellAnchor editAs="oneCell">
    <xdr:from>
      <xdr:col>6</xdr:col>
      <xdr:colOff>817418</xdr:colOff>
      <xdr:row>194</xdr:row>
      <xdr:rowOff>83127</xdr:rowOff>
    </xdr:from>
    <xdr:to>
      <xdr:col>16</xdr:col>
      <xdr:colOff>903053</xdr:colOff>
      <xdr:row>208</xdr:row>
      <xdr:rowOff>222530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45682"/>
        <a:stretch/>
      </xdr:blipFill>
      <xdr:spPr>
        <a:xfrm>
          <a:off x="5735782" y="45830836"/>
          <a:ext cx="10060907" cy="3436785"/>
        </a:xfrm>
        <a:prstGeom prst="rect">
          <a:avLst/>
        </a:prstGeom>
      </xdr:spPr>
    </xdr:pic>
    <xdr:clientData/>
  </xdr:twoCellAnchor>
  <xdr:twoCellAnchor editAs="oneCell">
    <xdr:from>
      <xdr:col>1</xdr:col>
      <xdr:colOff>55419</xdr:colOff>
      <xdr:row>197</xdr:row>
      <xdr:rowOff>0</xdr:rowOff>
    </xdr:from>
    <xdr:to>
      <xdr:col>6</xdr:col>
      <xdr:colOff>296727</xdr:colOff>
      <xdr:row>227</xdr:row>
      <xdr:rowOff>27709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45128" y="46454291"/>
          <a:ext cx="4369963" cy="7093527"/>
        </a:xfrm>
        <a:prstGeom prst="rect">
          <a:avLst/>
        </a:prstGeom>
      </xdr:spPr>
    </xdr:pic>
    <xdr:clientData/>
  </xdr:twoCellAnchor>
  <xdr:twoCellAnchor>
    <xdr:from>
      <xdr:col>7</xdr:col>
      <xdr:colOff>387926</xdr:colOff>
      <xdr:row>188</xdr:row>
      <xdr:rowOff>209646</xdr:rowOff>
    </xdr:from>
    <xdr:to>
      <xdr:col>16</xdr:col>
      <xdr:colOff>193964</xdr:colOff>
      <xdr:row>194</xdr:row>
      <xdr:rowOff>89752</xdr:rowOff>
    </xdr:to>
    <xdr:pic>
      <xdr:nvPicPr>
        <xdr:cNvPr id="42" name="Imag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823" t="20511" r="3958" b="55773"/>
        <a:stretch/>
      </xdr:blipFill>
      <xdr:spPr>
        <a:xfrm>
          <a:off x="6303817" y="44544191"/>
          <a:ext cx="8783783" cy="1293270"/>
        </a:xfrm>
        <a:prstGeom prst="rect">
          <a:avLst/>
        </a:prstGeom>
      </xdr:spPr>
    </xdr:pic>
    <xdr:clientData/>
  </xdr:twoCellAnchor>
  <xdr:twoCellAnchor editAs="oneCell">
    <xdr:from>
      <xdr:col>6</xdr:col>
      <xdr:colOff>73836</xdr:colOff>
      <xdr:row>240</xdr:row>
      <xdr:rowOff>216477</xdr:rowOff>
    </xdr:from>
    <xdr:to>
      <xdr:col>16</xdr:col>
      <xdr:colOff>852863</xdr:colOff>
      <xdr:row>256</xdr:row>
      <xdr:rowOff>177823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/>
        <a:srcRect t="46551"/>
        <a:stretch/>
      </xdr:blipFill>
      <xdr:spPr>
        <a:xfrm>
          <a:off x="4950636" y="55213827"/>
          <a:ext cx="10685027" cy="361894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19051</xdr:colOff>
      <xdr:row>244</xdr:row>
      <xdr:rowOff>76200</xdr:rowOff>
    </xdr:from>
    <xdr:to>
      <xdr:col>5</xdr:col>
      <xdr:colOff>983199</xdr:colOff>
      <xdr:row>270</xdr:row>
      <xdr:rowOff>77024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33451" y="55987950"/>
          <a:ext cx="3935948" cy="5944424"/>
        </a:xfrm>
        <a:prstGeom prst="rect">
          <a:avLst/>
        </a:prstGeom>
      </xdr:spPr>
    </xdr:pic>
    <xdr:clientData/>
  </xdr:twoCellAnchor>
  <xdr:twoCellAnchor>
    <xdr:from>
      <xdr:col>6</xdr:col>
      <xdr:colOff>495300</xdr:colOff>
      <xdr:row>235</xdr:row>
      <xdr:rowOff>88754</xdr:rowOff>
    </xdr:from>
    <xdr:to>
      <xdr:col>16</xdr:col>
      <xdr:colOff>152400</xdr:colOff>
      <xdr:row>241</xdr:row>
      <xdr:rowOff>89656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l="3823" t="20511" r="3958" b="55773"/>
        <a:stretch/>
      </xdr:blipFill>
      <xdr:spPr>
        <a:xfrm>
          <a:off x="5372100" y="53943104"/>
          <a:ext cx="9563100" cy="137250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au145" displayName="Tableau145" ref="C130:F196" totalsRowShown="0" headerRowDxfId="45" dataDxfId="44">
  <autoFilter ref="C130:F196" xr:uid="{00000000-0009-0000-0100-000004000000}"/>
  <tableColumns count="4">
    <tableColumn id="1" xr3:uid="{00000000-0010-0000-0000-000001000000}" name="Essence " dataDxfId="43"/>
    <tableColumn id="2" xr3:uid="{00000000-0010-0000-0000-000002000000}" name="Infradensité (tMS/m3) " dataDxfId="42"/>
    <tableColumn id="3" xr3:uid="{00000000-0010-0000-0000-000003000000}" name="Type" dataDxfId="41"/>
    <tableColumn id="4" xr3:uid="{00000000-0010-0000-0000-000004000000}" name="Facteur expansion branche" dataDxfId="40">
      <calculatedColumnFormula>IF(OR(Tableau145[[#This Row],[Type]]="Feuillus",Tableau145[[#This Row],[Type]]="Peupliers"),1.56,1.3)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au1456" displayName="Tableau1456" ref="C130:F196" totalsRowShown="0" headerRowDxfId="39" dataDxfId="38">
  <autoFilter ref="C130:F196" xr:uid="{00000000-0009-0000-0100-000005000000}"/>
  <tableColumns count="4">
    <tableColumn id="1" xr3:uid="{00000000-0010-0000-0100-000001000000}" name="Essence " dataDxfId="37"/>
    <tableColumn id="2" xr3:uid="{00000000-0010-0000-0100-000002000000}" name="Infradensité (tMS/m3) " dataDxfId="36"/>
    <tableColumn id="3" xr3:uid="{00000000-0010-0000-0100-000003000000}" name="Type" dataDxfId="35"/>
    <tableColumn id="4" xr3:uid="{00000000-0010-0000-0100-000004000000}" name="Facteur expansion branche" dataDxfId="34">
      <calculatedColumnFormula>IF(OR(Tableau145[[#This Row],[Type]]="Feuillus",Tableau145[[#This Row],[Type]]="Peupliers"),1.56,1.3)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au1457" displayName="Tableau1457" ref="C130:F196" totalsRowShown="0" headerRowDxfId="33" dataDxfId="32">
  <autoFilter ref="C130:F196" xr:uid="{00000000-0009-0000-0100-000006000000}"/>
  <tableColumns count="4">
    <tableColumn id="1" xr3:uid="{00000000-0010-0000-0200-000001000000}" name="Essence " dataDxfId="31"/>
    <tableColumn id="2" xr3:uid="{00000000-0010-0000-0200-000002000000}" name="Infradensité (tMS/m3) " dataDxfId="30"/>
    <tableColumn id="3" xr3:uid="{00000000-0010-0000-0200-000003000000}" name="Type" dataDxfId="29"/>
    <tableColumn id="4" xr3:uid="{00000000-0010-0000-0200-000004000000}" name="Facteur expansion branche" dataDxfId="28">
      <calculatedColumnFormula>IF(OR(Tableau145[[#This Row],[Type]]="Feuillus",Tableau145[[#This Row],[Type]]="Peupliers"),1.56,1.3)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au14594" displayName="Tableau14594" ref="C130:F196" totalsRowShown="0" headerRowDxfId="27" dataDxfId="26">
  <autoFilter ref="C130:F196" xr:uid="{00000000-0009-0000-0100-000003000000}"/>
  <tableColumns count="4">
    <tableColumn id="1" xr3:uid="{00000000-0010-0000-0300-000001000000}" name="Essence " dataDxfId="25"/>
    <tableColumn id="2" xr3:uid="{00000000-0010-0000-0300-000002000000}" name="Infradensité (tMS/m3) " dataDxfId="24"/>
    <tableColumn id="3" xr3:uid="{00000000-0010-0000-0300-000003000000}" name="Type" dataDxfId="23"/>
    <tableColumn id="4" xr3:uid="{00000000-0010-0000-0300-000004000000}" name="Facteur expansion branche" dataDxfId="22">
      <calculatedColumnFormula>IF(OR(Tableau145[[#This Row],[Type]]="Feuillus",Tableau145[[#This Row],[Type]]="Peupliers"),1.56,1.3)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ableau1459" displayName="Tableau1459" ref="C130:F196" totalsRowShown="0" headerRowDxfId="21" dataDxfId="20">
  <autoFilter ref="C130:F196" xr:uid="{00000000-0009-0000-0100-000008000000}"/>
  <tableColumns count="4">
    <tableColumn id="1" xr3:uid="{00000000-0010-0000-0400-000001000000}" name="Essence " dataDxfId="19"/>
    <tableColumn id="2" xr3:uid="{00000000-0010-0000-0400-000002000000}" name="Infradensité (tMS/m3) " dataDxfId="18"/>
    <tableColumn id="3" xr3:uid="{00000000-0010-0000-0400-000003000000}" name="Type" dataDxfId="17"/>
    <tableColumn id="4" xr3:uid="{00000000-0010-0000-0400-000004000000}" name="Facteur expansion branche" dataDxfId="16">
      <calculatedColumnFormula>IF(OR(Tableau145[[#This Row],[Type]]="Feuillus",Tableau145[[#This Row],[Type]]="Peupliers"),1.56,1.3)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leau14593" displayName="Tableau14593" ref="C130:F196" totalsRowShown="0" headerRowDxfId="15" dataDxfId="14">
  <autoFilter ref="C130:F196" xr:uid="{00000000-0009-0000-0100-000002000000}"/>
  <tableColumns count="4">
    <tableColumn id="1" xr3:uid="{00000000-0010-0000-0500-000001000000}" name="Essence " dataDxfId="13"/>
    <tableColumn id="2" xr3:uid="{00000000-0010-0000-0500-000002000000}" name="Infradensité (tMS/m3) " dataDxfId="12"/>
    <tableColumn id="3" xr3:uid="{00000000-0010-0000-0500-000003000000}" name="Type" dataDxfId="11"/>
    <tableColumn id="4" xr3:uid="{00000000-0010-0000-0500-000004000000}" name="Facteur expansion branche" dataDxfId="10">
      <calculatedColumnFormula>IF(OR(Tableau145[[#This Row],[Type]]="Feuillus",Tableau145[[#This Row],[Type]]="Peupliers"),1.56,1.3)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6000000}" name="Tableau14582" displayName="Tableau14582" ref="B118:M184" totalsRowShown="0" headerRowDxfId="9" dataDxfId="8">
  <autoFilter ref="B118:M184" xr:uid="{00000000-0009-0000-0100-000001000000}"/>
  <tableColumns count="12">
    <tableColumn id="1" xr3:uid="{00000000-0010-0000-0600-000001000000}" name="Essence " dataDxfId="7"/>
    <tableColumn id="2" xr3:uid="{00000000-0010-0000-0600-000002000000}" name="Infradensité (tMS/m3) " dataDxfId="6"/>
    <tableColumn id="3" xr3:uid="{00000000-0010-0000-0600-000003000000}" name="Type" dataDxfId="5"/>
    <tableColumn id="4" xr3:uid="{00000000-0010-0000-0600-000004000000}" name="Valeur BO" dataDxfId="4"/>
    <tableColumn id="5" xr3:uid="{00000000-0010-0000-0600-000005000000}" name="Valeur BI" dataDxfId="3"/>
    <tableColumn id="6" xr3:uid="{00000000-0010-0000-0600-000006000000}" name="Valeur BE" dataDxfId="2"/>
    <tableColumn id="11" xr3:uid="{00000000-0010-0000-0600-00000B000000}" name="Colonne1" dataDxfId="1"/>
    <tableColumn id="10" xr3:uid="{00000000-0010-0000-0600-00000A000000}" name="Colonne2"/>
    <tableColumn id="9" xr3:uid="{00000000-0010-0000-0600-000009000000}" name="Colonne3"/>
    <tableColumn id="8" xr3:uid="{00000000-0010-0000-0600-000008000000}" name="Colonne4"/>
    <tableColumn id="12" xr3:uid="{00000000-0010-0000-0600-00000C000000}" name="Colonne42" dataDxfId="0"/>
    <tableColumn id="7" xr3:uid="{00000000-0010-0000-0600-000007000000}" name="Colonne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ventaire-forestier.ign.fr/IMG/pdf/RapportVolumes_VFinale_p2.pdf" TargetMode="External"/><Relationship Id="rId2" Type="http://schemas.openxmlformats.org/officeDocument/2006/relationships/hyperlink" Target="https://www.forestresearch.gov.uk/research/archive-forest-management-tables-metric/" TargetMode="External"/><Relationship Id="rId1" Type="http://schemas.openxmlformats.org/officeDocument/2006/relationships/hyperlink" Target="https://www.forestresearch.gov.uk/research/archive-forest-management-tables-metric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AA274"/>
  <sheetViews>
    <sheetView topLeftCell="A230" zoomScale="40" zoomScaleNormal="40" zoomScalePageLayoutView="55" workbookViewId="0">
      <selection activeCell="B2" sqref="B2:R274"/>
    </sheetView>
  </sheetViews>
  <sheetFormatPr baseColWidth="10" defaultColWidth="11.5" defaultRowHeight="15"/>
  <cols>
    <col min="1" max="1" width="11.5" style="19" customWidth="1"/>
    <col min="2" max="2" width="2" style="19" customWidth="1"/>
    <col min="3" max="17" width="14.5" style="19" customWidth="1"/>
    <col min="18" max="18" width="2.1640625" style="19" customWidth="1"/>
    <col min="19" max="16384" width="11.5" style="19"/>
  </cols>
  <sheetData>
    <row r="1" spans="2:18" ht="16" thickBot="1"/>
    <row r="2" spans="2:18">
      <c r="B2" s="10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2"/>
    </row>
    <row r="3" spans="2:18">
      <c r="B3" s="348" t="s">
        <v>185</v>
      </c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50"/>
    </row>
    <row r="4" spans="2:18" ht="16" thickBot="1"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8"/>
    </row>
    <row r="5" spans="2:18">
      <c r="B5" s="13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5"/>
    </row>
    <row r="6" spans="2:18">
      <c r="B6" s="13"/>
      <c r="C6" s="29" t="s">
        <v>275</v>
      </c>
      <c r="G6"/>
      <c r="H6"/>
      <c r="I6"/>
      <c r="J6"/>
      <c r="K6"/>
      <c r="L6"/>
      <c r="M6"/>
      <c r="N6"/>
      <c r="O6"/>
      <c r="P6"/>
      <c r="Q6"/>
      <c r="R6" s="15"/>
    </row>
    <row r="7" spans="2:18">
      <c r="B7" s="13"/>
      <c r="G7"/>
      <c r="H7"/>
      <c r="I7"/>
      <c r="J7"/>
      <c r="K7"/>
      <c r="L7"/>
      <c r="M7"/>
      <c r="N7"/>
      <c r="O7"/>
      <c r="P7"/>
      <c r="Q7"/>
      <c r="R7" s="15"/>
    </row>
    <row r="8" spans="2:18" ht="17.25" customHeight="1">
      <c r="B8" s="13"/>
      <c r="C8" s="30" t="s">
        <v>122</v>
      </c>
      <c r="D8" s="351" t="s">
        <v>269</v>
      </c>
      <c r="E8" s="351"/>
      <c r="F8" s="351"/>
      <c r="G8"/>
      <c r="H8"/>
      <c r="I8"/>
      <c r="J8"/>
      <c r="K8"/>
      <c r="L8"/>
      <c r="M8"/>
      <c r="N8"/>
      <c r="O8"/>
      <c r="P8"/>
      <c r="Q8"/>
      <c r="R8" s="15"/>
    </row>
    <row r="9" spans="2:18" ht="17.25" customHeight="1">
      <c r="B9" s="13"/>
      <c r="D9" s="351"/>
      <c r="E9" s="351"/>
      <c r="F9" s="351"/>
      <c r="G9"/>
      <c r="H9"/>
      <c r="I9"/>
      <c r="J9"/>
      <c r="K9"/>
      <c r="L9"/>
      <c r="M9"/>
      <c r="N9"/>
      <c r="O9"/>
      <c r="P9"/>
      <c r="Q9"/>
      <c r="R9" s="15"/>
    </row>
    <row r="10" spans="2:18" ht="18" customHeight="1">
      <c r="B10" s="13"/>
      <c r="C10" s="14"/>
      <c r="D10" s="351" t="s">
        <v>270</v>
      </c>
      <c r="E10" s="351"/>
      <c r="F10" s="351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5"/>
    </row>
    <row r="11" spans="2:18" ht="18" customHeight="1">
      <c r="B11" s="13"/>
      <c r="C11" s="14"/>
      <c r="D11" s="351"/>
      <c r="E11" s="351"/>
      <c r="F11" s="351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5"/>
    </row>
    <row r="12" spans="2:18" ht="17.25" customHeight="1">
      <c r="B12" s="13"/>
      <c r="C12" s="14"/>
      <c r="D12" s="351"/>
      <c r="E12" s="351"/>
      <c r="F12" s="351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5"/>
    </row>
    <row r="13" spans="2:18">
      <c r="B13" s="13"/>
      <c r="C13" s="28" t="s">
        <v>121</v>
      </c>
      <c r="D13" s="162" t="s">
        <v>267</v>
      </c>
      <c r="E13" s="168"/>
      <c r="F13" s="168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5"/>
    </row>
    <row r="14" spans="2:18">
      <c r="B14" s="13"/>
      <c r="C14" s="14"/>
      <c r="D14" s="330"/>
      <c r="E14" s="330"/>
      <c r="F14" s="330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5"/>
    </row>
    <row r="15" spans="2:18">
      <c r="B15" s="13"/>
      <c r="C15" s="29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5"/>
    </row>
    <row r="16" spans="2:18">
      <c r="B16" s="13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/>
    </row>
    <row r="17" spans="2:18">
      <c r="B17" s="13"/>
      <c r="C17" s="30"/>
      <c r="D17" s="21"/>
      <c r="E17" s="21"/>
      <c r="F17" s="21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5"/>
    </row>
    <row r="18" spans="2:18">
      <c r="B18" s="13"/>
      <c r="D18" s="21"/>
      <c r="E18" s="21"/>
      <c r="F18" s="21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5"/>
    </row>
    <row r="19" spans="2:18">
      <c r="B19" s="13"/>
      <c r="C19" s="14"/>
      <c r="D19" s="21"/>
      <c r="E19" s="21"/>
      <c r="F19" s="21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/>
    </row>
    <row r="20" spans="2:18">
      <c r="B20" s="13"/>
      <c r="C20" s="14"/>
      <c r="D20"/>
      <c r="E20"/>
      <c r="F20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5"/>
    </row>
    <row r="21" spans="2:18">
      <c r="B21" s="13"/>
      <c r="C21" s="14"/>
      <c r="D21"/>
      <c r="E21"/>
      <c r="F21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5"/>
    </row>
    <row r="22" spans="2:18">
      <c r="B22" s="13"/>
      <c r="C22" s="28"/>
      <c r="D22" s="329"/>
      <c r="E22" s="330"/>
      <c r="F22" s="330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5"/>
    </row>
    <row r="23" spans="2:18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5"/>
    </row>
    <row r="24" spans="2:18"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5"/>
    </row>
    <row r="25" spans="2:18">
      <c r="B25" s="1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5"/>
    </row>
    <row r="26" spans="2:18">
      <c r="B26" s="13"/>
      <c r="C26"/>
      <c r="D26"/>
      <c r="E26"/>
      <c r="F26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5"/>
    </row>
    <row r="27" spans="2:18" ht="17.25" customHeight="1">
      <c r="B27" s="13"/>
      <c r="C27"/>
      <c r="D27"/>
      <c r="E27"/>
      <c r="F27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5"/>
    </row>
    <row r="28" spans="2:18">
      <c r="B28" s="13"/>
      <c r="C28"/>
      <c r="D28"/>
      <c r="E28"/>
      <c r="F28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5"/>
    </row>
    <row r="29" spans="2:18" ht="17.25" customHeight="1">
      <c r="B29" s="13"/>
      <c r="C29"/>
      <c r="D29"/>
      <c r="E29"/>
      <c r="F29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5"/>
    </row>
    <row r="30" spans="2:18">
      <c r="B30" s="13"/>
      <c r="C30"/>
      <c r="D30"/>
      <c r="E30"/>
      <c r="F30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5"/>
    </row>
    <row r="31" spans="2:18">
      <c r="B31" s="13"/>
      <c r="C31"/>
      <c r="D31"/>
      <c r="E31"/>
      <c r="F31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/>
    </row>
    <row r="32" spans="2:18" ht="17.25" customHeight="1">
      <c r="B32" s="13"/>
      <c r="C32"/>
      <c r="D32"/>
      <c r="E32"/>
      <c r="F32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5"/>
    </row>
    <row r="33" spans="1:27">
      <c r="B33" s="13"/>
      <c r="C33"/>
      <c r="D33"/>
      <c r="E33"/>
      <c r="F33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/>
    </row>
    <row r="34" spans="1:27">
      <c r="B34" s="13"/>
      <c r="C34"/>
      <c r="D34"/>
      <c r="E34"/>
      <c r="F3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5"/>
    </row>
    <row r="35" spans="1:27"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5"/>
    </row>
    <row r="36" spans="1:27"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5"/>
    </row>
    <row r="37" spans="1:27">
      <c r="B37" s="13"/>
      <c r="C37"/>
      <c r="D37"/>
      <c r="E37"/>
      <c r="F37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5"/>
    </row>
    <row r="38" spans="1:27">
      <c r="B38" s="13"/>
      <c r="C38"/>
      <c r="D38"/>
      <c r="E38"/>
      <c r="F38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5"/>
    </row>
    <row r="39" spans="1:27">
      <c r="B39" s="13"/>
      <c r="C39"/>
      <c r="D39"/>
      <c r="E39"/>
      <c r="F39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5"/>
    </row>
    <row r="40" spans="1:27">
      <c r="B40" s="13"/>
      <c r="C40"/>
      <c r="D40"/>
      <c r="E40"/>
      <c r="F40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5"/>
    </row>
    <row r="41" spans="1:27">
      <c r="B41" s="13"/>
      <c r="C41"/>
      <c r="D41"/>
      <c r="E41"/>
      <c r="F41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5"/>
    </row>
    <row r="42" spans="1:27">
      <c r="B42" s="13"/>
      <c r="C42"/>
      <c r="D42"/>
      <c r="E42"/>
      <c r="F42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5"/>
    </row>
    <row r="43" spans="1:27">
      <c r="B43" s="13"/>
      <c r="C43"/>
      <c r="D43"/>
      <c r="E43"/>
      <c r="F43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"/>
    </row>
    <row r="44" spans="1:27">
      <c r="B44" s="13"/>
      <c r="C44" s="28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5"/>
    </row>
    <row r="45" spans="1:27" ht="16" thickBot="1"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8"/>
    </row>
    <row r="46" spans="1:27" ht="16" thickBot="1"/>
    <row r="47" spans="1:27">
      <c r="A47"/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2"/>
      <c r="S47"/>
      <c r="T47"/>
      <c r="U47"/>
      <c r="V47"/>
      <c r="W47"/>
      <c r="X47"/>
      <c r="Y47"/>
      <c r="Z47"/>
      <c r="AA47"/>
    </row>
    <row r="48" spans="1:27">
      <c r="A48"/>
      <c r="B48" s="348" t="s">
        <v>185</v>
      </c>
      <c r="C48" s="349"/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49"/>
      <c r="O48" s="349"/>
      <c r="P48" s="349"/>
      <c r="Q48" s="349"/>
      <c r="R48" s="350"/>
      <c r="S48"/>
      <c r="T48"/>
      <c r="U48"/>
      <c r="V48"/>
      <c r="W48"/>
      <c r="X48"/>
      <c r="Y48"/>
      <c r="Z48"/>
      <c r="AA48"/>
    </row>
    <row r="49" spans="1:27" ht="16" thickBot="1">
      <c r="A49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8"/>
      <c r="S49"/>
      <c r="T49"/>
      <c r="U49"/>
      <c r="V49"/>
      <c r="W49"/>
      <c r="X49"/>
      <c r="Y49"/>
      <c r="Z49"/>
      <c r="AA49"/>
    </row>
    <row r="50" spans="1:27">
      <c r="A50"/>
      <c r="B50" s="13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 s="15"/>
      <c r="S50"/>
      <c r="T50"/>
      <c r="U50"/>
      <c r="V50"/>
      <c r="W50"/>
      <c r="X50"/>
      <c r="Y50"/>
      <c r="Z50"/>
      <c r="AA50"/>
    </row>
    <row r="51" spans="1:27">
      <c r="A51"/>
      <c r="B51" s="13"/>
      <c r="C51" s="29" t="s">
        <v>265</v>
      </c>
      <c r="G51"/>
      <c r="H51"/>
      <c r="I51"/>
      <c r="J51"/>
      <c r="K51"/>
      <c r="L51"/>
      <c r="M51"/>
      <c r="N51"/>
      <c r="O51"/>
      <c r="P51"/>
      <c r="Q51"/>
      <c r="R51" s="15"/>
      <c r="S51"/>
      <c r="T51"/>
      <c r="U51"/>
      <c r="V51"/>
      <c r="W51"/>
      <c r="X51"/>
      <c r="Y51"/>
      <c r="Z51"/>
      <c r="AA51"/>
    </row>
    <row r="52" spans="1:27">
      <c r="A52"/>
      <c r="B52" s="13"/>
      <c r="G52"/>
      <c r="H52"/>
      <c r="I52"/>
      <c r="J52"/>
      <c r="K52"/>
      <c r="L52"/>
      <c r="M52"/>
      <c r="N52"/>
      <c r="O52"/>
      <c r="P52"/>
      <c r="Q52"/>
      <c r="R52" s="15"/>
      <c r="S52"/>
      <c r="T52"/>
      <c r="U52"/>
      <c r="V52"/>
      <c r="W52"/>
      <c r="X52"/>
      <c r="Y52"/>
      <c r="Z52"/>
      <c r="AA52"/>
    </row>
    <row r="53" spans="1:27">
      <c r="A53"/>
      <c r="B53" s="13"/>
      <c r="C53" s="30" t="s">
        <v>122</v>
      </c>
      <c r="D53" s="351" t="s">
        <v>268</v>
      </c>
      <c r="E53" s="351"/>
      <c r="F53" s="351"/>
      <c r="G53"/>
      <c r="H53"/>
      <c r="I53"/>
      <c r="J53"/>
      <c r="K53"/>
      <c r="L53"/>
      <c r="M53"/>
      <c r="N53"/>
      <c r="O53"/>
      <c r="P53"/>
      <c r="Q53"/>
      <c r="R53" s="15"/>
      <c r="S53"/>
      <c r="T53"/>
      <c r="U53"/>
      <c r="V53"/>
      <c r="W53"/>
      <c r="X53"/>
      <c r="Y53"/>
      <c r="Z53"/>
      <c r="AA53"/>
    </row>
    <row r="54" spans="1:27">
      <c r="A54"/>
      <c r="B54" s="13"/>
      <c r="D54" s="351"/>
      <c r="E54" s="351"/>
      <c r="F54" s="351"/>
      <c r="G54"/>
      <c r="H54"/>
      <c r="I54"/>
      <c r="J54"/>
      <c r="K54"/>
      <c r="L54"/>
      <c r="M54"/>
      <c r="N54"/>
      <c r="O54"/>
      <c r="P54"/>
      <c r="Q54"/>
      <c r="R54" s="15"/>
      <c r="S54"/>
      <c r="T54"/>
      <c r="U54"/>
      <c r="V54"/>
      <c r="W54"/>
      <c r="X54"/>
      <c r="Y54"/>
      <c r="Z54"/>
      <c r="AA54"/>
    </row>
    <row r="55" spans="1:27">
      <c r="A55"/>
      <c r="B55" s="13"/>
      <c r="C55" s="14"/>
      <c r="D55" s="351" t="s">
        <v>278</v>
      </c>
      <c r="E55" s="351"/>
      <c r="F55" s="351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5"/>
      <c r="S55"/>
      <c r="T55"/>
      <c r="U55"/>
      <c r="V55"/>
      <c r="W55"/>
      <c r="X55"/>
      <c r="Y55"/>
      <c r="Z55"/>
      <c r="AA55"/>
    </row>
    <row r="56" spans="1:27">
      <c r="A56"/>
      <c r="B56" s="13"/>
      <c r="C56" s="14"/>
      <c r="D56" s="351"/>
      <c r="E56" s="351"/>
      <c r="F56" s="351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5"/>
      <c r="S56"/>
      <c r="T56"/>
      <c r="U56"/>
      <c r="V56"/>
      <c r="W56"/>
      <c r="X56"/>
      <c r="Y56"/>
      <c r="Z56"/>
      <c r="AA56"/>
    </row>
    <row r="57" spans="1:27" ht="17.25" customHeight="1">
      <c r="A57"/>
      <c r="B57" s="13"/>
      <c r="C57" s="14"/>
      <c r="D57" s="351"/>
      <c r="E57" s="351"/>
      <c r="F57" s="351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5"/>
      <c r="S57"/>
      <c r="T57"/>
      <c r="U57"/>
      <c r="V57"/>
      <c r="W57"/>
      <c r="X57"/>
      <c r="Y57"/>
      <c r="Z57"/>
      <c r="AA57"/>
    </row>
    <row r="58" spans="1:27" ht="17.25" customHeight="1">
      <c r="A58"/>
      <c r="B58" s="13"/>
      <c r="C58" s="28" t="s">
        <v>121</v>
      </c>
      <c r="D58" s="162" t="s">
        <v>267</v>
      </c>
      <c r="E58" s="168"/>
      <c r="F58" s="168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5"/>
      <c r="S58"/>
      <c r="T58"/>
      <c r="U58"/>
      <c r="V58"/>
      <c r="W58"/>
      <c r="X58"/>
      <c r="Y58"/>
      <c r="Z58"/>
      <c r="AA58"/>
    </row>
    <row r="59" spans="1:27">
      <c r="A59"/>
      <c r="B59" s="13"/>
      <c r="C59" s="14"/>
      <c r="D59" s="168"/>
      <c r="E59" s="168"/>
      <c r="F59" s="168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5"/>
      <c r="S59"/>
      <c r="T59"/>
      <c r="U59"/>
      <c r="V59"/>
      <c r="W59"/>
      <c r="X59"/>
      <c r="Y59"/>
      <c r="Z59"/>
      <c r="AA59"/>
    </row>
    <row r="60" spans="1:27">
      <c r="A60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5"/>
      <c r="S60"/>
      <c r="T60"/>
      <c r="U60"/>
      <c r="V60"/>
      <c r="W60"/>
      <c r="X60"/>
      <c r="Y60"/>
      <c r="Z60"/>
      <c r="AA60"/>
    </row>
    <row r="61" spans="1:27">
      <c r="A61"/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5"/>
      <c r="S61"/>
      <c r="T61"/>
      <c r="U61"/>
      <c r="V61"/>
      <c r="W61"/>
      <c r="X61"/>
      <c r="Y61"/>
      <c r="Z61"/>
      <c r="AA61"/>
    </row>
    <row r="62" spans="1:27">
      <c r="A62"/>
      <c r="B62" s="13"/>
      <c r="C62" s="29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5"/>
      <c r="S62"/>
      <c r="T62"/>
      <c r="U62"/>
      <c r="V62"/>
      <c r="W62"/>
      <c r="X62"/>
      <c r="Y62"/>
      <c r="Z62"/>
      <c r="AA62"/>
    </row>
    <row r="63" spans="1:27">
      <c r="A63"/>
      <c r="B63" s="13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5"/>
      <c r="S63"/>
      <c r="T63"/>
      <c r="U63"/>
      <c r="V63"/>
      <c r="W63"/>
      <c r="X63"/>
      <c r="Y63"/>
      <c r="Z63"/>
      <c r="AA63"/>
    </row>
    <row r="64" spans="1:27">
      <c r="A64"/>
      <c r="B64" s="13"/>
      <c r="C64" s="30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5"/>
      <c r="S64"/>
      <c r="T64"/>
      <c r="U64"/>
      <c r="V64"/>
      <c r="W64"/>
      <c r="X64"/>
      <c r="Y64"/>
      <c r="Z64"/>
      <c r="AA64"/>
    </row>
    <row r="65" spans="1:27">
      <c r="A65"/>
      <c r="B65" s="13"/>
      <c r="C65" s="30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5"/>
      <c r="S65"/>
      <c r="T65"/>
      <c r="U65"/>
      <c r="V65"/>
      <c r="W65"/>
      <c r="X65"/>
      <c r="Y65"/>
      <c r="Z65"/>
      <c r="AA65"/>
    </row>
    <row r="66" spans="1:27" ht="18" customHeight="1">
      <c r="A66"/>
      <c r="B66" s="13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5"/>
      <c r="S66"/>
      <c r="T66"/>
      <c r="U66"/>
      <c r="V66"/>
      <c r="W66"/>
      <c r="X66"/>
      <c r="Y66"/>
      <c r="Z66"/>
      <c r="AA66"/>
    </row>
    <row r="67" spans="1:27" ht="18" customHeight="1">
      <c r="A67"/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5"/>
      <c r="S67"/>
      <c r="T67"/>
      <c r="U67"/>
      <c r="V67"/>
      <c r="W67"/>
      <c r="X67"/>
      <c r="Y67"/>
      <c r="Z67"/>
      <c r="AA67"/>
    </row>
    <row r="68" spans="1:27" ht="17.25" customHeight="1">
      <c r="A68"/>
      <c r="B68" s="13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5"/>
      <c r="S68"/>
      <c r="T68"/>
      <c r="U68"/>
      <c r="V68"/>
      <c r="W68"/>
      <c r="X68"/>
      <c r="Y68"/>
      <c r="Z68"/>
      <c r="AA68"/>
    </row>
    <row r="69" spans="1:27">
      <c r="A69"/>
      <c r="B69" s="13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5"/>
      <c r="S69"/>
      <c r="T69"/>
      <c r="U69"/>
      <c r="V69"/>
      <c r="W69"/>
      <c r="X69"/>
      <c r="Y69"/>
      <c r="Z69"/>
      <c r="AA69"/>
    </row>
    <row r="70" spans="1:27">
      <c r="A70"/>
      <c r="B70" s="13"/>
      <c r="J70" s="14"/>
      <c r="K70" s="14"/>
      <c r="L70" s="14"/>
      <c r="M70" s="14"/>
      <c r="N70" s="14"/>
      <c r="O70" s="14"/>
      <c r="P70" s="14"/>
      <c r="Q70" s="14"/>
      <c r="R70" s="15"/>
      <c r="S70"/>
      <c r="T70"/>
      <c r="U70"/>
      <c r="V70"/>
      <c r="W70"/>
      <c r="X70"/>
      <c r="Y70"/>
      <c r="Z70"/>
      <c r="AA70"/>
    </row>
    <row r="71" spans="1:27">
      <c r="A71"/>
      <c r="B71" s="13"/>
      <c r="J71" s="14"/>
      <c r="K71" s="14"/>
      <c r="L71" s="14"/>
      <c r="M71" s="14"/>
      <c r="N71" s="14"/>
      <c r="O71" s="14"/>
      <c r="P71" s="14"/>
      <c r="Q71" s="14"/>
      <c r="R71" s="15"/>
      <c r="S71"/>
      <c r="T71"/>
      <c r="U71"/>
      <c r="V71"/>
      <c r="W71"/>
      <c r="X71"/>
      <c r="Y71"/>
      <c r="Z71"/>
      <c r="AA71"/>
    </row>
    <row r="72" spans="1:27">
      <c r="A72"/>
      <c r="B72" s="13"/>
      <c r="J72" s="14"/>
      <c r="K72" s="14"/>
      <c r="L72" s="14"/>
      <c r="M72" s="14"/>
      <c r="N72" s="14"/>
      <c r="O72" s="14"/>
      <c r="P72" s="14"/>
      <c r="Q72" s="14"/>
      <c r="R72" s="15"/>
      <c r="S72"/>
      <c r="T72"/>
      <c r="U72"/>
      <c r="V72"/>
      <c r="W72"/>
      <c r="X72"/>
      <c r="Y72"/>
      <c r="Z72"/>
      <c r="AA72"/>
    </row>
    <row r="73" spans="1:27">
      <c r="A73"/>
      <c r="B73" s="13"/>
      <c r="J73" s="14"/>
      <c r="K73" s="14"/>
      <c r="L73" s="14"/>
      <c r="M73" s="14"/>
      <c r="N73" s="14"/>
      <c r="O73" s="14"/>
      <c r="P73" s="14"/>
      <c r="Q73" s="14"/>
      <c r="R73" s="15"/>
      <c r="S73"/>
      <c r="T73"/>
      <c r="U73"/>
      <c r="V73"/>
      <c r="W73"/>
      <c r="X73"/>
      <c r="Y73"/>
      <c r="Z73"/>
      <c r="AA73"/>
    </row>
    <row r="74" spans="1:27">
      <c r="A74"/>
      <c r="B74" s="13"/>
      <c r="J74" s="14"/>
      <c r="K74" s="14"/>
      <c r="L74" s="14"/>
      <c r="M74" s="14"/>
      <c r="N74" s="14"/>
      <c r="O74" s="14"/>
      <c r="P74" s="14"/>
      <c r="Q74" s="14"/>
      <c r="R74" s="15"/>
      <c r="S74"/>
      <c r="T74"/>
      <c r="U74"/>
      <c r="V74"/>
      <c r="W74"/>
      <c r="X74"/>
      <c r="Y74"/>
      <c r="Z74"/>
      <c r="AA74"/>
    </row>
    <row r="75" spans="1:27">
      <c r="A75"/>
      <c r="B75" s="13"/>
      <c r="J75" s="14"/>
      <c r="K75" s="14"/>
      <c r="L75" s="14"/>
      <c r="M75" s="14"/>
      <c r="N75" s="14"/>
      <c r="O75" s="14"/>
      <c r="P75" s="14"/>
      <c r="Q75" s="14"/>
      <c r="R75" s="15"/>
      <c r="S75"/>
      <c r="T75"/>
      <c r="U75"/>
      <c r="V75"/>
      <c r="W75"/>
      <c r="X75"/>
      <c r="Y75"/>
      <c r="Z75"/>
      <c r="AA75"/>
    </row>
    <row r="76" spans="1:27">
      <c r="A76"/>
      <c r="B76" s="13"/>
      <c r="J76" s="14"/>
      <c r="K76" s="14"/>
      <c r="L76" s="14"/>
      <c r="M76" s="14"/>
      <c r="N76" s="14"/>
      <c r="O76" s="14"/>
      <c r="P76" s="14"/>
      <c r="Q76" s="14"/>
      <c r="R76" s="15"/>
      <c r="S76"/>
      <c r="T76"/>
      <c r="U76"/>
      <c r="V76"/>
      <c r="W76"/>
      <c r="X76"/>
      <c r="Y76"/>
      <c r="Z76"/>
      <c r="AA76"/>
    </row>
    <row r="77" spans="1:27">
      <c r="A77"/>
      <c r="B77" s="13"/>
      <c r="J77" s="14"/>
      <c r="K77" s="14"/>
      <c r="L77" s="14"/>
      <c r="M77" s="14"/>
      <c r="N77" s="14"/>
      <c r="O77" s="14"/>
      <c r="P77" s="14"/>
      <c r="Q77" s="14"/>
      <c r="R77" s="15"/>
      <c r="S77"/>
      <c r="T77"/>
      <c r="U77"/>
      <c r="V77"/>
      <c r="W77"/>
      <c r="X77"/>
      <c r="Y77"/>
      <c r="Z77"/>
      <c r="AA77"/>
    </row>
    <row r="78" spans="1:27">
      <c r="A78"/>
      <c r="B78" s="13"/>
      <c r="J78" s="14"/>
      <c r="K78" s="14"/>
      <c r="L78" s="14"/>
      <c r="M78" s="14"/>
      <c r="N78" s="14"/>
      <c r="O78" s="14"/>
      <c r="P78" s="14"/>
      <c r="Q78" s="14"/>
      <c r="R78" s="15"/>
      <c r="S78"/>
      <c r="T78"/>
      <c r="U78"/>
      <c r="V78"/>
      <c r="W78"/>
      <c r="X78"/>
      <c r="Y78"/>
      <c r="Z78"/>
      <c r="AA78"/>
    </row>
    <row r="79" spans="1:27">
      <c r="A79"/>
      <c r="B79" s="13"/>
      <c r="J79" s="14"/>
      <c r="K79" s="14"/>
      <c r="L79" s="14"/>
      <c r="M79" s="14"/>
      <c r="N79" s="14"/>
      <c r="O79" s="14"/>
      <c r="P79" s="14"/>
      <c r="Q79" s="14"/>
      <c r="R79" s="15"/>
      <c r="S79"/>
      <c r="T79"/>
      <c r="U79"/>
      <c r="V79"/>
      <c r="W79"/>
      <c r="X79"/>
      <c r="Y79"/>
      <c r="Z79"/>
      <c r="AA79"/>
    </row>
    <row r="80" spans="1:27">
      <c r="A80"/>
      <c r="B80" s="13"/>
      <c r="J80" s="14"/>
      <c r="K80" s="14"/>
      <c r="L80" s="14"/>
      <c r="M80" s="14"/>
      <c r="N80" s="14"/>
      <c r="O80" s="14"/>
      <c r="P80" s="14"/>
      <c r="Q80" s="14"/>
      <c r="R80" s="15"/>
      <c r="S80"/>
      <c r="T80"/>
      <c r="U80"/>
      <c r="V80"/>
      <c r="W80"/>
      <c r="X80"/>
      <c r="Y80"/>
      <c r="Z80"/>
      <c r="AA80"/>
    </row>
    <row r="81" spans="1:27">
      <c r="A81"/>
      <c r="B81" s="13"/>
      <c r="C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5"/>
      <c r="S81"/>
      <c r="T81"/>
      <c r="U81"/>
      <c r="V81"/>
      <c r="W81"/>
      <c r="X81"/>
      <c r="Y81"/>
      <c r="Z81"/>
      <c r="AA81"/>
    </row>
    <row r="82" spans="1:27" ht="30" customHeight="1">
      <c r="A82"/>
      <c r="B82" s="13"/>
      <c r="C82" s="20"/>
      <c r="D82"/>
      <c r="E82"/>
      <c r="F82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5"/>
      <c r="S82"/>
      <c r="T82"/>
      <c r="U82"/>
      <c r="V82"/>
      <c r="W82"/>
      <c r="X82"/>
      <c r="Y82"/>
      <c r="Z82"/>
      <c r="AA82"/>
    </row>
    <row r="83" spans="1:27">
      <c r="A83"/>
      <c r="B83" s="13"/>
      <c r="C83" s="14"/>
      <c r="D83"/>
      <c r="E83"/>
      <c r="F83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5"/>
      <c r="S83"/>
      <c r="T83"/>
      <c r="U83"/>
      <c r="V83"/>
      <c r="W83"/>
      <c r="X83"/>
      <c r="Y83"/>
      <c r="Z83"/>
      <c r="AA83"/>
    </row>
    <row r="84" spans="1:27">
      <c r="A84"/>
      <c r="B84" s="13"/>
      <c r="C84" s="30"/>
      <c r="D84"/>
      <c r="E84"/>
      <c r="F8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5"/>
      <c r="S84"/>
      <c r="T84"/>
      <c r="U84"/>
      <c r="V84"/>
      <c r="W84"/>
      <c r="X84"/>
      <c r="Y84"/>
      <c r="Z84"/>
      <c r="AA84"/>
    </row>
    <row r="85" spans="1:27">
      <c r="A85"/>
      <c r="B85" s="13"/>
      <c r="D85"/>
      <c r="E85"/>
      <c r="F85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5"/>
      <c r="S85"/>
      <c r="T85"/>
      <c r="U85"/>
      <c r="V85"/>
      <c r="W85"/>
      <c r="X85"/>
      <c r="Y85"/>
      <c r="Z85"/>
      <c r="AA85"/>
    </row>
    <row r="86" spans="1:27">
      <c r="A86"/>
      <c r="B86" s="13"/>
      <c r="C86" s="14"/>
      <c r="D86"/>
      <c r="E86"/>
      <c r="F86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5"/>
      <c r="S86"/>
      <c r="T86"/>
      <c r="U86"/>
      <c r="V86"/>
      <c r="W86"/>
      <c r="X86"/>
      <c r="Y86"/>
      <c r="Z86"/>
      <c r="AA86"/>
    </row>
    <row r="87" spans="1:27">
      <c r="A87"/>
      <c r="B87" s="13"/>
      <c r="C87" s="14"/>
      <c r="D87"/>
      <c r="E87"/>
      <c r="F87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5"/>
      <c r="S87"/>
      <c r="T87"/>
      <c r="U87"/>
      <c r="V87"/>
      <c r="W87"/>
      <c r="X87"/>
      <c r="Y87"/>
      <c r="Z87"/>
      <c r="AA87"/>
    </row>
    <row r="88" spans="1:27">
      <c r="A88"/>
      <c r="B88" s="13"/>
      <c r="C88" s="14"/>
      <c r="D88"/>
      <c r="E88"/>
      <c r="F88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5"/>
      <c r="S88"/>
      <c r="T88"/>
      <c r="U88"/>
      <c r="V88"/>
      <c r="W88"/>
      <c r="X88"/>
      <c r="Y88"/>
      <c r="Z88"/>
      <c r="AA88"/>
    </row>
    <row r="89" spans="1:27">
      <c r="A89"/>
      <c r="B89" s="13"/>
      <c r="C89" s="28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5"/>
      <c r="S89"/>
      <c r="T89"/>
      <c r="U89"/>
      <c r="V89"/>
      <c r="W89"/>
      <c r="X89"/>
      <c r="Y89"/>
      <c r="Z89"/>
      <c r="AA89"/>
    </row>
    <row r="90" spans="1:27" ht="16" thickBot="1">
      <c r="A90"/>
      <c r="B90" s="16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8"/>
      <c r="S90"/>
      <c r="T90"/>
      <c r="U90"/>
      <c r="V90"/>
      <c r="W90"/>
      <c r="X90"/>
      <c r="Y90"/>
      <c r="Z90"/>
      <c r="AA90"/>
    </row>
    <row r="91" spans="1:27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6" thickBot="1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</row>
    <row r="93" spans="1:27">
      <c r="A93"/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2"/>
      <c r="S93"/>
      <c r="T93"/>
      <c r="U93"/>
      <c r="V93"/>
      <c r="W93"/>
      <c r="X93"/>
      <c r="Y93"/>
      <c r="Z93"/>
      <c r="AA93"/>
    </row>
    <row r="94" spans="1:27">
      <c r="A94"/>
      <c r="B94" s="348" t="s">
        <v>185</v>
      </c>
      <c r="C94" s="349"/>
      <c r="D94" s="349"/>
      <c r="E94" s="349"/>
      <c r="F94" s="349"/>
      <c r="G94" s="349"/>
      <c r="H94" s="349"/>
      <c r="I94" s="349"/>
      <c r="J94" s="349"/>
      <c r="K94" s="349"/>
      <c r="L94" s="349"/>
      <c r="M94" s="349"/>
      <c r="N94" s="349"/>
      <c r="O94" s="349"/>
      <c r="P94" s="349"/>
      <c r="Q94" s="349"/>
      <c r="R94" s="350"/>
      <c r="S94"/>
      <c r="T94"/>
      <c r="U94"/>
      <c r="V94"/>
      <c r="W94"/>
      <c r="X94"/>
      <c r="Y94"/>
      <c r="Z94"/>
      <c r="AA94"/>
    </row>
    <row r="95" spans="1:27" ht="16" thickBot="1">
      <c r="A95"/>
      <c r="B95" s="16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8"/>
      <c r="S95"/>
      <c r="T95"/>
      <c r="U95"/>
      <c r="V95"/>
      <c r="W95"/>
      <c r="X95"/>
      <c r="Y95"/>
      <c r="Z95"/>
      <c r="AA95"/>
    </row>
    <row r="96" spans="1:27">
      <c r="A96"/>
      <c r="B96" s="13"/>
      <c r="C96" s="14"/>
      <c r="D96" s="14"/>
      <c r="E96" s="14"/>
      <c r="F96" s="14"/>
      <c r="G96" s="14"/>
      <c r="H96" s="14"/>
      <c r="I96" s="14"/>
      <c r="K96"/>
      <c r="L96"/>
      <c r="M96"/>
      <c r="N96"/>
      <c r="O96"/>
      <c r="P96"/>
      <c r="Q96"/>
      <c r="R96" s="15"/>
      <c r="S96"/>
      <c r="T96"/>
      <c r="U96"/>
      <c r="V96"/>
      <c r="W96"/>
    </row>
    <row r="97" spans="1:23">
      <c r="A97"/>
      <c r="B97" s="13"/>
      <c r="C97" s="29" t="s">
        <v>276</v>
      </c>
      <c r="G97" s="14"/>
      <c r="H97" s="14"/>
      <c r="I97" s="14"/>
      <c r="J97"/>
      <c r="K97"/>
      <c r="L97"/>
      <c r="M97"/>
      <c r="N97"/>
      <c r="O97"/>
      <c r="P97"/>
      <c r="Q97"/>
      <c r="R97" s="15"/>
      <c r="S97"/>
      <c r="T97"/>
      <c r="U97"/>
      <c r="V97"/>
      <c r="W97"/>
    </row>
    <row r="98" spans="1:23">
      <c r="A98"/>
      <c r="B98" s="13"/>
      <c r="G98" s="14"/>
      <c r="H98" s="14"/>
      <c r="I98" s="14"/>
      <c r="J98"/>
      <c r="K98"/>
      <c r="L98"/>
      <c r="M98"/>
      <c r="N98"/>
      <c r="O98"/>
      <c r="P98"/>
      <c r="Q98"/>
      <c r="R98" s="15"/>
      <c r="S98"/>
      <c r="T98"/>
      <c r="U98"/>
      <c r="V98"/>
      <c r="W98"/>
    </row>
    <row r="99" spans="1:23">
      <c r="A99"/>
      <c r="B99" s="13"/>
      <c r="C99" s="30" t="s">
        <v>122</v>
      </c>
      <c r="D99" s="351" t="s">
        <v>277</v>
      </c>
      <c r="E99" s="351"/>
      <c r="F99" s="351"/>
      <c r="G99" s="14"/>
      <c r="H99" s="14"/>
      <c r="I99" s="14"/>
      <c r="J99"/>
      <c r="K99"/>
      <c r="L99"/>
      <c r="M99"/>
      <c r="N99"/>
      <c r="O99"/>
      <c r="P99"/>
      <c r="Q99"/>
      <c r="R99" s="15"/>
      <c r="S99"/>
      <c r="T99"/>
      <c r="U99"/>
      <c r="V99"/>
      <c r="W99"/>
    </row>
    <row r="100" spans="1:23">
      <c r="A100"/>
      <c r="B100" s="13"/>
      <c r="D100" s="351"/>
      <c r="E100" s="351"/>
      <c r="F100" s="351"/>
      <c r="G100" s="14"/>
      <c r="H100" s="14"/>
      <c r="I100" s="14"/>
      <c r="J100"/>
      <c r="K100"/>
      <c r="L100"/>
      <c r="M100"/>
      <c r="N100"/>
      <c r="O100"/>
      <c r="P100"/>
      <c r="Q100"/>
      <c r="R100" s="15"/>
      <c r="S100"/>
      <c r="T100"/>
      <c r="U100"/>
      <c r="V100"/>
      <c r="W100"/>
    </row>
    <row r="101" spans="1:23" ht="30" customHeight="1">
      <c r="A101"/>
      <c r="B101" s="13"/>
      <c r="C101" s="14"/>
      <c r="D101" s="351" t="s">
        <v>279</v>
      </c>
      <c r="E101" s="351"/>
      <c r="F101" s="351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5"/>
      <c r="S101"/>
      <c r="T101"/>
      <c r="U101"/>
      <c r="V101"/>
      <c r="W101"/>
    </row>
    <row r="102" spans="1:23">
      <c r="A102"/>
      <c r="B102" s="13"/>
      <c r="C102" s="14"/>
      <c r="D102" s="351"/>
      <c r="E102" s="351"/>
      <c r="F102" s="351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5"/>
      <c r="S102"/>
      <c r="T102"/>
      <c r="U102"/>
      <c r="V102"/>
      <c r="W102"/>
    </row>
    <row r="103" spans="1:23">
      <c r="A103"/>
      <c r="B103" s="13"/>
      <c r="C103" s="14"/>
      <c r="D103" s="351"/>
      <c r="E103" s="351"/>
      <c r="F103" s="351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5"/>
      <c r="S103"/>
      <c r="T103"/>
      <c r="U103"/>
      <c r="V103"/>
      <c r="W103"/>
    </row>
    <row r="104" spans="1:23">
      <c r="A104"/>
      <c r="B104" s="13"/>
      <c r="C104" s="28" t="s">
        <v>121</v>
      </c>
      <c r="D104" s="162" t="s">
        <v>267</v>
      </c>
      <c r="E104" s="168"/>
      <c r="F104" s="168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5"/>
      <c r="S104"/>
      <c r="T104"/>
      <c r="U104"/>
      <c r="V104"/>
      <c r="W104"/>
    </row>
    <row r="105" spans="1:23">
      <c r="A105"/>
      <c r="B105" s="13"/>
      <c r="C105" s="14"/>
      <c r="D105" s="1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5"/>
      <c r="S105"/>
      <c r="T105"/>
      <c r="U105"/>
      <c r="V105"/>
      <c r="W105"/>
    </row>
    <row r="106" spans="1:23">
      <c r="A106"/>
      <c r="B106" s="13"/>
      <c r="C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5"/>
      <c r="S106"/>
      <c r="T106"/>
      <c r="U106"/>
      <c r="V106"/>
      <c r="W106"/>
    </row>
    <row r="107" spans="1:23">
      <c r="A107"/>
      <c r="B107" s="13"/>
      <c r="C107" s="14"/>
      <c r="D107" s="1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5"/>
      <c r="S107"/>
      <c r="T107"/>
      <c r="U107"/>
      <c r="V107"/>
      <c r="W107"/>
    </row>
    <row r="108" spans="1:23">
      <c r="A108"/>
      <c r="B108" s="13"/>
      <c r="C108" s="29"/>
      <c r="D108" s="1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5"/>
      <c r="S108"/>
      <c r="T108"/>
      <c r="U108"/>
      <c r="V108"/>
      <c r="W108"/>
    </row>
    <row r="109" spans="1:23">
      <c r="A109"/>
      <c r="B109" s="13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5"/>
      <c r="S109"/>
      <c r="T109"/>
      <c r="U109"/>
      <c r="V109"/>
      <c r="W109"/>
    </row>
    <row r="110" spans="1:23">
      <c r="A110"/>
      <c r="B110" s="13"/>
      <c r="C110" s="30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5"/>
      <c r="S110"/>
      <c r="T110"/>
      <c r="U110"/>
      <c r="V110"/>
      <c r="W110"/>
    </row>
    <row r="111" spans="1:23">
      <c r="A111"/>
      <c r="B111" s="13"/>
      <c r="C111" s="30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5"/>
      <c r="S111"/>
      <c r="T111"/>
      <c r="U111"/>
      <c r="V111"/>
      <c r="W111"/>
    </row>
    <row r="112" spans="1:23">
      <c r="A112"/>
      <c r="B112" s="13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5"/>
      <c r="S112"/>
      <c r="T112"/>
      <c r="U112"/>
      <c r="V112"/>
      <c r="W112"/>
    </row>
    <row r="113" spans="1:23">
      <c r="A113"/>
      <c r="B113" s="13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5"/>
      <c r="S113"/>
      <c r="T113"/>
      <c r="U113"/>
      <c r="V113"/>
      <c r="W113"/>
    </row>
    <row r="114" spans="1:23">
      <c r="A114"/>
      <c r="B114" s="13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5"/>
      <c r="S114"/>
      <c r="T114"/>
      <c r="U114"/>
      <c r="V114"/>
      <c r="W114"/>
    </row>
    <row r="115" spans="1:23">
      <c r="A115"/>
      <c r="B115" s="13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5"/>
      <c r="S115"/>
      <c r="T115"/>
      <c r="U115"/>
      <c r="V115"/>
      <c r="W115"/>
    </row>
    <row r="116" spans="1:23">
      <c r="A116"/>
      <c r="B116" s="13"/>
      <c r="C116"/>
      <c r="D116"/>
      <c r="E116"/>
      <c r="F116"/>
      <c r="G116"/>
      <c r="H116"/>
      <c r="I116"/>
      <c r="J116" s="14"/>
      <c r="K116" s="14"/>
      <c r="L116" s="14"/>
      <c r="M116" s="14"/>
      <c r="N116" s="14"/>
      <c r="O116" s="14"/>
      <c r="P116" s="14"/>
      <c r="Q116" s="14"/>
      <c r="R116" s="15"/>
      <c r="S116"/>
      <c r="T116"/>
      <c r="U116"/>
      <c r="V116"/>
      <c r="W116"/>
    </row>
    <row r="117" spans="1:23">
      <c r="A117"/>
      <c r="B117" s="13"/>
      <c r="C117"/>
      <c r="D117"/>
      <c r="E117"/>
      <c r="F117"/>
      <c r="G117"/>
      <c r="H117"/>
      <c r="I117"/>
      <c r="J117" s="14"/>
      <c r="K117" s="14"/>
      <c r="L117" s="14"/>
      <c r="M117" s="14"/>
      <c r="N117" s="14"/>
      <c r="O117" s="14"/>
      <c r="P117" s="14"/>
      <c r="Q117" s="14"/>
      <c r="R117" s="15"/>
      <c r="S117"/>
      <c r="T117"/>
      <c r="U117"/>
      <c r="V117"/>
      <c r="W117"/>
    </row>
    <row r="118" spans="1:23">
      <c r="A118"/>
      <c r="B118" s="13"/>
      <c r="C118"/>
      <c r="D118"/>
      <c r="E118"/>
      <c r="F118"/>
      <c r="G118"/>
      <c r="H118"/>
      <c r="I118"/>
      <c r="J118" s="14"/>
      <c r="K118" s="14"/>
      <c r="L118" s="14"/>
      <c r="M118" s="14"/>
      <c r="N118" s="14"/>
      <c r="O118" s="14"/>
      <c r="P118" s="14"/>
      <c r="Q118" s="14"/>
      <c r="R118" s="15"/>
      <c r="S118"/>
      <c r="T118"/>
      <c r="U118"/>
      <c r="V118"/>
      <c r="W118"/>
    </row>
    <row r="119" spans="1:23">
      <c r="A119"/>
      <c r="B119" s="13"/>
      <c r="C119"/>
      <c r="D119"/>
      <c r="E119"/>
      <c r="F119"/>
      <c r="G119"/>
      <c r="H119"/>
      <c r="I119"/>
      <c r="J119" s="14"/>
      <c r="K119" s="14"/>
      <c r="L119" s="14"/>
      <c r="M119" s="14"/>
      <c r="N119" s="14"/>
      <c r="O119" s="14"/>
      <c r="P119" s="14"/>
      <c r="Q119" s="14"/>
      <c r="R119" s="15"/>
      <c r="S119"/>
      <c r="T119"/>
      <c r="U119"/>
      <c r="V119"/>
      <c r="W119"/>
    </row>
    <row r="120" spans="1:23">
      <c r="A120"/>
      <c r="B120" s="13"/>
      <c r="C120"/>
      <c r="D120"/>
      <c r="E120"/>
      <c r="F120"/>
      <c r="G120"/>
      <c r="H120"/>
      <c r="I120"/>
      <c r="J120" s="14"/>
      <c r="K120" s="14"/>
      <c r="L120" s="14"/>
      <c r="M120" s="14"/>
      <c r="N120" s="14"/>
      <c r="O120" s="14"/>
      <c r="P120" s="14"/>
      <c r="Q120" s="14"/>
      <c r="R120" s="15"/>
      <c r="S120"/>
      <c r="T120"/>
      <c r="U120"/>
      <c r="V120"/>
      <c r="W120"/>
    </row>
    <row r="121" spans="1:23">
      <c r="A121"/>
      <c r="B121" s="13"/>
      <c r="C121"/>
      <c r="D121"/>
      <c r="E121"/>
      <c r="F121"/>
      <c r="G121"/>
      <c r="H121"/>
      <c r="I121"/>
      <c r="J121" s="14"/>
      <c r="K121" s="14"/>
      <c r="L121" s="14"/>
      <c r="M121" s="14"/>
      <c r="N121" s="14"/>
      <c r="O121" s="14"/>
      <c r="P121" s="14"/>
      <c r="Q121" s="14"/>
      <c r="R121" s="15"/>
      <c r="S121"/>
      <c r="T121"/>
      <c r="U121"/>
      <c r="V121"/>
      <c r="W121"/>
    </row>
    <row r="122" spans="1:23">
      <c r="A122"/>
      <c r="B122" s="13"/>
      <c r="C122"/>
      <c r="D122"/>
      <c r="E122"/>
      <c r="F122"/>
      <c r="G122"/>
      <c r="H122"/>
      <c r="I122"/>
      <c r="J122" s="14"/>
      <c r="K122" s="14"/>
      <c r="L122" s="14"/>
      <c r="M122" s="14"/>
      <c r="N122" s="14"/>
      <c r="O122" s="14"/>
      <c r="P122" s="14"/>
      <c r="Q122" s="14"/>
      <c r="R122" s="15"/>
      <c r="S122"/>
      <c r="T122"/>
      <c r="U122"/>
      <c r="V122"/>
      <c r="W122"/>
    </row>
    <row r="123" spans="1:23">
      <c r="A123"/>
      <c r="B123" s="13"/>
      <c r="C123"/>
      <c r="D123"/>
      <c r="E123"/>
      <c r="F123"/>
      <c r="G123"/>
      <c r="H123"/>
      <c r="I123"/>
      <c r="J123" s="14"/>
      <c r="K123" s="14"/>
      <c r="L123" s="14"/>
      <c r="M123" s="14"/>
      <c r="N123" s="14"/>
      <c r="O123" s="14"/>
      <c r="P123" s="14"/>
      <c r="Q123" s="14"/>
      <c r="R123" s="15"/>
      <c r="S123"/>
      <c r="T123"/>
      <c r="U123"/>
      <c r="V123"/>
      <c r="W123"/>
    </row>
    <row r="124" spans="1:23">
      <c r="A124"/>
      <c r="B124" s="13"/>
      <c r="C124"/>
      <c r="D124"/>
      <c r="E124"/>
      <c r="F124"/>
      <c r="G124"/>
      <c r="H124"/>
      <c r="I124"/>
      <c r="J124" s="14"/>
      <c r="K124" s="14"/>
      <c r="L124" s="14"/>
      <c r="M124" s="14"/>
      <c r="N124" s="14"/>
      <c r="O124" s="14"/>
      <c r="P124" s="14"/>
      <c r="Q124" s="14"/>
      <c r="R124" s="15"/>
      <c r="S124"/>
      <c r="T124"/>
      <c r="U124"/>
      <c r="V124"/>
      <c r="W124"/>
    </row>
    <row r="125" spans="1:23">
      <c r="A125"/>
      <c r="B125" s="13"/>
      <c r="C125"/>
      <c r="D125"/>
      <c r="E125"/>
      <c r="F125"/>
      <c r="G125"/>
      <c r="H125"/>
      <c r="I125"/>
      <c r="J125" s="14"/>
      <c r="K125" s="14"/>
      <c r="L125" s="14"/>
      <c r="M125" s="14"/>
      <c r="N125" s="14"/>
      <c r="O125" s="14"/>
      <c r="P125" s="14"/>
      <c r="Q125" s="14"/>
      <c r="R125" s="15"/>
      <c r="S125"/>
      <c r="T125"/>
      <c r="U125"/>
      <c r="V125"/>
      <c r="W125"/>
    </row>
    <row r="126" spans="1:23">
      <c r="A126"/>
      <c r="B126" s="13"/>
      <c r="C126"/>
      <c r="D126"/>
      <c r="E126"/>
      <c r="F126"/>
      <c r="G126"/>
      <c r="H126"/>
      <c r="I126"/>
      <c r="J126" s="14"/>
      <c r="K126" s="14"/>
      <c r="L126" s="14"/>
      <c r="M126" s="14"/>
      <c r="N126" s="14"/>
      <c r="O126" s="14"/>
      <c r="P126" s="14"/>
      <c r="Q126" s="14"/>
      <c r="R126" s="15"/>
      <c r="S126"/>
      <c r="T126"/>
      <c r="U126"/>
      <c r="V126"/>
      <c r="W126"/>
    </row>
    <row r="127" spans="1:23">
      <c r="A127"/>
      <c r="B127" s="13"/>
      <c r="C127"/>
      <c r="D127"/>
      <c r="E127"/>
      <c r="F127"/>
      <c r="G127"/>
      <c r="H127"/>
      <c r="I127"/>
      <c r="J127" s="14"/>
      <c r="K127" s="14"/>
      <c r="L127" s="14"/>
      <c r="M127" s="14"/>
      <c r="N127" s="14"/>
      <c r="O127" s="14"/>
      <c r="P127" s="14"/>
      <c r="Q127" s="14"/>
      <c r="R127" s="15"/>
      <c r="S127"/>
      <c r="T127"/>
      <c r="U127"/>
      <c r="V127"/>
      <c r="W127"/>
    </row>
    <row r="128" spans="1:23">
      <c r="A128"/>
      <c r="B128" s="13"/>
      <c r="C128"/>
      <c r="D128"/>
      <c r="E128"/>
      <c r="F128"/>
      <c r="G128"/>
      <c r="H128"/>
      <c r="I128"/>
      <c r="J128" s="14"/>
      <c r="K128" s="14"/>
      <c r="L128" s="14"/>
      <c r="M128" s="14"/>
      <c r="N128" s="14"/>
      <c r="O128" s="14"/>
      <c r="P128" s="14"/>
      <c r="Q128" s="14"/>
      <c r="R128" s="15"/>
      <c r="S128"/>
      <c r="T128"/>
      <c r="U128"/>
      <c r="V128"/>
      <c r="W128"/>
    </row>
    <row r="129" spans="1:23">
      <c r="A129"/>
      <c r="B129" s="13"/>
      <c r="C129"/>
      <c r="D129"/>
      <c r="E129"/>
      <c r="F129"/>
      <c r="G129"/>
      <c r="H129"/>
      <c r="I129"/>
      <c r="J129" s="14"/>
      <c r="K129" s="14"/>
      <c r="L129" s="14"/>
      <c r="M129" s="14"/>
      <c r="N129" s="14"/>
      <c r="O129" s="14"/>
      <c r="P129" s="14"/>
      <c r="Q129" s="14"/>
      <c r="R129" s="15"/>
      <c r="S129"/>
      <c r="T129"/>
      <c r="U129"/>
      <c r="V129"/>
      <c r="W129"/>
    </row>
    <row r="130" spans="1:23">
      <c r="A130"/>
      <c r="B130" s="13"/>
      <c r="C130"/>
      <c r="D130"/>
      <c r="E130"/>
      <c r="F130"/>
      <c r="G130"/>
      <c r="H130"/>
      <c r="I130"/>
      <c r="J130" s="14"/>
      <c r="K130" s="14"/>
      <c r="L130" s="14"/>
      <c r="M130" s="14"/>
      <c r="N130" s="14"/>
      <c r="O130" s="14"/>
      <c r="P130" s="14"/>
      <c r="Q130" s="14"/>
      <c r="R130" s="15"/>
      <c r="S130"/>
      <c r="T130"/>
      <c r="U130"/>
      <c r="V130"/>
      <c r="W130"/>
    </row>
    <row r="131" spans="1:23">
      <c r="A131"/>
      <c r="B131" s="13"/>
      <c r="C131"/>
      <c r="D131"/>
      <c r="E131"/>
      <c r="F131"/>
      <c r="G131"/>
      <c r="H131"/>
      <c r="I131"/>
      <c r="J131" s="14"/>
      <c r="K131" s="14"/>
      <c r="L131" s="14"/>
      <c r="M131" s="14"/>
      <c r="N131" s="14"/>
      <c r="O131" s="14"/>
      <c r="P131" s="14"/>
      <c r="Q131" s="14"/>
      <c r="R131" s="15"/>
      <c r="S131"/>
      <c r="T131"/>
      <c r="U131"/>
      <c r="V131"/>
      <c r="W131"/>
    </row>
    <row r="132" spans="1:23">
      <c r="A132"/>
      <c r="B132" s="13"/>
      <c r="C132"/>
      <c r="D132"/>
      <c r="E132"/>
      <c r="F132"/>
      <c r="G132"/>
      <c r="H132"/>
      <c r="I132"/>
      <c r="J132" s="14"/>
      <c r="K132" s="14"/>
      <c r="L132" s="14"/>
      <c r="M132" s="14"/>
      <c r="N132" s="14"/>
      <c r="O132" s="14"/>
      <c r="P132" s="14"/>
      <c r="Q132" s="14"/>
      <c r="R132" s="15"/>
      <c r="S132"/>
      <c r="T132"/>
      <c r="U132"/>
      <c r="V132"/>
      <c r="W132"/>
    </row>
    <row r="133" spans="1:23">
      <c r="A133"/>
      <c r="B133" s="13"/>
      <c r="C133"/>
      <c r="D133"/>
      <c r="E133"/>
      <c r="F133"/>
      <c r="G133"/>
      <c r="H133"/>
      <c r="I133"/>
      <c r="J133" s="14"/>
      <c r="K133" s="14"/>
      <c r="L133" s="14"/>
      <c r="M133" s="14"/>
      <c r="N133" s="14"/>
      <c r="O133" s="14"/>
      <c r="P133" s="14"/>
      <c r="Q133" s="14"/>
      <c r="R133" s="15"/>
      <c r="S133"/>
      <c r="T133"/>
      <c r="U133"/>
      <c r="V133"/>
      <c r="W133"/>
    </row>
    <row r="134" spans="1:23">
      <c r="A134"/>
      <c r="B134" s="13"/>
      <c r="C134"/>
      <c r="D134"/>
      <c r="E134"/>
      <c r="F134"/>
      <c r="G134"/>
      <c r="H134"/>
      <c r="I134"/>
      <c r="J134" s="14"/>
      <c r="K134" s="14"/>
      <c r="L134" s="14"/>
      <c r="M134" s="14"/>
      <c r="N134" s="14"/>
      <c r="O134" s="14"/>
      <c r="P134" s="14"/>
      <c r="Q134" s="14"/>
      <c r="R134" s="15"/>
      <c r="S134"/>
      <c r="T134"/>
      <c r="U134"/>
      <c r="V134"/>
      <c r="W134"/>
    </row>
    <row r="135" spans="1:23">
      <c r="A135"/>
      <c r="B135" s="13"/>
      <c r="C135" s="28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5"/>
      <c r="S135"/>
      <c r="T135"/>
      <c r="U135"/>
      <c r="V135"/>
      <c r="W135"/>
    </row>
    <row r="136" spans="1:23" ht="16" thickBot="1">
      <c r="A136"/>
      <c r="B136" s="16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8"/>
      <c r="S136"/>
      <c r="T136"/>
      <c r="U136"/>
      <c r="V136"/>
      <c r="W136"/>
    </row>
    <row r="137" spans="1:23">
      <c r="A137"/>
      <c r="B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ht="16" thickBot="1">
      <c r="A138"/>
      <c r="B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>
      <c r="A139"/>
      <c r="B139" s="10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2"/>
      <c r="S139"/>
      <c r="T139"/>
      <c r="U139"/>
      <c r="V139"/>
      <c r="W139"/>
    </row>
    <row r="140" spans="1:23">
      <c r="A140"/>
      <c r="B140" s="348" t="s">
        <v>185</v>
      </c>
      <c r="C140" s="349"/>
      <c r="D140" s="349"/>
      <c r="E140" s="349"/>
      <c r="F140" s="349"/>
      <c r="G140" s="349"/>
      <c r="H140" s="349"/>
      <c r="I140" s="349"/>
      <c r="J140" s="349"/>
      <c r="K140" s="349"/>
      <c r="L140" s="349"/>
      <c r="M140" s="349"/>
      <c r="N140" s="349"/>
      <c r="O140" s="349"/>
      <c r="P140" s="349"/>
      <c r="Q140" s="349"/>
      <c r="R140" s="350"/>
      <c r="S140"/>
      <c r="T140"/>
      <c r="U140"/>
      <c r="V140"/>
      <c r="W140"/>
    </row>
    <row r="141" spans="1:23" ht="16" thickBot="1">
      <c r="A141"/>
      <c r="B141" s="16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8"/>
      <c r="S141"/>
      <c r="T141"/>
      <c r="U141"/>
      <c r="V141"/>
      <c r="W141"/>
    </row>
    <row r="142" spans="1:23">
      <c r="A142"/>
      <c r="B142" s="13"/>
      <c r="C142" s="14"/>
      <c r="D142" s="14"/>
      <c r="E142" s="14"/>
      <c r="F142" s="14"/>
      <c r="G142" s="14"/>
      <c r="H142" s="14"/>
      <c r="I142" s="14"/>
      <c r="K142"/>
      <c r="L142"/>
      <c r="M142"/>
      <c r="N142"/>
      <c r="O142"/>
      <c r="P142"/>
      <c r="Q142"/>
      <c r="R142" s="15"/>
      <c r="S142"/>
      <c r="T142"/>
      <c r="U142"/>
      <c r="V142"/>
      <c r="W142"/>
    </row>
    <row r="143" spans="1:23">
      <c r="A143"/>
      <c r="B143" s="13"/>
      <c r="C143" s="29" t="s">
        <v>280</v>
      </c>
      <c r="G143" s="14"/>
      <c r="H143" s="14"/>
      <c r="I143" s="14"/>
      <c r="J143"/>
      <c r="K143"/>
      <c r="L143"/>
      <c r="M143"/>
      <c r="N143"/>
      <c r="O143"/>
      <c r="P143"/>
      <c r="Q143"/>
      <c r="R143" s="15"/>
      <c r="S143"/>
      <c r="T143"/>
      <c r="U143"/>
      <c r="V143"/>
      <c r="W143"/>
    </row>
    <row r="144" spans="1:23">
      <c r="A144"/>
      <c r="B144" s="13"/>
      <c r="G144" s="14"/>
      <c r="H144" s="14"/>
      <c r="I144" s="14"/>
      <c r="J144"/>
      <c r="K144"/>
      <c r="L144"/>
      <c r="M144"/>
      <c r="N144"/>
      <c r="O144"/>
      <c r="P144"/>
      <c r="Q144"/>
      <c r="R144" s="15"/>
      <c r="S144"/>
      <c r="T144"/>
      <c r="U144"/>
      <c r="V144"/>
      <c r="W144"/>
    </row>
    <row r="145" spans="1:23">
      <c r="A145"/>
      <c r="B145" s="13"/>
      <c r="C145" s="30" t="s">
        <v>122</v>
      </c>
      <c r="D145" s="352" t="s">
        <v>281</v>
      </c>
      <c r="E145" s="352"/>
      <c r="F145" s="352"/>
      <c r="G145" s="14"/>
      <c r="H145" s="14"/>
      <c r="I145" s="14"/>
      <c r="J145"/>
      <c r="K145"/>
      <c r="L145"/>
      <c r="M145"/>
      <c r="N145"/>
      <c r="O145"/>
      <c r="P145"/>
      <c r="Q145"/>
      <c r="R145" s="15"/>
      <c r="S145"/>
      <c r="T145"/>
      <c r="U145"/>
      <c r="V145"/>
      <c r="W145"/>
    </row>
    <row r="146" spans="1:23">
      <c r="B146" s="13"/>
      <c r="D146" s="352"/>
      <c r="E146" s="352"/>
      <c r="F146" s="352"/>
      <c r="G146" s="14"/>
      <c r="H146" s="14"/>
      <c r="I146" s="14"/>
      <c r="J146"/>
      <c r="K146"/>
      <c r="L146"/>
      <c r="M146"/>
      <c r="N146"/>
      <c r="O146"/>
      <c r="P146"/>
      <c r="Q146"/>
      <c r="R146" s="15"/>
    </row>
    <row r="147" spans="1:23">
      <c r="B147" s="13"/>
      <c r="C147" s="14"/>
      <c r="D147" s="351" t="s">
        <v>279</v>
      </c>
      <c r="E147" s="351"/>
      <c r="F147" s="351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5"/>
    </row>
    <row r="148" spans="1:23">
      <c r="B148" s="13"/>
      <c r="C148" s="14"/>
      <c r="D148" s="351"/>
      <c r="E148" s="351"/>
      <c r="F148" s="351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5"/>
    </row>
    <row r="149" spans="1:23">
      <c r="B149" s="13"/>
      <c r="C149" s="14"/>
      <c r="D149" s="351"/>
      <c r="E149" s="351"/>
      <c r="F149" s="351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5"/>
    </row>
    <row r="150" spans="1:23">
      <c r="B150" s="13"/>
      <c r="C150" s="28" t="s">
        <v>121</v>
      </c>
      <c r="D150" s="162" t="s">
        <v>267</v>
      </c>
      <c r="E150" s="168"/>
      <c r="F150" s="168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5"/>
    </row>
    <row r="151" spans="1:23">
      <c r="B151" s="13"/>
      <c r="C151" s="14"/>
      <c r="D151" s="1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5"/>
    </row>
    <row r="152" spans="1:23">
      <c r="B152" s="13"/>
      <c r="C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5"/>
    </row>
    <row r="153" spans="1:23">
      <c r="B153" s="13"/>
      <c r="C153" s="14"/>
      <c r="D153" s="1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5"/>
    </row>
    <row r="154" spans="1:23">
      <c r="B154" s="13"/>
      <c r="C154" s="29"/>
      <c r="D154" s="1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5"/>
    </row>
    <row r="155" spans="1:23">
      <c r="B155" s="13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5"/>
    </row>
    <row r="156" spans="1:23">
      <c r="B156" s="13"/>
      <c r="C156" s="30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5"/>
    </row>
    <row r="157" spans="1:23">
      <c r="B157" s="13"/>
      <c r="C157" s="30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5"/>
    </row>
    <row r="158" spans="1:23">
      <c r="B158" s="13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5"/>
    </row>
    <row r="159" spans="1:23">
      <c r="B159" s="13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5"/>
    </row>
    <row r="160" spans="1:23">
      <c r="B160" s="13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5"/>
    </row>
    <row r="161" spans="2:18">
      <c r="B161" s="13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5"/>
    </row>
    <row r="162" spans="2:18">
      <c r="B162" s="13"/>
      <c r="C162"/>
      <c r="D162"/>
      <c r="E162"/>
      <c r="F162"/>
      <c r="G162"/>
      <c r="H162"/>
      <c r="I162"/>
      <c r="J162" s="14"/>
      <c r="K162" s="14"/>
      <c r="L162" s="14"/>
      <c r="M162" s="14"/>
      <c r="N162" s="14"/>
      <c r="O162" s="14"/>
      <c r="P162" s="14"/>
      <c r="Q162" s="14"/>
      <c r="R162" s="15"/>
    </row>
    <row r="163" spans="2:18">
      <c r="B163" s="13"/>
      <c r="C163"/>
      <c r="D163"/>
      <c r="E163"/>
      <c r="F163"/>
      <c r="G163"/>
      <c r="H163"/>
      <c r="I163"/>
      <c r="J163" s="14"/>
      <c r="K163" s="14"/>
      <c r="L163" s="14"/>
      <c r="M163" s="14"/>
      <c r="N163" s="14"/>
      <c r="O163" s="14"/>
      <c r="P163" s="14"/>
      <c r="Q163" s="14"/>
      <c r="R163" s="15"/>
    </row>
    <row r="164" spans="2:18">
      <c r="B164" s="13"/>
      <c r="C164"/>
      <c r="D164"/>
      <c r="E164"/>
      <c r="F164"/>
      <c r="G164"/>
      <c r="H164"/>
      <c r="I164"/>
      <c r="J164" s="14"/>
      <c r="K164" s="14"/>
      <c r="L164" s="14"/>
      <c r="M164" s="14"/>
      <c r="N164" s="14"/>
      <c r="O164" s="14"/>
      <c r="P164" s="14"/>
      <c r="Q164" s="14"/>
      <c r="R164" s="15"/>
    </row>
    <row r="165" spans="2:18">
      <c r="B165" s="13"/>
      <c r="C165"/>
      <c r="D165"/>
      <c r="E165"/>
      <c r="F165"/>
      <c r="G165"/>
      <c r="H165"/>
      <c r="I165"/>
      <c r="J165" s="14"/>
      <c r="K165" s="14"/>
      <c r="L165" s="14"/>
      <c r="M165" s="14"/>
      <c r="N165" s="14"/>
      <c r="O165" s="14"/>
      <c r="P165" s="14"/>
      <c r="Q165" s="14"/>
      <c r="R165" s="15"/>
    </row>
    <row r="166" spans="2:18">
      <c r="B166" s="13"/>
      <c r="C166"/>
      <c r="D166"/>
      <c r="E166"/>
      <c r="F166"/>
      <c r="G166"/>
      <c r="H166"/>
      <c r="I166"/>
      <c r="J166" s="14"/>
      <c r="K166" s="14"/>
      <c r="L166" s="14"/>
      <c r="M166" s="14"/>
      <c r="N166" s="14"/>
      <c r="O166" s="14"/>
      <c r="P166" s="14"/>
      <c r="Q166" s="14"/>
      <c r="R166" s="15"/>
    </row>
    <row r="167" spans="2:18">
      <c r="B167" s="13"/>
      <c r="C167"/>
      <c r="D167"/>
      <c r="E167"/>
      <c r="F167"/>
      <c r="G167"/>
      <c r="H167"/>
      <c r="I167"/>
      <c r="J167" s="14"/>
      <c r="K167" s="14"/>
      <c r="L167" s="14"/>
      <c r="M167" s="14"/>
      <c r="N167" s="14"/>
      <c r="O167" s="14"/>
      <c r="P167" s="14"/>
      <c r="Q167" s="14"/>
      <c r="R167" s="15"/>
    </row>
    <row r="168" spans="2:18">
      <c r="B168" s="13"/>
      <c r="C168"/>
      <c r="D168"/>
      <c r="E168"/>
      <c r="F168"/>
      <c r="G168"/>
      <c r="H168"/>
      <c r="I168"/>
      <c r="J168" s="14"/>
      <c r="K168" s="14"/>
      <c r="L168" s="14"/>
      <c r="M168" s="14"/>
      <c r="N168" s="14"/>
      <c r="O168" s="14"/>
      <c r="P168" s="14"/>
      <c r="Q168" s="14"/>
      <c r="R168" s="15"/>
    </row>
    <row r="169" spans="2:18">
      <c r="B169" s="13"/>
      <c r="C169"/>
      <c r="D169"/>
      <c r="E169"/>
      <c r="F169"/>
      <c r="G169"/>
      <c r="H169"/>
      <c r="I169"/>
      <c r="J169" s="14"/>
      <c r="K169" s="14"/>
      <c r="L169" s="14"/>
      <c r="M169" s="14"/>
      <c r="N169" s="14"/>
      <c r="O169" s="14"/>
      <c r="P169" s="14"/>
      <c r="Q169" s="14"/>
      <c r="R169" s="15"/>
    </row>
    <row r="170" spans="2:18">
      <c r="B170" s="13"/>
      <c r="C170"/>
      <c r="D170"/>
      <c r="E170"/>
      <c r="F170"/>
      <c r="G170"/>
      <c r="H170"/>
      <c r="I170"/>
      <c r="J170" s="14"/>
      <c r="K170" s="14"/>
      <c r="L170" s="14"/>
      <c r="M170" s="14"/>
      <c r="N170" s="14"/>
      <c r="O170" s="14"/>
      <c r="P170" s="14"/>
      <c r="Q170" s="14"/>
      <c r="R170" s="15"/>
    </row>
    <row r="171" spans="2:18">
      <c r="B171" s="13"/>
      <c r="C171"/>
      <c r="D171"/>
      <c r="E171"/>
      <c r="F171"/>
      <c r="G171"/>
      <c r="H171"/>
      <c r="I171"/>
      <c r="J171" s="14"/>
      <c r="K171" s="14"/>
      <c r="L171" s="14"/>
      <c r="M171" s="14"/>
      <c r="N171" s="14"/>
      <c r="O171" s="14"/>
      <c r="P171" s="14"/>
      <c r="Q171" s="14"/>
      <c r="R171" s="15"/>
    </row>
    <row r="172" spans="2:18">
      <c r="B172" s="13"/>
      <c r="C172"/>
      <c r="D172"/>
      <c r="E172"/>
      <c r="F172"/>
      <c r="G172"/>
      <c r="H172"/>
      <c r="I172"/>
      <c r="J172" s="14"/>
      <c r="K172" s="14"/>
      <c r="L172" s="14"/>
      <c r="M172" s="14"/>
      <c r="N172" s="14"/>
      <c r="O172" s="14"/>
      <c r="P172" s="14"/>
      <c r="Q172" s="14"/>
      <c r="R172" s="15"/>
    </row>
    <row r="173" spans="2:18">
      <c r="B173" s="13"/>
      <c r="C173"/>
      <c r="D173"/>
      <c r="E173"/>
      <c r="F173"/>
      <c r="G173"/>
      <c r="H173"/>
      <c r="I173"/>
      <c r="J173" s="14"/>
      <c r="K173" s="14"/>
      <c r="L173" s="14"/>
      <c r="M173" s="14"/>
      <c r="N173" s="14"/>
      <c r="O173" s="14"/>
      <c r="P173" s="14"/>
      <c r="Q173" s="14"/>
      <c r="R173" s="15"/>
    </row>
    <row r="174" spans="2:18">
      <c r="B174" s="13"/>
      <c r="C174"/>
      <c r="D174"/>
      <c r="E174"/>
      <c r="F174"/>
      <c r="G174"/>
      <c r="H174"/>
      <c r="I174"/>
      <c r="J174" s="14"/>
      <c r="K174" s="14"/>
      <c r="L174" s="14"/>
      <c r="M174" s="14"/>
      <c r="N174" s="14"/>
      <c r="O174" s="14"/>
      <c r="P174" s="14"/>
      <c r="Q174" s="14"/>
      <c r="R174" s="15"/>
    </row>
    <row r="175" spans="2:18">
      <c r="B175" s="13"/>
      <c r="C175"/>
      <c r="D175"/>
      <c r="E175"/>
      <c r="F175"/>
      <c r="G175"/>
      <c r="H175"/>
      <c r="I175"/>
      <c r="J175" s="14"/>
      <c r="K175" s="14"/>
      <c r="L175" s="14"/>
      <c r="M175" s="14"/>
      <c r="N175" s="14"/>
      <c r="O175" s="14"/>
      <c r="P175" s="14"/>
      <c r="Q175" s="14"/>
      <c r="R175" s="15"/>
    </row>
    <row r="176" spans="2:18">
      <c r="B176" s="13"/>
      <c r="C176"/>
      <c r="D176"/>
      <c r="E176"/>
      <c r="F176"/>
      <c r="G176"/>
      <c r="H176"/>
      <c r="I176"/>
      <c r="J176" s="14"/>
      <c r="K176" s="14"/>
      <c r="L176" s="14"/>
      <c r="M176" s="14"/>
      <c r="N176" s="14"/>
      <c r="O176" s="14"/>
      <c r="P176" s="14"/>
      <c r="Q176" s="14"/>
      <c r="R176" s="15"/>
    </row>
    <row r="177" spans="2:18">
      <c r="B177" s="13"/>
      <c r="C177"/>
      <c r="D177"/>
      <c r="E177"/>
      <c r="F177"/>
      <c r="G177"/>
      <c r="H177"/>
      <c r="I177"/>
      <c r="J177" s="14"/>
      <c r="K177" s="14"/>
      <c r="L177" s="14"/>
      <c r="M177" s="14"/>
      <c r="N177" s="14"/>
      <c r="O177" s="14"/>
      <c r="P177" s="14"/>
      <c r="Q177" s="14"/>
      <c r="R177" s="15"/>
    </row>
    <row r="178" spans="2:18">
      <c r="B178" s="13"/>
      <c r="C178"/>
      <c r="D178"/>
      <c r="E178"/>
      <c r="F178"/>
      <c r="G178"/>
      <c r="H178"/>
      <c r="I178"/>
      <c r="J178" s="14"/>
      <c r="K178" s="14"/>
      <c r="L178" s="14"/>
      <c r="M178" s="14"/>
      <c r="N178" s="14"/>
      <c r="O178" s="14"/>
      <c r="P178" s="14"/>
      <c r="Q178" s="14"/>
      <c r="R178" s="15"/>
    </row>
    <row r="179" spans="2:18">
      <c r="B179" s="13"/>
      <c r="C179"/>
      <c r="D179"/>
      <c r="E179"/>
      <c r="F179"/>
      <c r="G179"/>
      <c r="H179"/>
      <c r="I179"/>
      <c r="J179" s="14"/>
      <c r="K179" s="14"/>
      <c r="L179" s="14"/>
      <c r="M179" s="14"/>
      <c r="N179" s="14"/>
      <c r="O179" s="14"/>
      <c r="P179" s="14"/>
      <c r="Q179" s="14"/>
      <c r="R179" s="15"/>
    </row>
    <row r="180" spans="2:18">
      <c r="B180" s="13"/>
      <c r="C180"/>
      <c r="D180"/>
      <c r="E180"/>
      <c r="F180"/>
      <c r="G180"/>
      <c r="H180"/>
      <c r="I180"/>
      <c r="J180" s="14"/>
      <c r="K180" s="14"/>
      <c r="L180" s="14"/>
      <c r="M180" s="14"/>
      <c r="N180" s="14"/>
      <c r="O180" s="14"/>
      <c r="P180" s="14"/>
      <c r="Q180" s="14"/>
      <c r="R180" s="15"/>
    </row>
    <row r="181" spans="2:18">
      <c r="B181" s="13"/>
      <c r="C181" s="28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5"/>
    </row>
    <row r="182" spans="2:18" ht="16" thickBot="1">
      <c r="B182" s="16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8"/>
    </row>
    <row r="184" spans="2:18" ht="16" thickBot="1"/>
    <row r="185" spans="2:18">
      <c r="B185" s="10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2"/>
    </row>
    <row r="186" spans="2:18">
      <c r="B186" s="348" t="s">
        <v>185</v>
      </c>
      <c r="C186" s="349"/>
      <c r="D186" s="349"/>
      <c r="E186" s="349"/>
      <c r="F186" s="349"/>
      <c r="G186" s="349"/>
      <c r="H186" s="349"/>
      <c r="I186" s="349"/>
      <c r="J186" s="349"/>
      <c r="K186" s="349"/>
      <c r="L186" s="349"/>
      <c r="M186" s="349"/>
      <c r="N186" s="349"/>
      <c r="O186" s="349"/>
      <c r="P186" s="349"/>
      <c r="Q186" s="349"/>
      <c r="R186" s="350"/>
    </row>
    <row r="187" spans="2:18" ht="16" thickBot="1">
      <c r="B187" s="16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8"/>
    </row>
    <row r="188" spans="2:18">
      <c r="B188" s="13"/>
      <c r="C188" s="14"/>
      <c r="D188" s="14"/>
      <c r="E188" s="14"/>
      <c r="F188" s="14"/>
      <c r="G188" s="14"/>
      <c r="H188" s="14"/>
      <c r="I188" s="14"/>
      <c r="K188"/>
      <c r="L188"/>
      <c r="M188"/>
      <c r="N188"/>
      <c r="O188"/>
      <c r="P188"/>
      <c r="Q188"/>
      <c r="R188" s="15"/>
    </row>
    <row r="189" spans="2:18">
      <c r="B189" s="13"/>
      <c r="C189" s="29" t="s">
        <v>282</v>
      </c>
      <c r="G189" s="14"/>
      <c r="H189" s="14"/>
      <c r="I189" s="14"/>
      <c r="J189"/>
      <c r="K189"/>
      <c r="L189"/>
      <c r="M189"/>
      <c r="N189"/>
      <c r="O189"/>
      <c r="P189"/>
      <c r="Q189"/>
      <c r="R189" s="15"/>
    </row>
    <row r="190" spans="2:18">
      <c r="B190" s="13"/>
      <c r="G190" s="14"/>
      <c r="H190" s="14"/>
      <c r="I190" s="14"/>
      <c r="J190"/>
      <c r="K190"/>
      <c r="L190"/>
      <c r="M190"/>
      <c r="N190"/>
      <c r="O190"/>
      <c r="P190"/>
      <c r="Q190"/>
      <c r="R190" s="15"/>
    </row>
    <row r="191" spans="2:18">
      <c r="B191" s="13"/>
      <c r="C191" s="30" t="s">
        <v>122</v>
      </c>
      <c r="D191" s="351" t="s">
        <v>283</v>
      </c>
      <c r="E191" s="351"/>
      <c r="F191" s="351"/>
      <c r="G191" s="14"/>
      <c r="H191" s="14"/>
      <c r="I191" s="14"/>
      <c r="J191"/>
      <c r="K191"/>
      <c r="L191"/>
      <c r="M191"/>
      <c r="N191"/>
      <c r="O191"/>
      <c r="P191"/>
      <c r="Q191"/>
      <c r="R191" s="15"/>
    </row>
    <row r="192" spans="2:18">
      <c r="B192" s="13"/>
      <c r="D192" s="351"/>
      <c r="E192" s="351"/>
      <c r="F192" s="351"/>
      <c r="G192" s="14"/>
      <c r="H192" s="14"/>
      <c r="I192" s="14"/>
      <c r="J192"/>
      <c r="K192"/>
      <c r="L192"/>
      <c r="M192"/>
      <c r="N192"/>
      <c r="O192"/>
      <c r="P192"/>
      <c r="Q192"/>
      <c r="R192" s="15"/>
    </row>
    <row r="193" spans="2:18">
      <c r="B193" s="13"/>
      <c r="C193" s="14"/>
      <c r="D193" s="351" t="s">
        <v>279</v>
      </c>
      <c r="E193" s="351"/>
      <c r="F193" s="351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5"/>
    </row>
    <row r="194" spans="2:18">
      <c r="B194" s="13"/>
      <c r="C194" s="14"/>
      <c r="D194" s="351"/>
      <c r="E194" s="351"/>
      <c r="F194" s="351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5"/>
    </row>
    <row r="195" spans="2:18">
      <c r="B195" s="13"/>
      <c r="C195" s="14"/>
      <c r="D195" s="351"/>
      <c r="E195" s="351"/>
      <c r="F195" s="351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5"/>
    </row>
    <row r="196" spans="2:18">
      <c r="B196" s="13"/>
      <c r="C196" s="28" t="s">
        <v>121</v>
      </c>
      <c r="D196" s="162" t="s">
        <v>267</v>
      </c>
      <c r="E196" s="168"/>
      <c r="F196" s="168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5"/>
    </row>
    <row r="197" spans="2:18">
      <c r="B197" s="13"/>
      <c r="C197" s="14"/>
      <c r="D197" s="1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5"/>
    </row>
    <row r="198" spans="2:18">
      <c r="B198" s="13"/>
      <c r="C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5"/>
    </row>
    <row r="199" spans="2:18">
      <c r="B199" s="13"/>
      <c r="C199" s="14"/>
      <c r="D199" s="1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5"/>
    </row>
    <row r="200" spans="2:18">
      <c r="B200" s="13"/>
      <c r="C200" s="29"/>
      <c r="D200" s="1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5"/>
    </row>
    <row r="201" spans="2:18">
      <c r="B201" s="13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5"/>
    </row>
    <row r="202" spans="2:18">
      <c r="B202" s="13"/>
      <c r="C202" s="30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5"/>
    </row>
    <row r="203" spans="2:18">
      <c r="B203" s="13"/>
      <c r="C203" s="30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5"/>
    </row>
    <row r="204" spans="2:18">
      <c r="B204" s="13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5"/>
    </row>
    <row r="205" spans="2:18">
      <c r="B205" s="13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5"/>
    </row>
    <row r="206" spans="2:18">
      <c r="B206" s="13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5"/>
    </row>
    <row r="207" spans="2:18">
      <c r="B207" s="13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5"/>
    </row>
    <row r="208" spans="2:18">
      <c r="B208" s="13"/>
      <c r="C208"/>
      <c r="D208"/>
      <c r="E208"/>
      <c r="F208"/>
      <c r="G208"/>
      <c r="H208"/>
      <c r="I208"/>
      <c r="J208" s="14"/>
      <c r="K208" s="14"/>
      <c r="L208" s="14"/>
      <c r="M208" s="14"/>
      <c r="N208" s="14"/>
      <c r="O208" s="14"/>
      <c r="P208" s="14"/>
      <c r="Q208" s="14"/>
      <c r="R208" s="15"/>
    </row>
    <row r="209" spans="2:18">
      <c r="B209" s="13"/>
      <c r="C209"/>
      <c r="D209"/>
      <c r="E209"/>
      <c r="F209"/>
      <c r="G209"/>
      <c r="H209"/>
      <c r="I209"/>
      <c r="J209" s="14"/>
      <c r="K209" s="14"/>
      <c r="L209" s="14"/>
      <c r="M209" s="14"/>
      <c r="N209" s="14"/>
      <c r="O209" s="14"/>
      <c r="P209" s="14"/>
      <c r="Q209" s="14"/>
      <c r="R209" s="15"/>
    </row>
    <row r="210" spans="2:18">
      <c r="B210" s="13"/>
      <c r="C210"/>
      <c r="D210"/>
      <c r="E210"/>
      <c r="F210"/>
      <c r="G210"/>
      <c r="H210"/>
      <c r="I210"/>
      <c r="J210" s="14"/>
      <c r="K210" s="14"/>
      <c r="L210" s="14"/>
      <c r="M210" s="14"/>
      <c r="N210" s="14"/>
      <c r="O210" s="14"/>
      <c r="P210" s="14"/>
      <c r="Q210" s="14"/>
      <c r="R210" s="15"/>
    </row>
    <row r="211" spans="2:18">
      <c r="B211" s="13"/>
      <c r="C211"/>
      <c r="D211"/>
      <c r="E211"/>
      <c r="F211"/>
      <c r="G211"/>
      <c r="H211"/>
      <c r="I211"/>
      <c r="J211" s="14"/>
      <c r="K211" s="14"/>
      <c r="L211" s="14"/>
      <c r="M211" s="14"/>
      <c r="N211" s="14"/>
      <c r="O211" s="14"/>
      <c r="P211" s="14"/>
      <c r="Q211" s="14"/>
      <c r="R211" s="15"/>
    </row>
    <row r="212" spans="2:18">
      <c r="B212" s="13"/>
      <c r="C212"/>
      <c r="D212"/>
      <c r="E212"/>
      <c r="F212"/>
      <c r="G212"/>
      <c r="H212"/>
      <c r="I212"/>
      <c r="J212" s="14"/>
      <c r="K212" s="14"/>
      <c r="L212" s="14"/>
      <c r="M212" s="14"/>
      <c r="N212" s="14"/>
      <c r="O212" s="14"/>
      <c r="P212" s="14"/>
      <c r="Q212" s="14"/>
      <c r="R212" s="15"/>
    </row>
    <row r="213" spans="2:18">
      <c r="B213" s="13"/>
      <c r="C213"/>
      <c r="D213"/>
      <c r="E213"/>
      <c r="F213"/>
      <c r="G213"/>
      <c r="H213"/>
      <c r="I213"/>
      <c r="J213" s="14"/>
      <c r="K213" s="14"/>
      <c r="L213" s="14"/>
      <c r="M213" s="14"/>
      <c r="N213" s="14"/>
      <c r="O213" s="14"/>
      <c r="P213" s="14"/>
      <c r="Q213" s="14"/>
      <c r="R213" s="15"/>
    </row>
    <row r="214" spans="2:18">
      <c r="B214" s="13"/>
      <c r="C214"/>
      <c r="D214"/>
      <c r="E214"/>
      <c r="F214"/>
      <c r="G214"/>
      <c r="H214"/>
      <c r="I214"/>
      <c r="J214" s="14"/>
      <c r="K214" s="14"/>
      <c r="L214" s="14"/>
      <c r="M214" s="14"/>
      <c r="N214" s="14"/>
      <c r="O214" s="14"/>
      <c r="P214" s="14"/>
      <c r="Q214" s="14"/>
      <c r="R214" s="15"/>
    </row>
    <row r="215" spans="2:18">
      <c r="B215" s="13"/>
      <c r="C215"/>
      <c r="D215"/>
      <c r="E215"/>
      <c r="F215"/>
      <c r="G215"/>
      <c r="H215"/>
      <c r="I215"/>
      <c r="J215" s="14"/>
      <c r="K215" s="14"/>
      <c r="L215" s="14"/>
      <c r="M215" s="14"/>
      <c r="N215" s="14"/>
      <c r="O215" s="14"/>
      <c r="P215" s="14"/>
      <c r="Q215" s="14"/>
      <c r="R215" s="15"/>
    </row>
    <row r="216" spans="2:18">
      <c r="B216" s="13"/>
      <c r="C216"/>
      <c r="D216"/>
      <c r="E216"/>
      <c r="F216"/>
      <c r="G216"/>
      <c r="H216"/>
      <c r="I216"/>
      <c r="J216" s="14"/>
      <c r="K216" s="14"/>
      <c r="L216" s="14"/>
      <c r="M216" s="14"/>
      <c r="N216" s="14"/>
      <c r="O216" s="14"/>
      <c r="P216" s="14"/>
      <c r="Q216" s="14"/>
      <c r="R216" s="15"/>
    </row>
    <row r="217" spans="2:18">
      <c r="B217" s="13"/>
      <c r="C217"/>
      <c r="D217"/>
      <c r="E217"/>
      <c r="F217"/>
      <c r="G217"/>
      <c r="H217"/>
      <c r="I217"/>
      <c r="J217" s="14"/>
      <c r="K217" s="14"/>
      <c r="L217" s="14"/>
      <c r="M217" s="14"/>
      <c r="N217" s="14"/>
      <c r="O217" s="14"/>
      <c r="P217" s="14"/>
      <c r="Q217" s="14"/>
      <c r="R217" s="15"/>
    </row>
    <row r="218" spans="2:18">
      <c r="B218" s="13"/>
      <c r="C218"/>
      <c r="D218"/>
      <c r="E218"/>
      <c r="F218"/>
      <c r="G218"/>
      <c r="H218"/>
      <c r="I218"/>
      <c r="J218" s="14"/>
      <c r="K218" s="14"/>
      <c r="L218" s="14"/>
      <c r="M218" s="14"/>
      <c r="N218" s="14"/>
      <c r="O218" s="14"/>
      <c r="P218" s="14"/>
      <c r="Q218" s="14"/>
      <c r="R218" s="15"/>
    </row>
    <row r="219" spans="2:18">
      <c r="B219" s="13"/>
      <c r="C219"/>
      <c r="D219"/>
      <c r="E219"/>
      <c r="F219"/>
      <c r="G219"/>
      <c r="H219"/>
      <c r="I219"/>
      <c r="J219" s="14"/>
      <c r="K219" s="14"/>
      <c r="L219" s="14"/>
      <c r="M219" s="14"/>
      <c r="N219" s="14"/>
      <c r="O219" s="14"/>
      <c r="P219" s="14"/>
      <c r="Q219" s="14"/>
      <c r="R219" s="15"/>
    </row>
    <row r="220" spans="2:18">
      <c r="B220" s="13"/>
      <c r="C220"/>
      <c r="D220"/>
      <c r="E220"/>
      <c r="F220"/>
      <c r="G220"/>
      <c r="H220"/>
      <c r="I220"/>
      <c r="J220" s="14"/>
      <c r="K220" s="14"/>
      <c r="L220" s="14"/>
      <c r="M220" s="14"/>
      <c r="N220" s="14"/>
      <c r="O220" s="14"/>
      <c r="P220" s="14"/>
      <c r="Q220" s="14"/>
      <c r="R220" s="15"/>
    </row>
    <row r="221" spans="2:18">
      <c r="B221" s="13"/>
      <c r="C221"/>
      <c r="D221"/>
      <c r="E221"/>
      <c r="F221"/>
      <c r="G221"/>
      <c r="H221"/>
      <c r="I221"/>
      <c r="J221" s="14"/>
      <c r="K221" s="14"/>
      <c r="L221" s="14"/>
      <c r="M221" s="14"/>
      <c r="N221" s="14"/>
      <c r="O221" s="14"/>
      <c r="P221" s="14"/>
      <c r="Q221" s="14"/>
      <c r="R221" s="15"/>
    </row>
    <row r="222" spans="2:18">
      <c r="B222" s="13"/>
      <c r="C222"/>
      <c r="D222"/>
      <c r="E222"/>
      <c r="F222"/>
      <c r="G222"/>
      <c r="H222"/>
      <c r="I222"/>
      <c r="J222" s="14"/>
      <c r="K222" s="14"/>
      <c r="L222" s="14"/>
      <c r="M222" s="14"/>
      <c r="N222" s="14"/>
      <c r="O222" s="14"/>
      <c r="P222" s="14"/>
      <c r="Q222" s="14"/>
      <c r="R222" s="15"/>
    </row>
    <row r="223" spans="2:18">
      <c r="B223" s="13"/>
      <c r="C223"/>
      <c r="D223"/>
      <c r="E223"/>
      <c r="F223"/>
      <c r="G223"/>
      <c r="H223"/>
      <c r="I223"/>
      <c r="J223" s="14"/>
      <c r="K223" s="14"/>
      <c r="L223" s="14"/>
      <c r="M223" s="14"/>
      <c r="N223" s="14"/>
      <c r="O223" s="14"/>
      <c r="P223" s="14"/>
      <c r="Q223" s="14"/>
      <c r="R223" s="15"/>
    </row>
    <row r="224" spans="2:18">
      <c r="B224" s="13"/>
      <c r="C224"/>
      <c r="D224"/>
      <c r="E224"/>
      <c r="F224"/>
      <c r="G224"/>
      <c r="H224"/>
      <c r="I224"/>
      <c r="J224" s="14"/>
      <c r="K224" s="14"/>
      <c r="L224" s="14"/>
      <c r="M224" s="14"/>
      <c r="N224" s="14"/>
      <c r="O224" s="14"/>
      <c r="P224" s="14"/>
      <c r="Q224" s="14"/>
      <c r="R224" s="15"/>
    </row>
    <row r="225" spans="2:18">
      <c r="B225" s="13"/>
      <c r="C225"/>
      <c r="D225"/>
      <c r="E225"/>
      <c r="F225"/>
      <c r="G225"/>
      <c r="H225"/>
      <c r="I225"/>
      <c r="J225" s="14"/>
      <c r="K225" s="14"/>
      <c r="L225" s="14"/>
      <c r="M225" s="14"/>
      <c r="N225" s="14"/>
      <c r="O225" s="14"/>
      <c r="P225" s="14"/>
      <c r="Q225" s="14"/>
      <c r="R225" s="15"/>
    </row>
    <row r="226" spans="2:18">
      <c r="B226" s="13"/>
      <c r="C226"/>
      <c r="D226"/>
      <c r="E226"/>
      <c r="F226"/>
      <c r="G226"/>
      <c r="H226"/>
      <c r="I226"/>
      <c r="J226" s="14"/>
      <c r="K226" s="14"/>
      <c r="L226" s="14"/>
      <c r="M226" s="14"/>
      <c r="N226" s="14"/>
      <c r="O226" s="14"/>
      <c r="P226" s="14"/>
      <c r="Q226" s="14"/>
      <c r="R226" s="15"/>
    </row>
    <row r="227" spans="2:18">
      <c r="B227" s="13"/>
      <c r="C227" s="28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5"/>
    </row>
    <row r="228" spans="2:18" ht="16" thickBot="1">
      <c r="B228" s="16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8"/>
    </row>
    <row r="230" spans="2:18" ht="16" thickBot="1"/>
    <row r="231" spans="2:18">
      <c r="B231" s="10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2"/>
    </row>
    <row r="232" spans="2:18">
      <c r="B232" s="348" t="s">
        <v>185</v>
      </c>
      <c r="C232" s="349"/>
      <c r="D232" s="349"/>
      <c r="E232" s="349"/>
      <c r="F232" s="349"/>
      <c r="G232" s="349"/>
      <c r="H232" s="349"/>
      <c r="I232" s="349"/>
      <c r="J232" s="349"/>
      <c r="K232" s="349"/>
      <c r="L232" s="349"/>
      <c r="M232" s="349"/>
      <c r="N232" s="349"/>
      <c r="O232" s="349"/>
      <c r="P232" s="349"/>
      <c r="Q232" s="349"/>
      <c r="R232" s="350"/>
    </row>
    <row r="233" spans="2:18" ht="16" thickBot="1">
      <c r="B233" s="16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8"/>
    </row>
    <row r="234" spans="2:18">
      <c r="B234" s="13"/>
      <c r="C234" s="14"/>
      <c r="D234" s="14"/>
      <c r="E234" s="14"/>
      <c r="F234" s="14"/>
      <c r="G234" s="14"/>
      <c r="H234" s="14"/>
      <c r="I234" s="14"/>
      <c r="K234"/>
      <c r="L234"/>
      <c r="M234"/>
      <c r="N234"/>
      <c r="O234"/>
      <c r="P234"/>
      <c r="Q234"/>
      <c r="R234" s="15"/>
    </row>
    <row r="235" spans="2:18">
      <c r="B235" s="13"/>
      <c r="C235" s="29" t="s">
        <v>288</v>
      </c>
      <c r="G235" s="14"/>
      <c r="H235" s="14"/>
      <c r="I235" s="14"/>
      <c r="J235"/>
      <c r="K235"/>
      <c r="L235"/>
      <c r="M235"/>
      <c r="N235"/>
      <c r="O235"/>
      <c r="P235"/>
      <c r="Q235"/>
      <c r="R235" s="15"/>
    </row>
    <row r="236" spans="2:18">
      <c r="B236" s="13"/>
      <c r="G236" s="14"/>
      <c r="H236" s="14"/>
      <c r="I236" s="14"/>
      <c r="J236"/>
      <c r="K236"/>
      <c r="L236"/>
      <c r="M236"/>
      <c r="N236"/>
      <c r="O236"/>
      <c r="P236"/>
      <c r="Q236"/>
      <c r="R236" s="15"/>
    </row>
    <row r="237" spans="2:18">
      <c r="B237" s="13"/>
      <c r="C237" s="30" t="s">
        <v>122</v>
      </c>
      <c r="D237" s="351" t="s">
        <v>290</v>
      </c>
      <c r="E237" s="351"/>
      <c r="F237" s="351"/>
      <c r="G237" s="14"/>
      <c r="H237" s="14"/>
      <c r="I237" s="14"/>
      <c r="J237"/>
      <c r="K237"/>
      <c r="L237"/>
      <c r="M237"/>
      <c r="N237"/>
      <c r="O237"/>
      <c r="P237"/>
      <c r="Q237"/>
      <c r="R237" s="15"/>
    </row>
    <row r="238" spans="2:18">
      <c r="B238" s="13"/>
      <c r="D238" s="351"/>
      <c r="E238" s="351"/>
      <c r="F238" s="351"/>
      <c r="G238" s="14"/>
      <c r="H238" s="14"/>
      <c r="I238" s="14"/>
      <c r="J238"/>
      <c r="K238"/>
      <c r="L238"/>
      <c r="M238"/>
      <c r="N238"/>
      <c r="O238"/>
      <c r="P238"/>
      <c r="Q238"/>
      <c r="R238" s="15"/>
    </row>
    <row r="239" spans="2:18">
      <c r="B239" s="13"/>
      <c r="C239" s="14"/>
      <c r="D239" s="351" t="s">
        <v>289</v>
      </c>
      <c r="E239" s="351"/>
      <c r="F239" s="351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5"/>
    </row>
    <row r="240" spans="2:18">
      <c r="B240" s="13"/>
      <c r="C240" s="14"/>
      <c r="D240" s="351"/>
      <c r="E240" s="351"/>
      <c r="F240" s="351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5"/>
    </row>
    <row r="241" spans="2:18">
      <c r="B241" s="13"/>
      <c r="C241" s="14"/>
      <c r="D241" s="351"/>
      <c r="E241" s="351"/>
      <c r="F241" s="351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5"/>
    </row>
    <row r="242" spans="2:18">
      <c r="B242" s="13"/>
      <c r="C242" s="28" t="s">
        <v>121</v>
      </c>
      <c r="D242" s="1"/>
      <c r="E242" s="168"/>
      <c r="F242" s="168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5"/>
    </row>
    <row r="243" spans="2:18">
      <c r="B243" s="13"/>
      <c r="C243" s="14"/>
      <c r="D243" s="1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5"/>
    </row>
    <row r="244" spans="2:18">
      <c r="B244" s="13"/>
      <c r="C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5"/>
    </row>
    <row r="245" spans="2:18">
      <c r="B245" s="13"/>
      <c r="C245" s="14"/>
      <c r="D245" s="1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5"/>
    </row>
    <row r="246" spans="2:18">
      <c r="B246" s="13"/>
      <c r="C246" s="29"/>
      <c r="D246" s="1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5"/>
    </row>
    <row r="247" spans="2:18">
      <c r="B247" s="13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5"/>
    </row>
    <row r="248" spans="2:18">
      <c r="B248" s="13"/>
      <c r="C248" s="30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5"/>
    </row>
    <row r="249" spans="2:18">
      <c r="B249" s="13"/>
      <c r="C249" s="30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5"/>
    </row>
    <row r="250" spans="2:18">
      <c r="B250" s="13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5"/>
    </row>
    <row r="251" spans="2:18">
      <c r="B251" s="13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5"/>
    </row>
    <row r="252" spans="2:18">
      <c r="B252" s="13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5"/>
    </row>
    <row r="253" spans="2:18">
      <c r="B253" s="13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5"/>
    </row>
    <row r="254" spans="2:18">
      <c r="B254" s="13"/>
      <c r="C254"/>
      <c r="D254"/>
      <c r="E254"/>
      <c r="F254"/>
      <c r="G254"/>
      <c r="H254"/>
      <c r="I254"/>
      <c r="J254" s="14"/>
      <c r="K254" s="14"/>
      <c r="L254" s="14"/>
      <c r="M254" s="14"/>
      <c r="N254" s="14"/>
      <c r="O254" s="14"/>
      <c r="P254" s="14"/>
      <c r="Q254" s="14"/>
      <c r="R254" s="15"/>
    </row>
    <row r="255" spans="2:18">
      <c r="B255" s="13"/>
      <c r="C255"/>
      <c r="D255"/>
      <c r="E255"/>
      <c r="F255"/>
      <c r="G255"/>
      <c r="H255"/>
      <c r="I255"/>
      <c r="J255" s="14"/>
      <c r="K255" s="14"/>
      <c r="L255" s="14"/>
      <c r="M255" s="14"/>
      <c r="N255" s="14"/>
      <c r="O255" s="14"/>
      <c r="P255" s="14"/>
      <c r="Q255" s="14"/>
      <c r="R255" s="15"/>
    </row>
    <row r="256" spans="2:18">
      <c r="B256" s="13"/>
      <c r="C256"/>
      <c r="D256"/>
      <c r="E256"/>
      <c r="F256"/>
      <c r="G256"/>
      <c r="H256"/>
      <c r="I256"/>
      <c r="J256" s="14"/>
      <c r="K256" s="14"/>
      <c r="L256" s="14"/>
      <c r="M256" s="14"/>
      <c r="N256" s="14"/>
      <c r="O256" s="14"/>
      <c r="P256" s="14"/>
      <c r="Q256" s="14"/>
      <c r="R256" s="15"/>
    </row>
    <row r="257" spans="2:18">
      <c r="B257" s="13"/>
      <c r="C257"/>
      <c r="D257"/>
      <c r="E257"/>
      <c r="F257"/>
      <c r="G257"/>
      <c r="H257"/>
      <c r="I257"/>
      <c r="J257" s="343"/>
      <c r="K257" s="14"/>
      <c r="L257" s="14"/>
      <c r="M257" s="14"/>
      <c r="N257" s="14"/>
      <c r="O257" s="14"/>
      <c r="P257" s="14"/>
      <c r="Q257" s="14"/>
      <c r="R257" s="15"/>
    </row>
    <row r="258" spans="2:18">
      <c r="B258" s="13"/>
      <c r="C258"/>
      <c r="D258"/>
      <c r="E258"/>
      <c r="F258"/>
      <c r="G258"/>
      <c r="H258"/>
      <c r="I258"/>
      <c r="J258" s="343"/>
      <c r="K258" s="14"/>
      <c r="L258" s="14"/>
      <c r="M258" s="14"/>
      <c r="N258" s="14"/>
      <c r="O258" s="14"/>
      <c r="P258" s="14"/>
      <c r="Q258" s="14"/>
      <c r="R258" s="15"/>
    </row>
    <row r="259" spans="2:18">
      <c r="B259" s="13"/>
      <c r="C259"/>
      <c r="D259"/>
      <c r="E259"/>
      <c r="F259"/>
      <c r="G259"/>
      <c r="H259"/>
      <c r="I259"/>
      <c r="J259" s="14"/>
      <c r="K259" s="14"/>
      <c r="L259" s="14"/>
      <c r="M259" s="14"/>
      <c r="N259" s="14"/>
      <c r="O259" s="14"/>
      <c r="P259" s="14"/>
      <c r="Q259" s="14"/>
      <c r="R259" s="15"/>
    </row>
    <row r="260" spans="2:18">
      <c r="B260" s="13"/>
      <c r="C260"/>
      <c r="D260"/>
      <c r="E260"/>
      <c r="F260"/>
      <c r="G260"/>
      <c r="H260"/>
      <c r="I260"/>
      <c r="J260" s="14"/>
      <c r="K260" s="14"/>
      <c r="L260" s="14"/>
      <c r="M260" s="14"/>
      <c r="N260" s="14"/>
      <c r="O260" s="14"/>
      <c r="P260" s="14"/>
      <c r="Q260" s="14"/>
      <c r="R260" s="15"/>
    </row>
    <row r="261" spans="2:18">
      <c r="B261" s="13"/>
      <c r="C261"/>
      <c r="D261"/>
      <c r="E261"/>
      <c r="F261"/>
      <c r="G261"/>
      <c r="H261"/>
      <c r="I261"/>
      <c r="J261" s="14"/>
      <c r="K261" s="14"/>
      <c r="L261" s="14"/>
      <c r="M261" s="14"/>
      <c r="N261" s="14"/>
      <c r="O261" s="14"/>
      <c r="P261" s="14"/>
      <c r="Q261" s="14"/>
      <c r="R261" s="15"/>
    </row>
    <row r="262" spans="2:18">
      <c r="B262" s="13"/>
      <c r="C262"/>
      <c r="D262"/>
      <c r="E262"/>
      <c r="F262"/>
      <c r="G262"/>
      <c r="H262"/>
      <c r="I262"/>
      <c r="J262" s="14"/>
      <c r="K262" s="14"/>
      <c r="L262" s="14"/>
      <c r="M262" s="14"/>
      <c r="N262" s="14"/>
      <c r="O262" s="14"/>
      <c r="P262" s="14"/>
      <c r="Q262" s="14"/>
      <c r="R262" s="15"/>
    </row>
    <row r="263" spans="2:18">
      <c r="B263" s="13"/>
      <c r="C263"/>
      <c r="D263"/>
      <c r="E263"/>
      <c r="F263"/>
      <c r="G263"/>
      <c r="H263"/>
      <c r="I263"/>
      <c r="J263" s="14"/>
      <c r="K263" s="14"/>
      <c r="L263" s="14"/>
      <c r="M263" s="14"/>
      <c r="N263" s="14"/>
      <c r="O263" s="14"/>
      <c r="P263" s="14"/>
      <c r="Q263" s="14"/>
      <c r="R263" s="15"/>
    </row>
    <row r="264" spans="2:18">
      <c r="B264" s="13"/>
      <c r="C264"/>
      <c r="D264"/>
      <c r="E264"/>
      <c r="F264"/>
      <c r="G264"/>
      <c r="H264"/>
      <c r="I264"/>
      <c r="J264" s="14"/>
      <c r="K264" s="14"/>
      <c r="L264" s="14"/>
      <c r="M264" s="14"/>
      <c r="N264" s="14"/>
      <c r="O264" s="14"/>
      <c r="P264" s="14"/>
      <c r="Q264" s="14"/>
      <c r="R264" s="15"/>
    </row>
    <row r="265" spans="2:18">
      <c r="B265" s="13"/>
      <c r="C265"/>
      <c r="D265"/>
      <c r="E265"/>
      <c r="F265"/>
      <c r="G265"/>
      <c r="H265"/>
      <c r="I265"/>
      <c r="J265" s="14"/>
      <c r="K265" s="14"/>
      <c r="L265" s="14"/>
      <c r="M265" s="14"/>
      <c r="N265" s="14"/>
      <c r="O265" s="14"/>
      <c r="P265" s="14"/>
      <c r="Q265" s="14"/>
      <c r="R265" s="15"/>
    </row>
    <row r="266" spans="2:18">
      <c r="B266" s="13"/>
      <c r="C266"/>
      <c r="D266"/>
      <c r="E266"/>
      <c r="F266"/>
      <c r="G266"/>
      <c r="H266"/>
      <c r="I266"/>
      <c r="J266" s="14"/>
      <c r="K266" s="14"/>
      <c r="L266" s="14"/>
      <c r="M266" s="14"/>
      <c r="N266" s="14"/>
      <c r="O266" s="14"/>
      <c r="P266" s="14"/>
      <c r="Q266" s="14"/>
      <c r="R266" s="15"/>
    </row>
    <row r="267" spans="2:18">
      <c r="B267" s="13"/>
      <c r="C267"/>
      <c r="D267"/>
      <c r="E267"/>
      <c r="F267"/>
      <c r="G267"/>
      <c r="H267"/>
      <c r="I267"/>
      <c r="J267" s="14"/>
      <c r="K267" s="14"/>
      <c r="L267" s="14"/>
      <c r="M267" s="14"/>
      <c r="N267" s="14"/>
      <c r="O267" s="14"/>
      <c r="P267" s="14"/>
      <c r="Q267" s="14"/>
      <c r="R267" s="15"/>
    </row>
    <row r="268" spans="2:18">
      <c r="B268" s="13"/>
      <c r="C268"/>
      <c r="D268"/>
      <c r="E268"/>
      <c r="F268"/>
      <c r="G268"/>
      <c r="H268"/>
      <c r="I268"/>
      <c r="J268" s="14"/>
      <c r="K268" s="14"/>
      <c r="L268" s="14"/>
      <c r="M268" s="14"/>
      <c r="N268" s="14"/>
      <c r="O268" s="14"/>
      <c r="P268" s="14"/>
      <c r="Q268" s="14"/>
      <c r="R268" s="15"/>
    </row>
    <row r="269" spans="2:18">
      <c r="B269" s="13"/>
      <c r="C269"/>
      <c r="D269"/>
      <c r="E269"/>
      <c r="F269"/>
      <c r="G269"/>
      <c r="H269"/>
      <c r="I269"/>
      <c r="J269" s="14"/>
      <c r="K269" s="14"/>
      <c r="L269" s="14"/>
      <c r="M269" s="14"/>
      <c r="N269" s="14"/>
      <c r="O269" s="14"/>
      <c r="P269" s="14"/>
      <c r="Q269" s="14"/>
      <c r="R269" s="15"/>
    </row>
    <row r="270" spans="2:18">
      <c r="B270" s="13"/>
      <c r="C270"/>
      <c r="D270"/>
      <c r="E270"/>
      <c r="F270"/>
      <c r="G270"/>
      <c r="H270"/>
      <c r="I270"/>
      <c r="J270" s="14"/>
      <c r="K270" s="14"/>
      <c r="L270" s="14"/>
      <c r="M270" s="14"/>
      <c r="N270" s="14"/>
      <c r="O270" s="14"/>
      <c r="P270" s="14"/>
      <c r="Q270" s="14"/>
      <c r="R270" s="15"/>
    </row>
    <row r="271" spans="2:18">
      <c r="B271" s="13"/>
      <c r="C271"/>
      <c r="D271"/>
      <c r="E271"/>
      <c r="F271"/>
      <c r="G271"/>
      <c r="H271"/>
      <c r="I271"/>
      <c r="J271" s="14"/>
      <c r="K271" s="14"/>
      <c r="L271" s="14"/>
      <c r="M271" s="14"/>
      <c r="N271" s="14"/>
      <c r="O271" s="14"/>
      <c r="P271" s="14"/>
      <c r="Q271" s="14"/>
      <c r="R271" s="15"/>
    </row>
    <row r="272" spans="2:18">
      <c r="B272" s="13"/>
      <c r="C272"/>
      <c r="D272"/>
      <c r="E272"/>
      <c r="F272"/>
      <c r="G272"/>
      <c r="H272"/>
      <c r="I272"/>
      <c r="J272" s="14"/>
      <c r="K272" s="14"/>
      <c r="L272" s="14"/>
      <c r="M272" s="14"/>
      <c r="N272" s="14"/>
      <c r="O272" s="14"/>
      <c r="P272" s="14"/>
      <c r="Q272" s="14"/>
      <c r="R272" s="15"/>
    </row>
    <row r="273" spans="2:18">
      <c r="B273" s="13"/>
      <c r="C273" s="28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5"/>
    </row>
    <row r="274" spans="2:18" ht="16" thickBot="1">
      <c r="B274" s="16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8"/>
    </row>
  </sheetData>
  <mergeCells count="18">
    <mergeCell ref="B3:R3"/>
    <mergeCell ref="D8:F9"/>
    <mergeCell ref="D10:F12"/>
    <mergeCell ref="D101:F103"/>
    <mergeCell ref="B48:R48"/>
    <mergeCell ref="D53:F54"/>
    <mergeCell ref="D55:F57"/>
    <mergeCell ref="D99:F100"/>
    <mergeCell ref="B94:R94"/>
    <mergeCell ref="B232:R232"/>
    <mergeCell ref="D237:F238"/>
    <mergeCell ref="D239:F241"/>
    <mergeCell ref="D193:F195"/>
    <mergeCell ref="B140:R140"/>
    <mergeCell ref="D145:F146"/>
    <mergeCell ref="D147:F149"/>
    <mergeCell ref="B186:R186"/>
    <mergeCell ref="D191:F192"/>
  </mergeCells>
  <hyperlinks>
    <hyperlink ref="D33" r:id="rId1" display="https://www.forestresearch.gov.uk/research/archive-forest-management-tables-metric/" xr:uid="{00000000-0004-0000-0000-000000000000}"/>
    <hyperlink ref="D37" r:id="rId2" display="https://www.forestresearch.gov.uk/research/archive-forest-management-tables-metric/" xr:uid="{00000000-0004-0000-0000-000001000000}"/>
    <hyperlink ref="D39" r:id="rId3" display="https://inventaire-forestier.ign.fr/IMG/pdf/RapportVolumes_VFinale_p2.pdf" xr:uid="{00000000-0004-0000-0000-000002000000}"/>
  </hyperlinks>
  <pageMargins left="0.23622047244094491" right="0.23622047244094491" top="0.31496062992125984" bottom="0.31496062992125984" header="0.31496062992125984" footer="0.31496062992125984"/>
  <pageSetup paperSize="9" scale="42" fitToHeight="2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59999389629810485"/>
    <pageSetUpPr fitToPage="1"/>
  </sheetPr>
  <dimension ref="A4:X101"/>
  <sheetViews>
    <sheetView tabSelected="1" zoomScale="70" zoomScaleNormal="70" zoomScalePageLayoutView="55" workbookViewId="0">
      <selection activeCell="M47" sqref="M47"/>
    </sheetView>
  </sheetViews>
  <sheetFormatPr baseColWidth="10" defaultColWidth="11.5" defaultRowHeight="15"/>
  <cols>
    <col min="1" max="1" width="11.5" style="19"/>
    <col min="2" max="2" width="11.5" style="19" customWidth="1"/>
    <col min="3" max="3" width="2" style="19" customWidth="1"/>
    <col min="4" max="9" width="14.5" style="19" customWidth="1"/>
    <col min="10" max="10" width="15.33203125" style="19" customWidth="1"/>
    <col min="11" max="17" width="14.5" style="19" customWidth="1"/>
    <col min="18" max="18" width="15.5" style="19" customWidth="1"/>
    <col min="19" max="19" width="2.1640625" style="19" customWidth="1"/>
    <col min="20" max="16384" width="11.5" style="19"/>
  </cols>
  <sheetData>
    <row r="4" spans="3:19" ht="16" thickBot="1"/>
    <row r="5" spans="3:19"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/>
    </row>
    <row r="6" spans="3:19">
      <c r="C6" s="13"/>
      <c r="D6" s="349" t="s">
        <v>128</v>
      </c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349"/>
      <c r="S6" s="15"/>
    </row>
    <row r="7" spans="3:19" ht="16" thickBot="1"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8"/>
    </row>
    <row r="8" spans="3:19">
      <c r="C8" s="13"/>
      <c r="D8" s="14"/>
      <c r="E8" s="14"/>
      <c r="F8" s="14"/>
      <c r="G8" s="14"/>
      <c r="H8" s="14"/>
      <c r="I8" s="14"/>
      <c r="J8" s="14"/>
      <c r="K8" s="14"/>
      <c r="L8" s="11"/>
      <c r="M8" s="11"/>
      <c r="N8" s="11"/>
      <c r="O8" s="11"/>
      <c r="P8" s="11"/>
      <c r="Q8" s="11"/>
      <c r="R8" s="11"/>
      <c r="S8" s="12"/>
    </row>
    <row r="9" spans="3:19" ht="16.5" customHeight="1">
      <c r="C9" s="13"/>
      <c r="S9" s="15"/>
    </row>
    <row r="10" spans="3:19">
      <c r="C10" s="13"/>
      <c r="D10" s="20" t="s">
        <v>85</v>
      </c>
      <c r="K10" s="20"/>
      <c r="L10" s="14"/>
      <c r="M10" s="14"/>
      <c r="N10" s="14"/>
      <c r="S10" s="15"/>
    </row>
    <row r="11" spans="3:19">
      <c r="C11" s="13"/>
      <c r="D11" s="123" t="s">
        <v>84</v>
      </c>
      <c r="E11" s="14" t="s">
        <v>272</v>
      </c>
      <c r="F11" s="14"/>
      <c r="H11" s="123" t="s">
        <v>88</v>
      </c>
      <c r="I11" s="125">
        <f>SUM(E24:Q24)</f>
        <v>4.0000999999999998</v>
      </c>
      <c r="K11" s="14" t="s">
        <v>287</v>
      </c>
      <c r="L11" s="14"/>
      <c r="M11" s="14"/>
      <c r="N11" s="14"/>
      <c r="O11" s="14" t="s">
        <v>262</v>
      </c>
      <c r="P11" s="331">
        <f>VAN!D4</f>
        <v>-10895.910784565553</v>
      </c>
      <c r="Q11" s="14"/>
      <c r="R11" s="14"/>
      <c r="S11" s="15"/>
    </row>
    <row r="12" spans="3:19">
      <c r="C12" s="13"/>
      <c r="D12" s="124" t="s">
        <v>179</v>
      </c>
      <c r="E12" s="19" t="s">
        <v>273</v>
      </c>
      <c r="F12" s="14"/>
      <c r="H12" s="123" t="s">
        <v>86</v>
      </c>
      <c r="I12" s="344" t="s">
        <v>284</v>
      </c>
      <c r="K12" s="14" t="s">
        <v>285</v>
      </c>
      <c r="L12" s="14"/>
      <c r="M12" s="14"/>
      <c r="N12" s="14"/>
      <c r="O12" s="14" t="s">
        <v>254</v>
      </c>
      <c r="P12" s="331">
        <f>VAN!D5</f>
        <v>5155.2123415613451</v>
      </c>
      <c r="Q12" s="14"/>
      <c r="R12" s="14"/>
      <c r="S12" s="15"/>
    </row>
    <row r="13" spans="3:19">
      <c r="C13" s="13"/>
      <c r="D13" s="124" t="s">
        <v>180</v>
      </c>
      <c r="E13" s="19" t="s">
        <v>274</v>
      </c>
      <c r="F13" s="14"/>
      <c r="H13" s="123" t="s">
        <v>87</v>
      </c>
      <c r="I13" s="344" t="s">
        <v>123</v>
      </c>
      <c r="K13" s="14" t="s">
        <v>286</v>
      </c>
      <c r="L13" s="14"/>
      <c r="M13" s="14"/>
      <c r="N13" s="14"/>
      <c r="O13" s="20" t="s">
        <v>255</v>
      </c>
      <c r="P13" s="332">
        <f>VAN!D6</f>
        <v>-16051.123126126899</v>
      </c>
      <c r="Q13" s="14"/>
      <c r="R13" s="14"/>
      <c r="S13" s="15"/>
    </row>
    <row r="14" spans="3:19">
      <c r="C14" s="13"/>
      <c r="F14" s="14"/>
      <c r="G14" s="14"/>
      <c r="H14" s="14"/>
      <c r="L14" s="14"/>
      <c r="M14" s="14"/>
      <c r="N14" s="14"/>
      <c r="P14" s="14"/>
      <c r="Q14" s="14"/>
      <c r="R14" s="14"/>
      <c r="S14" s="15"/>
    </row>
    <row r="15" spans="3:19">
      <c r="C15" s="13"/>
      <c r="O15" s="14"/>
      <c r="P15" s="14"/>
      <c r="Q15" s="14"/>
      <c r="R15" s="14"/>
      <c r="S15" s="15"/>
    </row>
    <row r="16" spans="3:19">
      <c r="C16" s="13"/>
      <c r="S16" s="15"/>
    </row>
    <row r="17" spans="3:19">
      <c r="C17" s="13"/>
      <c r="D17" s="29" t="s">
        <v>183</v>
      </c>
      <c r="S17" s="15"/>
    </row>
    <row r="18" spans="3:19" ht="16" thickBot="1">
      <c r="C18" s="13"/>
      <c r="D18" s="14"/>
      <c r="S18" s="15"/>
    </row>
    <row r="19" spans="3:19" ht="32">
      <c r="C19" s="13"/>
      <c r="D19" s="103" t="s">
        <v>131</v>
      </c>
      <c r="E19" s="117" t="str">
        <f>'Pin Sylvestre'!F17</f>
        <v xml:space="preserve">Pin sylvestre </v>
      </c>
      <c r="F19" s="118" t="str">
        <f>Douglas!$F$17</f>
        <v xml:space="preserve">Douglas </v>
      </c>
      <c r="G19" s="118" t="str">
        <f>'Pin Maritime'!$F$17</f>
        <v xml:space="preserve">Pin maritime </v>
      </c>
      <c r="H19" s="118" t="str">
        <f>'Meleze Hybride'!F17</f>
        <v xml:space="preserve">Mélèze du Japon </v>
      </c>
      <c r="I19" s="118" t="str">
        <f>Thuya!F17</f>
        <v xml:space="preserve">Sapin pectiné </v>
      </c>
      <c r="J19" s="118" t="str">
        <f>'Chêne et feuillus divers'!$F$17</f>
        <v xml:space="preserve">Chêne rouvre (sessile) </v>
      </c>
      <c r="K19" s="118"/>
      <c r="L19" s="118"/>
      <c r="M19" s="118"/>
      <c r="N19" s="118"/>
      <c r="O19" s="118"/>
      <c r="P19" s="118"/>
      <c r="Q19" s="119"/>
      <c r="R19" s="107"/>
      <c r="S19" s="15"/>
    </row>
    <row r="20" spans="3:19" ht="16">
      <c r="C20" s="13"/>
      <c r="D20" s="104" t="s">
        <v>178</v>
      </c>
      <c r="E20" s="115" t="str">
        <f>'Pin Sylvestre'!D5</f>
        <v>Forêt tempérée</v>
      </c>
      <c r="F20" s="116" t="str">
        <f>Douglas!$D$5</f>
        <v>Forêt tempérée</v>
      </c>
      <c r="G20" s="116" t="str">
        <f>'Pin Maritime'!$D$5</f>
        <v>Forêt tempérée</v>
      </c>
      <c r="H20" s="116" t="str">
        <f>'Meleze Hybride'!$D$5</f>
        <v>Forêt tempérée</v>
      </c>
      <c r="I20" s="116" t="str">
        <f>Thuya!$D$5</f>
        <v>Forêt tempérée</v>
      </c>
      <c r="J20" s="116" t="str">
        <f>'Chêne et feuillus divers'!$D$5</f>
        <v>Forêt tempérée</v>
      </c>
      <c r="K20" s="116"/>
      <c r="L20" s="116"/>
      <c r="M20" s="116"/>
      <c r="N20" s="116"/>
      <c r="O20" s="116"/>
      <c r="P20" s="116"/>
      <c r="Q20" s="120"/>
      <c r="R20" s="108"/>
      <c r="S20" s="15"/>
    </row>
    <row r="21" spans="3:19">
      <c r="C21" s="13"/>
      <c r="D21" s="105" t="s">
        <v>175</v>
      </c>
      <c r="E21" s="111">
        <f>'Pin Sylvestre'!C127</f>
        <v>160.04266118256538</v>
      </c>
      <c r="F21" s="112">
        <f>Douglas!$C$127</f>
        <v>385.22168534669532</v>
      </c>
      <c r="G21" s="112">
        <f>'Pin Maritime'!$C$127</f>
        <v>234.91594052584475</v>
      </c>
      <c r="H21" s="112">
        <f>'Meleze Hybride'!$C$127</f>
        <v>203.75708602625718</v>
      </c>
      <c r="I21" s="112">
        <f>Thuya!$C$127</f>
        <v>354.40255607651869</v>
      </c>
      <c r="J21" s="112">
        <f>'Chêne et feuillus divers'!$C$127</f>
        <v>179.16324801899123</v>
      </c>
      <c r="K21" s="112"/>
      <c r="L21" s="112"/>
      <c r="M21" s="112"/>
      <c r="N21" s="112"/>
      <c r="O21" s="112"/>
      <c r="P21" s="112"/>
      <c r="Q21" s="121"/>
      <c r="R21" s="109">
        <f>SUMPRODUCT(E21:Q21,$E$24:$Q$24)</f>
        <v>768.13353076418207</v>
      </c>
      <c r="S21" s="15"/>
    </row>
    <row r="22" spans="3:19">
      <c r="C22" s="13"/>
      <c r="D22" s="105" t="s">
        <v>176</v>
      </c>
      <c r="E22" s="111">
        <f>'Pin Sylvestre'!D127</f>
        <v>3.0850268610947902</v>
      </c>
      <c r="F22" s="112">
        <f>Douglas!$D$127</f>
        <v>23.995421348483493</v>
      </c>
      <c r="G22" s="112">
        <f>'Pin Maritime'!$D$127</f>
        <v>5.8725400035188393</v>
      </c>
      <c r="H22" s="112">
        <f>'Meleze Hybride'!$D$127</f>
        <v>12.710456496588177</v>
      </c>
      <c r="I22" s="112">
        <f>Thuya!$D$127</f>
        <v>9.1623475082197086</v>
      </c>
      <c r="J22" s="112">
        <f>'Chêne et feuillus divers'!$D$127</f>
        <v>0</v>
      </c>
      <c r="K22" s="112"/>
      <c r="L22" s="112"/>
      <c r="M22" s="112"/>
      <c r="N22" s="112"/>
      <c r="O22" s="112"/>
      <c r="P22" s="112"/>
      <c r="Q22" s="121"/>
      <c r="R22" s="109">
        <f>SUMPRODUCT(E22:Q22,$E$24:$Q$24)</f>
        <v>12.738451898877946</v>
      </c>
      <c r="S22" s="15"/>
    </row>
    <row r="23" spans="3:19">
      <c r="C23" s="13"/>
      <c r="D23" s="105" t="s">
        <v>177</v>
      </c>
      <c r="E23" s="111">
        <f>'Pin Sylvestre'!E127</f>
        <v>11.571299999999999</v>
      </c>
      <c r="F23" s="112">
        <f>Douglas!$E$127</f>
        <v>72.201299999999989</v>
      </c>
      <c r="G23" s="112">
        <f>'Pin Maritime'!$E$127</f>
        <v>26.8813</v>
      </c>
      <c r="H23" s="112">
        <f>'Meleze Hybride'!$E$127</f>
        <v>36.941299999999998</v>
      </c>
      <c r="I23" s="112">
        <f>Thuya!$E$127</f>
        <v>38.661300000000004</v>
      </c>
      <c r="J23" s="112">
        <f>'Chêne et feuillus divers'!$E$127</f>
        <v>-0.61870000000000003</v>
      </c>
      <c r="K23" s="112"/>
      <c r="L23" s="112"/>
      <c r="M23" s="112"/>
      <c r="N23" s="112"/>
      <c r="O23" s="112"/>
      <c r="P23" s="112"/>
      <c r="Q23" s="121"/>
      <c r="R23" s="109">
        <f>SUMPRODUCT(E23:Q23,$E$24:$Q$24)</f>
        <v>43.310637129999989</v>
      </c>
      <c r="S23" s="15"/>
    </row>
    <row r="24" spans="3:19" ht="16" thickBot="1">
      <c r="C24" s="13"/>
      <c r="D24" s="106" t="s">
        <v>174</v>
      </c>
      <c r="E24" s="345">
        <f>'Pin Sylvestre'!F21</f>
        <v>1.3332999999999999</v>
      </c>
      <c r="F24" s="346">
        <f>Douglas!$F21</f>
        <v>0.16669999999999999</v>
      </c>
      <c r="G24" s="346">
        <f>'Pin Maritime'!F21</f>
        <v>0.16669999999999999</v>
      </c>
      <c r="H24" s="346">
        <f>'Meleze Hybride'!$F21</f>
        <v>0.16669999999999999</v>
      </c>
      <c r="I24" s="346">
        <f>Thuya!$F21</f>
        <v>0.16669999999999999</v>
      </c>
      <c r="J24" s="346">
        <f>'Chêne et feuillus divers'!$F21</f>
        <v>2</v>
      </c>
      <c r="K24" s="113">
        <v>0</v>
      </c>
      <c r="L24" s="113">
        <v>0</v>
      </c>
      <c r="M24" s="113">
        <v>0</v>
      </c>
      <c r="N24" s="113">
        <v>0</v>
      </c>
      <c r="O24" s="113">
        <v>0</v>
      </c>
      <c r="P24" s="113">
        <v>0</v>
      </c>
      <c r="Q24" s="122">
        <f>0</f>
        <v>0</v>
      </c>
      <c r="R24" s="110"/>
      <c r="S24" s="15"/>
    </row>
    <row r="25" spans="3:19">
      <c r="C25" s="13"/>
      <c r="D25" s="11"/>
      <c r="E25" s="114">
        <f t="shared" ref="E25:J25" si="0">SUM(E21:E23)*E24</f>
        <v>232.92616075861213</v>
      </c>
      <c r="F25" s="114">
        <f t="shared" si="0"/>
        <v>80.252448396086308</v>
      </c>
      <c r="G25" s="114">
        <f t="shared" si="0"/>
        <v>44.620552414244912</v>
      </c>
      <c r="H25" s="114">
        <f t="shared" si="0"/>
        <v>42.24325404855832</v>
      </c>
      <c r="I25" s="114">
        <f t="shared" si="0"/>
        <v>67.051108137575881</v>
      </c>
      <c r="J25" s="114">
        <f t="shared" si="0"/>
        <v>357.08909603798247</v>
      </c>
      <c r="K25" s="114">
        <f t="shared" ref="K25:Q25" si="1">SUM(K21:K23)*K24</f>
        <v>0</v>
      </c>
      <c r="L25" s="114">
        <f t="shared" si="1"/>
        <v>0</v>
      </c>
      <c r="M25" s="114">
        <f t="shared" si="1"/>
        <v>0</v>
      </c>
      <c r="N25" s="114">
        <f t="shared" si="1"/>
        <v>0</v>
      </c>
      <c r="O25" s="114">
        <f t="shared" si="1"/>
        <v>0</v>
      </c>
      <c r="P25" s="114">
        <f t="shared" si="1"/>
        <v>0</v>
      </c>
      <c r="Q25" s="114">
        <f t="shared" si="1"/>
        <v>0</v>
      </c>
      <c r="R25" s="126">
        <f>IF(SUM(E25:P25)=SUM(R21:R23),SUM(R21:R23),"erreur")</f>
        <v>824.1826197930601</v>
      </c>
      <c r="S25" s="15"/>
    </row>
    <row r="26" spans="3:19">
      <c r="C26" s="13"/>
      <c r="I26" s="14"/>
      <c r="J26" s="14"/>
      <c r="K26" s="14"/>
      <c r="R26" s="14"/>
      <c r="S26" s="15"/>
    </row>
    <row r="27" spans="3:19">
      <c r="C27" s="13"/>
      <c r="S27" s="15"/>
    </row>
    <row r="28" spans="3:19">
      <c r="C28" s="13"/>
      <c r="S28" s="15"/>
    </row>
    <row r="29" spans="3:19">
      <c r="C29" s="13"/>
      <c r="D29" s="20" t="s">
        <v>182</v>
      </c>
      <c r="M29" s="20" t="s">
        <v>126</v>
      </c>
      <c r="S29" s="15"/>
    </row>
    <row r="30" spans="3:19">
      <c r="C30" s="13"/>
      <c r="K30" s="14"/>
      <c r="M30" s="14"/>
      <c r="N30" s="14"/>
      <c r="O30" s="14"/>
      <c r="P30" s="14"/>
      <c r="Q30" s="14"/>
      <c r="R30" s="14" t="s">
        <v>93</v>
      </c>
      <c r="S30" s="15"/>
    </row>
    <row r="31" spans="3:19">
      <c r="C31" s="13"/>
      <c r="E31" s="14"/>
      <c r="F31" s="14"/>
      <c r="G31" s="14"/>
      <c r="H31" s="14"/>
      <c r="I31" s="14"/>
      <c r="J31" s="160" t="s">
        <v>191</v>
      </c>
      <c r="K31" s="161" t="s">
        <v>192</v>
      </c>
      <c r="L31" s="14"/>
      <c r="M31" s="22" t="s">
        <v>89</v>
      </c>
      <c r="N31" s="353" t="s">
        <v>100</v>
      </c>
      <c r="O31" s="354"/>
      <c r="P31" s="355"/>
      <c r="Q31" s="22" t="s">
        <v>77</v>
      </c>
      <c r="R31" s="127">
        <v>0</v>
      </c>
      <c r="S31" s="15"/>
    </row>
    <row r="32" spans="3:19">
      <c r="C32" s="13"/>
      <c r="D32" s="356" t="s">
        <v>184</v>
      </c>
      <c r="E32" s="356"/>
      <c r="F32" s="14" t="s">
        <v>97</v>
      </c>
      <c r="G32" s="14"/>
      <c r="H32" s="14"/>
      <c r="I32" s="14" t="s">
        <v>101</v>
      </c>
      <c r="J32" s="31">
        <f>SUMPRODUCT(E24:Q24,E21:Q21)</f>
        <v>768.13353076418207</v>
      </c>
      <c r="K32" s="172">
        <f>J32*(1-$R$31)*(1-$R$32)*(1-$R$33)*(1-$R$34)</f>
        <v>691.32017768776393</v>
      </c>
      <c r="L32" s="14"/>
      <c r="M32" s="22" t="s">
        <v>90</v>
      </c>
      <c r="N32" s="353" t="s">
        <v>75</v>
      </c>
      <c r="O32" s="354"/>
      <c r="P32" s="355"/>
      <c r="Q32" s="22" t="s">
        <v>94</v>
      </c>
      <c r="R32" s="127">
        <v>0.1</v>
      </c>
      <c r="S32" s="15"/>
    </row>
    <row r="33" spans="1:24">
      <c r="C33" s="13"/>
      <c r="D33" s="356"/>
      <c r="E33" s="356"/>
      <c r="F33" s="14" t="s">
        <v>127</v>
      </c>
      <c r="G33" s="14"/>
      <c r="H33" s="14"/>
      <c r="I33" s="14" t="s">
        <v>102</v>
      </c>
      <c r="J33" s="31">
        <f>SUMPRODUCT(E24:Q24,E22:Q22)</f>
        <v>12.738451898877946</v>
      </c>
      <c r="K33" s="172">
        <f>J33*(1-$R$31)*(1-$R$32)*(1-$R$33)*(1-$R$34)</f>
        <v>11.464606708990152</v>
      </c>
      <c r="L33" s="14"/>
      <c r="M33" s="22" t="s">
        <v>91</v>
      </c>
      <c r="N33" s="353" t="s">
        <v>95</v>
      </c>
      <c r="O33" s="354"/>
      <c r="P33" s="355"/>
      <c r="Q33" s="22" t="s">
        <v>99</v>
      </c>
      <c r="R33" s="127">
        <v>0</v>
      </c>
      <c r="S33" s="15"/>
    </row>
    <row r="34" spans="1:24">
      <c r="C34" s="13"/>
      <c r="D34" s="14" t="s">
        <v>98</v>
      </c>
      <c r="E34" s="14"/>
      <c r="F34" s="14"/>
      <c r="G34" s="14"/>
      <c r="H34" s="14"/>
      <c r="I34" s="14" t="s">
        <v>103</v>
      </c>
      <c r="J34" s="31">
        <f>SUMPRODUCT(E24:Q24,E23:Q23)</f>
        <v>43.310637129999989</v>
      </c>
      <c r="K34" s="172">
        <f>J34*(1-$R$31)*(1-$R$32)*(1-$R$33)*(1-$R$34)</f>
        <v>38.97957341699999</v>
      </c>
      <c r="L34" s="14"/>
      <c r="M34" s="22" t="s">
        <v>92</v>
      </c>
      <c r="N34" s="353" t="s">
        <v>96</v>
      </c>
      <c r="O34" s="354"/>
      <c r="P34" s="355"/>
      <c r="Q34" s="22" t="s">
        <v>77</v>
      </c>
      <c r="R34" s="127">
        <v>0</v>
      </c>
      <c r="S34" s="15"/>
    </row>
    <row r="35" spans="1:24">
      <c r="C35" s="13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5"/>
    </row>
    <row r="36" spans="1:24">
      <c r="C36" s="13"/>
      <c r="D36" s="14"/>
      <c r="E36" s="14"/>
      <c r="F36" s="14"/>
      <c r="G36" s="14"/>
      <c r="H36" s="14"/>
      <c r="I36" s="32" t="s">
        <v>181</v>
      </c>
      <c r="J36" s="31">
        <f>J34+J33+J32</f>
        <v>824.18261979305998</v>
      </c>
      <c r="K36" s="14"/>
      <c r="L36" s="14"/>
      <c r="M36" s="14"/>
      <c r="N36" s="14"/>
      <c r="O36" s="14"/>
      <c r="P36" s="14"/>
      <c r="Q36" s="32" t="s">
        <v>186</v>
      </c>
      <c r="R36" s="31">
        <f>J36*(1-R31)*(1-R32)*(1-R33)*(1-R34)</f>
        <v>741.76435781375403</v>
      </c>
      <c r="S36" s="15"/>
      <c r="W36" s="338"/>
    </row>
    <row r="37" spans="1:24">
      <c r="C37" s="13"/>
      <c r="K37" s="14"/>
      <c r="S37" s="15"/>
    </row>
    <row r="38" spans="1:24">
      <c r="C38" s="13"/>
      <c r="K38" s="14"/>
      <c r="S38" s="15"/>
    </row>
    <row r="39" spans="1:24" ht="16" thickBot="1">
      <c r="C39" s="16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8"/>
    </row>
    <row r="41" spans="1:2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>
      <c r="G79"/>
      <c r="H79"/>
      <c r="I79"/>
      <c r="J79"/>
      <c r="K79"/>
      <c r="L79"/>
    </row>
    <row r="80" spans="1:24">
      <c r="G80"/>
      <c r="H80"/>
      <c r="I80"/>
      <c r="J80"/>
      <c r="K80"/>
      <c r="L80"/>
    </row>
    <row r="81" spans="7:12">
      <c r="G81"/>
      <c r="H81"/>
      <c r="I81"/>
      <c r="J81"/>
      <c r="K81"/>
      <c r="L81"/>
    </row>
    <row r="82" spans="7:12">
      <c r="G82"/>
      <c r="H82"/>
      <c r="I82"/>
      <c r="J82"/>
      <c r="K82"/>
      <c r="L82"/>
    </row>
    <row r="83" spans="7:12">
      <c r="G83"/>
      <c r="H83"/>
      <c r="I83"/>
      <c r="J83"/>
      <c r="K83"/>
      <c r="L83"/>
    </row>
    <row r="84" spans="7:12">
      <c r="G84"/>
      <c r="H84"/>
      <c r="I84"/>
      <c r="J84"/>
      <c r="K84"/>
      <c r="L84"/>
    </row>
    <row r="85" spans="7:12">
      <c r="G85"/>
      <c r="H85"/>
      <c r="I85"/>
      <c r="J85"/>
      <c r="K85"/>
      <c r="L85"/>
    </row>
    <row r="86" spans="7:12">
      <c r="G86"/>
      <c r="H86"/>
      <c r="I86"/>
      <c r="J86"/>
      <c r="K86"/>
      <c r="L86"/>
    </row>
    <row r="87" spans="7:12">
      <c r="G87"/>
      <c r="H87"/>
      <c r="I87"/>
      <c r="J87"/>
      <c r="K87"/>
      <c r="L87"/>
    </row>
    <row r="88" spans="7:12">
      <c r="G88"/>
      <c r="H88"/>
      <c r="I88"/>
      <c r="J88"/>
      <c r="K88"/>
      <c r="L88"/>
    </row>
    <row r="89" spans="7:12">
      <c r="G89"/>
      <c r="H89"/>
      <c r="I89"/>
      <c r="J89"/>
      <c r="K89"/>
      <c r="L89"/>
    </row>
    <row r="90" spans="7:12">
      <c r="G90"/>
      <c r="H90"/>
      <c r="I90"/>
      <c r="J90"/>
      <c r="K90"/>
      <c r="L90"/>
    </row>
    <row r="91" spans="7:12">
      <c r="G91"/>
      <c r="H91"/>
      <c r="I91"/>
      <c r="J91"/>
      <c r="K91"/>
      <c r="L91"/>
    </row>
    <row r="92" spans="7:12">
      <c r="G92"/>
      <c r="H92"/>
      <c r="I92"/>
      <c r="J92"/>
      <c r="K92"/>
      <c r="L92"/>
    </row>
    <row r="93" spans="7:12">
      <c r="G93"/>
      <c r="H93"/>
      <c r="I93"/>
      <c r="J93"/>
      <c r="K93"/>
      <c r="L93"/>
    </row>
    <row r="94" spans="7:12">
      <c r="G94"/>
      <c r="H94"/>
      <c r="I94"/>
      <c r="J94"/>
      <c r="K94"/>
      <c r="L94"/>
    </row>
    <row r="95" spans="7:12">
      <c r="G95"/>
      <c r="H95"/>
      <c r="I95"/>
      <c r="J95"/>
      <c r="K95"/>
      <c r="L95"/>
    </row>
    <row r="96" spans="7:12">
      <c r="G96"/>
      <c r="H96"/>
      <c r="I96"/>
      <c r="J96"/>
      <c r="K96"/>
      <c r="L96"/>
    </row>
    <row r="97" spans="7:12">
      <c r="G97"/>
      <c r="H97"/>
      <c r="I97"/>
      <c r="J97"/>
      <c r="K97"/>
      <c r="L97"/>
    </row>
    <row r="98" spans="7:12">
      <c r="G98"/>
      <c r="H98"/>
      <c r="I98"/>
      <c r="J98"/>
      <c r="K98"/>
      <c r="L98"/>
    </row>
    <row r="99" spans="7:12">
      <c r="G99"/>
      <c r="H99"/>
      <c r="I99"/>
      <c r="J99"/>
      <c r="K99"/>
      <c r="L99"/>
    </row>
    <row r="100" spans="7:12">
      <c r="G100"/>
      <c r="H100"/>
      <c r="I100"/>
      <c r="J100"/>
      <c r="K100"/>
      <c r="L100"/>
    </row>
    <row r="101" spans="7:12">
      <c r="G101"/>
      <c r="H101"/>
      <c r="I101"/>
      <c r="J101"/>
      <c r="K101"/>
      <c r="L101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B3:AY207"/>
  <sheetViews>
    <sheetView topLeftCell="A14" zoomScale="75" zoomScaleNormal="100" workbookViewId="0">
      <selection activeCell="C84" sqref="C84"/>
    </sheetView>
  </sheetViews>
  <sheetFormatPr baseColWidth="10" defaultRowHeight="15"/>
  <cols>
    <col min="3" max="4" width="13.6640625" customWidth="1"/>
    <col min="5" max="5" width="15.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2" customWidth="1"/>
    <col min="47" max="51" width="10.5" customWidth="1"/>
    <col min="54" max="54" width="19.33203125" customWidth="1"/>
  </cols>
  <sheetData>
    <row r="3" spans="2:51" ht="16">
      <c r="I3" s="380" t="s">
        <v>172</v>
      </c>
      <c r="J3" s="381"/>
      <c r="K3" s="381"/>
      <c r="L3" s="381"/>
      <c r="M3" s="381"/>
      <c r="N3" s="381"/>
      <c r="O3" s="382"/>
      <c r="P3" s="383" t="s">
        <v>144</v>
      </c>
      <c r="Q3" s="384"/>
      <c r="R3" s="384"/>
      <c r="S3" s="384"/>
      <c r="T3" s="384"/>
      <c r="U3" s="384"/>
      <c r="V3" s="384"/>
      <c r="W3" s="384"/>
      <c r="X3" s="385"/>
      <c r="Y3" s="90"/>
      <c r="Z3" s="90"/>
      <c r="AA3" s="371" t="s">
        <v>159</v>
      </c>
      <c r="AB3" s="372"/>
      <c r="AC3" s="372"/>
      <c r="AD3" s="372"/>
      <c r="AE3" s="372"/>
      <c r="AF3" s="372"/>
      <c r="AG3" s="372"/>
      <c r="AH3" s="372"/>
      <c r="AI3" s="373"/>
      <c r="AJ3" s="90"/>
      <c r="AK3" s="371" t="s">
        <v>171</v>
      </c>
      <c r="AL3" s="372"/>
      <c r="AM3" s="372"/>
      <c r="AN3" s="372"/>
      <c r="AO3" s="372"/>
      <c r="AP3" s="372"/>
      <c r="AQ3" s="372"/>
      <c r="AR3" s="372"/>
      <c r="AS3" s="372"/>
      <c r="AT3" s="372"/>
      <c r="AU3" s="372"/>
      <c r="AV3" s="372"/>
      <c r="AW3" s="372"/>
      <c r="AX3" s="372"/>
      <c r="AY3" s="373"/>
    </row>
    <row r="4" spans="2:51" ht="45" customHeight="1">
      <c r="B4" s="375" t="s">
        <v>173</v>
      </c>
      <c r="C4" s="375"/>
      <c r="D4" s="375"/>
      <c r="E4" s="375"/>
      <c r="F4" s="375"/>
      <c r="I4" s="59" t="s">
        <v>76</v>
      </c>
      <c r="J4" s="60" t="s">
        <v>108</v>
      </c>
      <c r="K4" s="60" t="s">
        <v>109</v>
      </c>
      <c r="L4" s="60" t="s">
        <v>72</v>
      </c>
      <c r="M4" s="60" t="s">
        <v>110</v>
      </c>
      <c r="N4" s="60" t="s">
        <v>111</v>
      </c>
      <c r="O4" s="88" t="s">
        <v>113</v>
      </c>
      <c r="P4" s="59" t="s">
        <v>76</v>
      </c>
      <c r="Q4" s="61" t="s">
        <v>118</v>
      </c>
      <c r="R4" s="61" t="s">
        <v>119</v>
      </c>
      <c r="S4" s="62" t="s">
        <v>105</v>
      </c>
      <c r="T4" s="63" t="s">
        <v>104</v>
      </c>
      <c r="U4" s="60" t="s">
        <v>3</v>
      </c>
      <c r="V4" s="60" t="s">
        <v>106</v>
      </c>
      <c r="W4" s="60" t="s">
        <v>107</v>
      </c>
      <c r="X4" s="89" t="s">
        <v>112</v>
      </c>
      <c r="Y4" s="66" t="s">
        <v>120</v>
      </c>
      <c r="AA4" s="70" t="s">
        <v>76</v>
      </c>
      <c r="AB4" s="61" t="s">
        <v>146</v>
      </c>
      <c r="AC4" s="62" t="s">
        <v>147</v>
      </c>
      <c r="AD4" s="68" t="s">
        <v>148</v>
      </c>
      <c r="AE4" s="64" t="s">
        <v>149</v>
      </c>
      <c r="AF4" s="64" t="s">
        <v>150</v>
      </c>
      <c r="AG4" s="64" t="s">
        <v>151</v>
      </c>
      <c r="AH4" s="64" t="s">
        <v>152</v>
      </c>
      <c r="AI4" s="75" t="s">
        <v>153</v>
      </c>
      <c r="AK4" s="70" t="s">
        <v>76</v>
      </c>
      <c r="AL4" s="61" t="s">
        <v>146</v>
      </c>
      <c r="AM4" s="62" t="s">
        <v>147</v>
      </c>
      <c r="AN4" s="68" t="s">
        <v>148</v>
      </c>
      <c r="AO4" s="64" t="s">
        <v>149</v>
      </c>
      <c r="AP4" s="64" t="s">
        <v>161</v>
      </c>
      <c r="AQ4" s="192" t="s">
        <v>187</v>
      </c>
      <c r="AR4" s="192" t="s">
        <v>188</v>
      </c>
      <c r="AS4" s="192" t="s">
        <v>189</v>
      </c>
      <c r="AT4" s="192" t="s">
        <v>190</v>
      </c>
      <c r="AU4" s="64" t="s">
        <v>162</v>
      </c>
      <c r="AV4" s="64" t="s">
        <v>163</v>
      </c>
      <c r="AW4" s="64" t="s">
        <v>164</v>
      </c>
      <c r="AX4" s="64" t="s">
        <v>165</v>
      </c>
      <c r="AY4" s="75" t="s">
        <v>153</v>
      </c>
    </row>
    <row r="5" spans="2:51">
      <c r="B5" s="364" t="s">
        <v>133</v>
      </c>
      <c r="C5" s="91" t="s">
        <v>73</v>
      </c>
      <c r="D5" s="376" t="s">
        <v>135</v>
      </c>
      <c r="E5" s="376"/>
      <c r="F5" s="92">
        <f>IF(D5="","",VLOOKUP(D5,$B$98:$C$101,2,0))</f>
        <v>70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IF(AA5&lt;=$F$18,IFERROR(VLOOKUP($AA5,$B$82:$G$95,2,FALSE),0),)</f>
        <v>0</v>
      </c>
      <c r="AC5" s="304">
        <f t="shared" ref="AC5:AC68" si="7">IF(AA5&lt;=$F$18,IFERROR(VLOOKUP($AA5,$B$82:$G$95,3,FALSE),0),)*50%</f>
        <v>0</v>
      </c>
      <c r="AD5" s="100">
        <f t="shared" ref="AD5:AD68" si="8">IF(AA5&lt;=$F$18,IFERROR(VLOOKUP($AA5,$B$82:$G$95,4,FALSE),0),)</f>
        <v>0</v>
      </c>
      <c r="AE5" s="100">
        <f t="shared" ref="AE5:AE68" si="9">IF(AA5&lt;=$F$18,IFERROR(VLOOKUP($AA5,$B$82:$G$95,5,FALSE),0),)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68" si="10">IF(AK5&lt;=$F$18,IFERROR(VLOOKUP($AA5,$B$82:$G$95,2,FALSE),0),)</f>
        <v>0</v>
      </c>
      <c r="AM5" s="33">
        <f t="shared" ref="AM5:AM68" si="11">IF(AK5&lt;=$F$18,IFERROR(VLOOKUP($AA5,$B$82:$G$95,3,FALSE),0),)</f>
        <v>0</v>
      </c>
      <c r="AN5" s="33">
        <f t="shared" ref="AN5:AN68" si="12">IF(AK5&lt;=$F$18,IFERROR(VLOOKUP($AA5,$B$82:$G$95,4,FALSE),0),)</f>
        <v>0</v>
      </c>
      <c r="AO5" s="33">
        <f t="shared" ref="AO5:AO68" si="13">IF(AK5&lt;=$F$18,IFERROR(VLOOKUP($AA5,$B$82:$G$95,5,FALSE),0),)</f>
        <v>0</v>
      </c>
      <c r="AP5" s="33">
        <f t="shared" ref="AP5:AP68" si="14">IF(AK5&lt;=$F$18,IFERROR(VLOOKUP($AA5,$B$82:$G$95,6,FALSE),0),)</f>
        <v>0</v>
      </c>
      <c r="AQ5" s="193">
        <f t="shared" ref="AQ5:AQ35" si="15">IF($AK5&lt;=$F$18,$AL5*AM5,)</f>
        <v>0</v>
      </c>
      <c r="AR5" s="193">
        <f t="shared" ref="AR5:AR35" si="16">IF($AK5&lt;=$F$18,$AL5*AN5,)</f>
        <v>0</v>
      </c>
      <c r="AS5" s="193">
        <f t="shared" ref="AS5:AS35" si="17">IF($AK5&lt;=$F$18,$AL5*AO5,)</f>
        <v>0</v>
      </c>
      <c r="AT5" s="193">
        <f t="shared" ref="AT5:AT35" si="18">IF($AK5&lt;=$F$18,$AL5*AP5,)</f>
        <v>0</v>
      </c>
      <c r="AU5" s="33"/>
      <c r="AV5" s="33"/>
      <c r="AW5" s="33"/>
      <c r="AX5" s="33"/>
      <c r="AY5" s="163">
        <v>0</v>
      </c>
    </row>
    <row r="6" spans="2:51">
      <c r="B6" s="365"/>
      <c r="C6" s="98" t="s">
        <v>74</v>
      </c>
      <c r="D6" s="367" t="s">
        <v>260</v>
      </c>
      <c r="E6" s="367"/>
      <c r="F6" s="99">
        <f>VLOOKUP(D5,$B$98:$D$101,3,FALSE)</f>
        <v>0</v>
      </c>
      <c r="I6" s="55">
        <v>1</v>
      </c>
      <c r="J6" s="33">
        <f>IF(D8&lt;&gt;"Cultures",IF($I6&lt;=$F$10,$F$11*$F$13+J5,),5)</f>
        <v>0.42</v>
      </c>
      <c r="K6" s="33">
        <f>IF(J6=0,0,EXP(-1.0587+0.8836*LN(J6)+0.284))</f>
        <v>0.2141189661953912</v>
      </c>
      <c r="L6" s="33">
        <f>IF(I6&lt;=$F$10,$F$5+($F$8-$F$5)*(1-EXP(-0.0175*I6)),)</f>
        <v>70</v>
      </c>
      <c r="M6" s="33">
        <f>IF(I6&lt;=$F$10,IF(I6&lt;=30,I6*($F$9-$F$6)/30,$F$9-$F$6),)</f>
        <v>0.33333333333333331</v>
      </c>
      <c r="N6" s="33">
        <f t="shared" si="0"/>
        <v>0</v>
      </c>
      <c r="O6" s="34">
        <f t="shared" si="1"/>
        <v>258.99331275501248</v>
      </c>
      <c r="P6" s="55">
        <v>1</v>
      </c>
      <c r="Q6" s="33">
        <f t="shared" ref="Q6:Q69" si="19">IF(P6&lt;=$F$18,LOOKUP(P6-1,$B$25:$B$78,$G$25:$G$78),)</f>
        <v>2.6</v>
      </c>
      <c r="R6" s="33">
        <f>IF(P6&lt;=$F$18,Q6+R5,)</f>
        <v>2.6</v>
      </c>
      <c r="S6" s="33">
        <f>$F$19*R6</f>
        <v>1.1440000000000001</v>
      </c>
      <c r="T6" s="33">
        <f t="shared" si="2"/>
        <v>0.51901188151663313</v>
      </c>
      <c r="U6" s="33">
        <f t="shared" ref="U6:U69" si="20">IF(P6&lt;=$F$18,$F$5+($F$15-$F$5)*(1-EXP(-0.0175*P6)),)</f>
        <v>70</v>
      </c>
      <c r="V6" s="33">
        <f t="shared" si="3"/>
        <v>0.33333333333333331</v>
      </c>
      <c r="W6" s="33">
        <v>0</v>
      </c>
      <c r="X6" s="33">
        <f t="shared" si="4"/>
        <v>260.785301249197</v>
      </c>
      <c r="Y6" s="38">
        <f t="shared" si="5"/>
        <v>1.7919884941845226</v>
      </c>
      <c r="AA6" s="71">
        <v>1</v>
      </c>
      <c r="AB6" s="33">
        <f t="shared" si="6"/>
        <v>0</v>
      </c>
      <c r="AC6" s="304">
        <f t="shared" si="7"/>
        <v>0</v>
      </c>
      <c r="AD6" s="100">
        <f t="shared" si="8"/>
        <v>0</v>
      </c>
      <c r="AE6" s="100">
        <f t="shared" si="9"/>
        <v>0</v>
      </c>
      <c r="AF6" s="193">
        <f>IF(OR(AA6&lt;=$F$18,AA6&lt;=30),EXP(-LN(2)/$D$104)*AF5+((1-EXP(-LN(2)/$D$104))/(LN(2)/$D$104))*$AB6*AC6*0.475*$F$19*44/12,)</f>
        <v>0</v>
      </c>
      <c r="AG6" s="193">
        <f>IF(OR(AA6&lt;=$F$18,AA6&lt;=30),EXP(-LN(2)/$D$106)*AG5+((1-EXP(-LN(2)/$D$106))/(LN(2)/$D$106))*$AB6*AD6*0.475*$F$19*44/12,)</f>
        <v>0</v>
      </c>
      <c r="AH6" s="193">
        <f>IF(OR(AA6&lt;=$F$18,AA6&lt;=30),EXP(-LN(2)/$D$105)*AH5+((1-EXP(-LN(2)/$D$105))/(LN(2)/$D$105))*$AB6*AE6*0.475*$F$19*44/12,)</f>
        <v>0</v>
      </c>
      <c r="AI6" s="198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3">
        <f t="shared" si="15"/>
        <v>0</v>
      </c>
      <c r="AR6" s="193">
        <f t="shared" si="16"/>
        <v>0</v>
      </c>
      <c r="AS6" s="193">
        <f t="shared" si="17"/>
        <v>0</v>
      </c>
      <c r="AT6" s="193">
        <f t="shared" si="18"/>
        <v>0</v>
      </c>
      <c r="AU6" s="33"/>
      <c r="AV6" s="33"/>
      <c r="AW6" s="33"/>
      <c r="AX6" s="33"/>
      <c r="AY6" s="163">
        <f>IF(AK6&lt;=$F$18,AL6*$G$108+AY5,)</f>
        <v>0</v>
      </c>
    </row>
    <row r="7" spans="2:51">
      <c r="B7" s="364" t="s">
        <v>134</v>
      </c>
      <c r="C7" s="377"/>
      <c r="D7" s="378"/>
      <c r="E7" s="378"/>
      <c r="F7" s="379"/>
      <c r="I7" s="55">
        <v>2</v>
      </c>
      <c r="J7" s="33">
        <f t="shared" ref="J7:J70" si="21">IF($I7&lt;=$F$10,$F$11*$F$13+J6,)</f>
        <v>0.84</v>
      </c>
      <c r="K7" s="33">
        <f t="shared" ref="K7:K70" si="22">IF(J7=0,0,EXP(-1.0587+0.8836*LN(J7)+0.284))</f>
        <v>0.39504379260136169</v>
      </c>
      <c r="L7" s="33">
        <f t="shared" ref="L7:L70" si="23">IF(I7&lt;=$F$10,$F$5+($F$8-$F$5)*(1-EXP(-0.0175*I7)),)</f>
        <v>70</v>
      </c>
      <c r="M7" s="33">
        <f t="shared" ref="M7:M70" si="24">IF(I7&lt;=$F$10,IF(I7&lt;=30,I7*($F$9-$F$6)/30,$F$9-$F$6),)</f>
        <v>0.66666666666666663</v>
      </c>
      <c r="N7" s="33">
        <f t="shared" si="0"/>
        <v>0</v>
      </c>
      <c r="O7" s="34">
        <f t="shared" si="1"/>
        <v>261.26214571655851</v>
      </c>
      <c r="P7" s="55">
        <v>2</v>
      </c>
      <c r="Q7" s="33">
        <f t="shared" si="19"/>
        <v>2.6</v>
      </c>
      <c r="R7" s="33">
        <f t="shared" ref="R7:R70" si="25">IF(P7&lt;=$F$18,Q7+R6,)</f>
        <v>5.2</v>
      </c>
      <c r="S7" s="33">
        <f t="shared" ref="S7:S70" si="26">$F$19*R7</f>
        <v>2.2880000000000003</v>
      </c>
      <c r="T7" s="33">
        <f t="shared" si="2"/>
        <v>0.95756310486012686</v>
      </c>
      <c r="U7" s="33">
        <f t="shared" si="20"/>
        <v>70</v>
      </c>
      <c r="V7" s="33">
        <f t="shared" si="3"/>
        <v>0.66666666666666663</v>
      </c>
      <c r="W7" s="33">
        <v>0</v>
      </c>
      <c r="X7" s="33">
        <f t="shared" si="4"/>
        <v>264.76380018540914</v>
      </c>
      <c r="Y7" s="38">
        <f t="shared" si="5"/>
        <v>3.5016544688506315</v>
      </c>
      <c r="AA7" s="71">
        <v>2</v>
      </c>
      <c r="AB7" s="33">
        <f t="shared" si="6"/>
        <v>0</v>
      </c>
      <c r="AC7" s="304">
        <f t="shared" si="7"/>
        <v>0</v>
      </c>
      <c r="AD7" s="100">
        <f t="shared" si="8"/>
        <v>0</v>
      </c>
      <c r="AE7" s="100">
        <f t="shared" si="9"/>
        <v>0</v>
      </c>
      <c r="AF7" s="193">
        <f>IF(OR(AA7&lt;=$F$18,AA7&lt;=30),EXP(-LN(2)/$D$104)*AF6+((1-EXP(-LN(2)/$D$104))/(LN(2)/$D$104))*$AB7*AC7*0.475*$F$19*44/12,)</f>
        <v>0</v>
      </c>
      <c r="AG7" s="193">
        <f>IF(OR(AA7&lt;=$F$18,AA7&lt;=30),EXP(-LN(2)/$D$106)*AG6+((1-EXP(-LN(2)/$D$106))/(LN(2)/$D$106))*$AB7*AD7*0.475*$F$19*44/12,)</f>
        <v>0</v>
      </c>
      <c r="AH7" s="193">
        <f>IF(OR(AA7&lt;=$F$18,AA7&lt;=30),EXP(-LN(2)/$D$105)*AH6+((1-EXP(-LN(2)/$D$105))/(LN(2)/$D$105))*$AB7*AE7*0.475*$F$19*44/12,)</f>
        <v>0</v>
      </c>
      <c r="AI7" s="198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3">
        <f t="shared" si="15"/>
        <v>0</v>
      </c>
      <c r="AR7" s="193">
        <f t="shared" si="16"/>
        <v>0</v>
      </c>
      <c r="AS7" s="193">
        <f t="shared" si="17"/>
        <v>0</v>
      </c>
      <c r="AT7" s="193">
        <f t="shared" si="18"/>
        <v>0</v>
      </c>
      <c r="AU7" s="33"/>
      <c r="AV7" s="33"/>
      <c r="AW7" s="33"/>
      <c r="AX7" s="33"/>
      <c r="AY7" s="163">
        <f t="shared" ref="AY7:AY35" si="27">IF(AK7&lt;=$F$18,AL7*$G$108+AY6,)</f>
        <v>0</v>
      </c>
    </row>
    <row r="8" spans="2:51">
      <c r="B8" s="374"/>
      <c r="C8" s="93" t="s">
        <v>73</v>
      </c>
      <c r="D8" s="370" t="s">
        <v>135</v>
      </c>
      <c r="E8" s="370"/>
      <c r="F8" s="94">
        <f>IF(D8="","",VLOOKUP(D8,$B$98:$C$101,2,0))</f>
        <v>70</v>
      </c>
      <c r="I8" s="55">
        <v>3</v>
      </c>
      <c r="J8" s="33">
        <f t="shared" si="21"/>
        <v>1.26</v>
      </c>
      <c r="K8" s="33">
        <f t="shared" si="22"/>
        <v>0.56524857809693341</v>
      </c>
      <c r="L8" s="33">
        <f t="shared" si="23"/>
        <v>70</v>
      </c>
      <c r="M8" s="33">
        <f t="shared" si="24"/>
        <v>1</v>
      </c>
      <c r="N8" s="33">
        <f t="shared" si="0"/>
        <v>0</v>
      </c>
      <c r="O8" s="34">
        <f t="shared" si="1"/>
        <v>263.51230794018551</v>
      </c>
      <c r="P8" s="55">
        <v>3</v>
      </c>
      <c r="Q8" s="33">
        <f t="shared" si="19"/>
        <v>2.6</v>
      </c>
      <c r="R8" s="33">
        <f t="shared" si="25"/>
        <v>7.8000000000000007</v>
      </c>
      <c r="S8" s="33">
        <f t="shared" si="26"/>
        <v>3.4320000000000004</v>
      </c>
      <c r="T8" s="33">
        <f t="shared" si="2"/>
        <v>1.3701295744860811</v>
      </c>
      <c r="U8" s="33">
        <f t="shared" si="20"/>
        <v>70</v>
      </c>
      <c r="V8" s="33">
        <f t="shared" si="3"/>
        <v>1</v>
      </c>
      <c r="W8" s="33">
        <v>0</v>
      </c>
      <c r="X8" s="33">
        <f t="shared" si="4"/>
        <v>268.69704234222996</v>
      </c>
      <c r="Y8" s="38">
        <f t="shared" si="5"/>
        <v>5.1847344020444552</v>
      </c>
      <c r="AA8" s="71">
        <v>3</v>
      </c>
      <c r="AB8" s="33">
        <f t="shared" si="6"/>
        <v>0</v>
      </c>
      <c r="AC8" s="304">
        <f t="shared" si="7"/>
        <v>0</v>
      </c>
      <c r="AD8" s="100">
        <f t="shared" si="8"/>
        <v>0</v>
      </c>
      <c r="AE8" s="100">
        <f t="shared" si="9"/>
        <v>0</v>
      </c>
      <c r="AF8" s="193">
        <f>IF(OR(AA8&lt;=$F$18,AA8&lt;=30),EXP(-LN(2)/$D$104)*AF7+((1-EXP(-LN(2)/$D$104))/(LN(2)/$D$104))*$AB8*AC8*0.475*$F$19*44/12,)</f>
        <v>0</v>
      </c>
      <c r="AG8" s="193">
        <f>IF(OR(AA8&lt;=$F$18,AA8&lt;=30),EXP(-LN(2)/$D$106)*AG7+((1-EXP(-LN(2)/$D$106))/(LN(2)/$D$106))*$AB8*AD8*0.475*$F$19*44/12,)</f>
        <v>0</v>
      </c>
      <c r="AH8" s="193">
        <f>IF(OR(AA8&lt;=$F$18,AA8&lt;=30),EXP(-LN(2)/$D$105)*AH7+((1-EXP(-LN(2)/$D$105))/(LN(2)/$D$105))*$AB8*AE8*0.475*$F$19*44/12,)</f>
        <v>0</v>
      </c>
      <c r="AI8" s="198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3">
        <f t="shared" si="15"/>
        <v>0</v>
      </c>
      <c r="AR8" s="193">
        <f t="shared" si="16"/>
        <v>0</v>
      </c>
      <c r="AS8" s="193">
        <f t="shared" si="17"/>
        <v>0</v>
      </c>
      <c r="AT8" s="193">
        <f t="shared" si="18"/>
        <v>0</v>
      </c>
      <c r="AU8" s="33"/>
      <c r="AV8" s="33"/>
      <c r="AW8" s="33"/>
      <c r="AX8" s="33"/>
      <c r="AY8" s="163">
        <f t="shared" si="27"/>
        <v>0</v>
      </c>
    </row>
    <row r="9" spans="2:51">
      <c r="B9" s="374"/>
      <c r="C9" s="93" t="s">
        <v>74</v>
      </c>
      <c r="D9" s="366" t="str">
        <f>IF(D8=$B$101,"totale","néant")</f>
        <v>totale</v>
      </c>
      <c r="E9" s="366"/>
      <c r="F9" s="94">
        <f>IF(D8=B101,10,VLOOKUP(D8,$B$98:$D$101,3,FALSE))</f>
        <v>10</v>
      </c>
      <c r="I9" s="55">
        <v>4</v>
      </c>
      <c r="J9" s="33">
        <f t="shared" si="21"/>
        <v>1.68</v>
      </c>
      <c r="K9" s="33">
        <f t="shared" si="22"/>
        <v>0.72884528094749779</v>
      </c>
      <c r="L9" s="33">
        <f t="shared" si="23"/>
        <v>70</v>
      </c>
      <c r="M9" s="33">
        <f t="shared" si="24"/>
        <v>1.3333333333333333</v>
      </c>
      <c r="N9" s="33">
        <f t="shared" si="0"/>
        <v>0</v>
      </c>
      <c r="O9" s="34">
        <f t="shared" si="1"/>
        <v>265.75096108653912</v>
      </c>
      <c r="P9" s="55">
        <v>4</v>
      </c>
      <c r="Q9" s="33">
        <f t="shared" si="19"/>
        <v>2.6</v>
      </c>
      <c r="R9" s="33">
        <f t="shared" si="25"/>
        <v>10.4</v>
      </c>
      <c r="S9" s="33">
        <f t="shared" si="26"/>
        <v>4.5760000000000005</v>
      </c>
      <c r="T9" s="33">
        <f t="shared" si="2"/>
        <v>1.766678437322019</v>
      </c>
      <c r="U9" s="33">
        <f t="shared" si="20"/>
        <v>70</v>
      </c>
      <c r="V9" s="33">
        <f t="shared" si="3"/>
        <v>1.3333333333333333</v>
      </c>
      <c r="W9" s="33">
        <v>0</v>
      </c>
      <c r="X9" s="33">
        <f t="shared" si="4"/>
        <v>272.60238716722472</v>
      </c>
      <c r="Y9" s="38">
        <f t="shared" si="5"/>
        <v>6.8514260806855987</v>
      </c>
      <c r="AA9" s="71">
        <v>4</v>
      </c>
      <c r="AB9" s="33">
        <f t="shared" si="6"/>
        <v>0</v>
      </c>
      <c r="AC9" s="304">
        <f t="shared" si="7"/>
        <v>0</v>
      </c>
      <c r="AD9" s="100">
        <f t="shared" si="8"/>
        <v>0</v>
      </c>
      <c r="AE9" s="100">
        <f t="shared" si="9"/>
        <v>0</v>
      </c>
      <c r="AF9" s="193">
        <f>IF(OR(AA9&lt;=$F$18,AA9&lt;=30),EXP(-LN(2)/$D$104)*AF8+((1-EXP(-LN(2)/$D$104))/(LN(2)/$D$104))*$AB9*AC9*0.475*$F$19*44/12,)</f>
        <v>0</v>
      </c>
      <c r="AG9" s="193">
        <f>IF(OR(AA9&lt;=$F$18,AA9&lt;=30),EXP(-LN(2)/$D$106)*AG8+((1-EXP(-LN(2)/$D$106))/(LN(2)/$D$106))*$AB9*AD9*0.475*$F$19*44/12,)</f>
        <v>0</v>
      </c>
      <c r="AH9" s="193">
        <f>IF(OR(AA9&lt;=$F$18,AA9&lt;=30),EXP(-LN(2)/$D$105)*AH8+((1-EXP(-LN(2)/$D$105))/(LN(2)/$D$105))*$AB9*AE9*0.475*$F$19*44/12,)</f>
        <v>0</v>
      </c>
      <c r="AI9" s="198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3">
        <f t="shared" si="15"/>
        <v>0</v>
      </c>
      <c r="AR9" s="193">
        <f t="shared" si="16"/>
        <v>0</v>
      </c>
      <c r="AS9" s="193">
        <f t="shared" si="17"/>
        <v>0</v>
      </c>
      <c r="AT9" s="193">
        <f t="shared" si="18"/>
        <v>0</v>
      </c>
      <c r="AU9" s="33"/>
      <c r="AV9" s="33"/>
      <c r="AW9" s="33"/>
      <c r="AX9" s="33"/>
      <c r="AY9" s="163">
        <f t="shared" si="27"/>
        <v>0</v>
      </c>
    </row>
    <row r="10" spans="2:51">
      <c r="B10" s="374"/>
      <c r="C10" s="368" t="s">
        <v>124</v>
      </c>
      <c r="D10" s="363" t="s">
        <v>136</v>
      </c>
      <c r="E10" s="363"/>
      <c r="F10" s="95">
        <f>F18</f>
        <v>80</v>
      </c>
      <c r="I10" s="55">
        <v>5</v>
      </c>
      <c r="J10" s="33">
        <f t="shared" si="21"/>
        <v>2.1</v>
      </c>
      <c r="K10" s="33">
        <f t="shared" si="22"/>
        <v>0.88769757543783612</v>
      </c>
      <c r="L10" s="33">
        <f t="shared" si="23"/>
        <v>70</v>
      </c>
      <c r="M10" s="33">
        <f t="shared" si="24"/>
        <v>1.6666666666666667</v>
      </c>
      <c r="N10" s="33">
        <f t="shared" si="0"/>
        <v>0</v>
      </c>
      <c r="O10" s="34">
        <f t="shared" si="1"/>
        <v>267.9813510549987</v>
      </c>
      <c r="P10" s="55">
        <v>5</v>
      </c>
      <c r="Q10" s="33">
        <f t="shared" si="19"/>
        <v>2.6</v>
      </c>
      <c r="R10" s="33">
        <f t="shared" si="25"/>
        <v>13</v>
      </c>
      <c r="S10" s="33">
        <f t="shared" si="26"/>
        <v>5.72</v>
      </c>
      <c r="T10" s="33">
        <f t="shared" si="2"/>
        <v>2.1517271311001762</v>
      </c>
      <c r="U10" s="33">
        <f t="shared" si="20"/>
        <v>70</v>
      </c>
      <c r="V10" s="33">
        <f t="shared" si="3"/>
        <v>1.6666666666666667</v>
      </c>
      <c r="W10" s="33">
        <v>0</v>
      </c>
      <c r="X10" s="33">
        <f t="shared" si="4"/>
        <v>276.48770253111059</v>
      </c>
      <c r="Y10" s="38">
        <f t="shared" si="5"/>
        <v>8.5063514761118881</v>
      </c>
      <c r="AA10" s="71">
        <v>5</v>
      </c>
      <c r="AB10" s="33">
        <f t="shared" si="6"/>
        <v>0</v>
      </c>
      <c r="AC10" s="304">
        <f t="shared" si="7"/>
        <v>0</v>
      </c>
      <c r="AD10" s="100">
        <f t="shared" si="8"/>
        <v>0</v>
      </c>
      <c r="AE10" s="100">
        <f t="shared" si="9"/>
        <v>0</v>
      </c>
      <c r="AF10" s="193">
        <f t="shared" ref="AF10:AF24" si="28">IF(OR(AA10&lt;=$F$18,AA10&lt;=30),EXP(-LN(2)/$D$104)*AF9+((1-EXP(-LN(2)/$D$104))/(LN(2)/$D$104))*$AB10*AC10*0.475*$F$19*44/12,)</f>
        <v>0</v>
      </c>
      <c r="AG10" s="193">
        <f t="shared" ref="AG10:AG24" si="29">IF(OR(AA10&lt;=$F$18,AA10&lt;=30),EXP(-LN(2)/$D$106)*AG9+((1-EXP(-LN(2)/$D$106))/(LN(2)/$D$106))*$AB10*AD10*0.475*$F$19*44/12,)</f>
        <v>0</v>
      </c>
      <c r="AH10" s="193">
        <f t="shared" ref="AH10:AH24" si="30">IF(OR(AA10&lt;=$F$18,AA10&lt;=30),EXP(-LN(2)/$D$105)*AH9+((1-EXP(-LN(2)/$D$105))/(LN(2)/$D$105))*$AB10*AE10*0.475*$F$19*44/12,)</f>
        <v>0</v>
      </c>
      <c r="AI10" s="198">
        <f t="shared" ref="AI10:AI24" si="31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3">
        <f t="shared" si="15"/>
        <v>0</v>
      </c>
      <c r="AR10" s="193">
        <f t="shared" si="16"/>
        <v>0</v>
      </c>
      <c r="AS10" s="193">
        <f t="shared" si="17"/>
        <v>0</v>
      </c>
      <c r="AT10" s="193">
        <f t="shared" si="18"/>
        <v>0</v>
      </c>
      <c r="AU10" s="33"/>
      <c r="AV10" s="33"/>
      <c r="AW10" s="33"/>
      <c r="AX10" s="33"/>
      <c r="AY10" s="163">
        <f t="shared" si="27"/>
        <v>0</v>
      </c>
    </row>
    <row r="11" spans="2:51">
      <c r="B11" s="374"/>
      <c r="C11" s="368"/>
      <c r="D11" s="366" t="s">
        <v>139</v>
      </c>
      <c r="E11" s="366"/>
      <c r="F11" s="36">
        <f>IF(D8=$B$101,1,0)</f>
        <v>1</v>
      </c>
      <c r="I11" s="55">
        <v>6</v>
      </c>
      <c r="J11" s="33">
        <f t="shared" si="21"/>
        <v>2.52</v>
      </c>
      <c r="K11" s="33">
        <f t="shared" si="22"/>
        <v>1.0428685791905616</v>
      </c>
      <c r="L11" s="33">
        <f t="shared" si="23"/>
        <v>70</v>
      </c>
      <c r="M11" s="33">
        <f t="shared" si="24"/>
        <v>2</v>
      </c>
      <c r="N11" s="33">
        <f t="shared" si="0"/>
        <v>0</v>
      </c>
      <c r="O11" s="34">
        <f t="shared" si="1"/>
        <v>270.2053294420902</v>
      </c>
      <c r="P11" s="55">
        <v>6</v>
      </c>
      <c r="Q11" s="33">
        <f t="shared" si="19"/>
        <v>2.6</v>
      </c>
      <c r="R11" s="33">
        <f t="shared" si="25"/>
        <v>15.6</v>
      </c>
      <c r="S11" s="33">
        <f t="shared" si="26"/>
        <v>6.8639999999999999</v>
      </c>
      <c r="T11" s="33">
        <f t="shared" si="2"/>
        <v>2.5278525909113121</v>
      </c>
      <c r="U11" s="33">
        <f t="shared" si="20"/>
        <v>70</v>
      </c>
      <c r="V11" s="33">
        <f t="shared" si="3"/>
        <v>2</v>
      </c>
      <c r="W11" s="33">
        <v>0</v>
      </c>
      <c r="X11" s="33">
        <f t="shared" si="4"/>
        <v>280.35747659583717</v>
      </c>
      <c r="Y11" s="38">
        <f t="shared" si="5"/>
        <v>10.152147153746967</v>
      </c>
      <c r="AA11" s="71">
        <v>6</v>
      </c>
      <c r="AB11" s="33">
        <f t="shared" si="6"/>
        <v>0</v>
      </c>
      <c r="AC11" s="304">
        <f t="shared" si="7"/>
        <v>0</v>
      </c>
      <c r="AD11" s="100">
        <f t="shared" si="8"/>
        <v>0</v>
      </c>
      <c r="AE11" s="100">
        <f t="shared" si="9"/>
        <v>0</v>
      </c>
      <c r="AF11" s="193">
        <f t="shared" si="28"/>
        <v>0</v>
      </c>
      <c r="AG11" s="193">
        <f t="shared" si="29"/>
        <v>0</v>
      </c>
      <c r="AH11" s="193">
        <f t="shared" si="30"/>
        <v>0</v>
      </c>
      <c r="AI11" s="198">
        <f t="shared" si="31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3">
        <f t="shared" si="15"/>
        <v>0</v>
      </c>
      <c r="AR11" s="193">
        <f t="shared" si="16"/>
        <v>0</v>
      </c>
      <c r="AS11" s="193">
        <f t="shared" si="17"/>
        <v>0</v>
      </c>
      <c r="AT11" s="193">
        <f t="shared" si="18"/>
        <v>0</v>
      </c>
      <c r="AU11" s="33"/>
      <c r="AV11" s="33"/>
      <c r="AW11" s="33"/>
      <c r="AX11" s="33"/>
      <c r="AY11" s="163">
        <f t="shared" si="27"/>
        <v>0</v>
      </c>
    </row>
    <row r="12" spans="2:51" ht="32">
      <c r="B12" s="374"/>
      <c r="C12" s="368"/>
      <c r="D12" s="363" t="s">
        <v>131</v>
      </c>
      <c r="E12" s="363"/>
      <c r="F12" s="96" t="s">
        <v>69</v>
      </c>
      <c r="I12" s="55">
        <v>7</v>
      </c>
      <c r="J12" s="33">
        <f t="shared" si="21"/>
        <v>2.94</v>
      </c>
      <c r="K12" s="33">
        <f t="shared" si="22"/>
        <v>1.1950436430309317</v>
      </c>
      <c r="L12" s="33">
        <f t="shared" si="23"/>
        <v>70</v>
      </c>
      <c r="M12" s="33">
        <f t="shared" si="24"/>
        <v>2.3333333333333335</v>
      </c>
      <c r="N12" s="33">
        <f t="shared" si="0"/>
        <v>0</v>
      </c>
      <c r="O12" s="34">
        <f t="shared" si="1"/>
        <v>272.42408990050109</v>
      </c>
      <c r="P12" s="55">
        <v>7</v>
      </c>
      <c r="Q12" s="33">
        <f t="shared" si="19"/>
        <v>2.6</v>
      </c>
      <c r="R12" s="33">
        <f t="shared" si="25"/>
        <v>18.2</v>
      </c>
      <c r="S12" s="33">
        <f t="shared" si="26"/>
        <v>8.0079999999999991</v>
      </c>
      <c r="T12" s="33">
        <f t="shared" si="2"/>
        <v>2.8967160671697929</v>
      </c>
      <c r="U12" s="33">
        <f t="shared" si="20"/>
        <v>70</v>
      </c>
      <c r="V12" s="33">
        <f t="shared" si="3"/>
        <v>2.3333333333333335</v>
      </c>
      <c r="W12" s="33">
        <v>0</v>
      </c>
      <c r="X12" s="33">
        <f t="shared" si="4"/>
        <v>284.21460270587625</v>
      </c>
      <c r="Y12" s="38">
        <f t="shared" si="5"/>
        <v>11.790512805375158</v>
      </c>
      <c r="AA12" s="71">
        <v>7</v>
      </c>
      <c r="AB12" s="33">
        <f t="shared" si="6"/>
        <v>0</v>
      </c>
      <c r="AC12" s="304">
        <f t="shared" si="7"/>
        <v>0</v>
      </c>
      <c r="AD12" s="100">
        <f t="shared" si="8"/>
        <v>0</v>
      </c>
      <c r="AE12" s="100">
        <f t="shared" si="9"/>
        <v>0</v>
      </c>
      <c r="AF12" s="193">
        <f t="shared" si="28"/>
        <v>0</v>
      </c>
      <c r="AG12" s="193">
        <f t="shared" si="29"/>
        <v>0</v>
      </c>
      <c r="AH12" s="193">
        <f t="shared" si="30"/>
        <v>0</v>
      </c>
      <c r="AI12" s="198">
        <f t="shared" si="31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3">
        <f t="shared" si="15"/>
        <v>0</v>
      </c>
      <c r="AR12" s="193">
        <f t="shared" si="16"/>
        <v>0</v>
      </c>
      <c r="AS12" s="193">
        <f t="shared" si="17"/>
        <v>0</v>
      </c>
      <c r="AT12" s="193">
        <f t="shared" si="18"/>
        <v>0</v>
      </c>
      <c r="AU12" s="33"/>
      <c r="AV12" s="33"/>
      <c r="AW12" s="33"/>
      <c r="AX12" s="33"/>
      <c r="AY12" s="163">
        <f t="shared" si="27"/>
        <v>0</v>
      </c>
    </row>
    <row r="13" spans="2:51">
      <c r="B13" s="365"/>
      <c r="C13" s="369"/>
      <c r="D13" s="367" t="s">
        <v>155</v>
      </c>
      <c r="E13" s="367"/>
      <c r="F13" s="37">
        <f>IF(ISBLANK(F$12),,VLOOKUP(F$12,C131:D195,2,FALSE))</f>
        <v>0.42</v>
      </c>
      <c r="I13" s="55">
        <v>8</v>
      </c>
      <c r="J13" s="33">
        <f t="shared" si="21"/>
        <v>3.36</v>
      </c>
      <c r="K13" s="33">
        <f t="shared" si="22"/>
        <v>1.3447001408663719</v>
      </c>
      <c r="L13" s="33">
        <f t="shared" si="23"/>
        <v>70</v>
      </c>
      <c r="M13" s="33">
        <f t="shared" si="24"/>
        <v>2.6666666666666665</v>
      </c>
      <c r="N13" s="33">
        <f t="shared" si="0"/>
        <v>0</v>
      </c>
      <c r="O13" s="34">
        <f t="shared" si="1"/>
        <v>274.63846385645343</v>
      </c>
      <c r="P13" s="55">
        <v>8</v>
      </c>
      <c r="Q13" s="33">
        <f t="shared" si="19"/>
        <v>2.6</v>
      </c>
      <c r="R13" s="33">
        <f t="shared" si="25"/>
        <v>20.8</v>
      </c>
      <c r="S13" s="33">
        <f t="shared" si="26"/>
        <v>9.152000000000001</v>
      </c>
      <c r="T13" s="33">
        <f t="shared" si="2"/>
        <v>3.259474686375353</v>
      </c>
      <c r="U13" s="33">
        <f t="shared" si="20"/>
        <v>70</v>
      </c>
      <c r="V13" s="33">
        <f t="shared" si="3"/>
        <v>2.6666666666666665</v>
      </c>
      <c r="W13" s="33">
        <v>0</v>
      </c>
      <c r="X13" s="33">
        <f t="shared" si="4"/>
        <v>288.06109618988154</v>
      </c>
      <c r="Y13" s="38">
        <f t="shared" si="5"/>
        <v>13.422632333428112</v>
      </c>
      <c r="AA13" s="71">
        <v>8</v>
      </c>
      <c r="AB13" s="33">
        <f t="shared" si="6"/>
        <v>0</v>
      </c>
      <c r="AC13" s="304">
        <f t="shared" si="7"/>
        <v>0</v>
      </c>
      <c r="AD13" s="100">
        <f t="shared" si="8"/>
        <v>0</v>
      </c>
      <c r="AE13" s="100">
        <f t="shared" si="9"/>
        <v>0</v>
      </c>
      <c r="AF13" s="193">
        <f t="shared" si="28"/>
        <v>0</v>
      </c>
      <c r="AG13" s="193">
        <f t="shared" si="29"/>
        <v>0</v>
      </c>
      <c r="AH13" s="193">
        <f t="shared" si="30"/>
        <v>0</v>
      </c>
      <c r="AI13" s="198">
        <f t="shared" si="31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3">
        <f t="shared" si="15"/>
        <v>0</v>
      </c>
      <c r="AR13" s="193">
        <f t="shared" si="16"/>
        <v>0</v>
      </c>
      <c r="AS13" s="193">
        <f t="shared" si="17"/>
        <v>0</v>
      </c>
      <c r="AT13" s="193">
        <f t="shared" si="18"/>
        <v>0</v>
      </c>
      <c r="AU13" s="33"/>
      <c r="AV13" s="33"/>
      <c r="AW13" s="33"/>
      <c r="AX13" s="33"/>
      <c r="AY13" s="163">
        <f t="shared" si="27"/>
        <v>0</v>
      </c>
    </row>
    <row r="14" spans="2:51">
      <c r="B14" s="364" t="s">
        <v>132</v>
      </c>
      <c r="C14" s="360"/>
      <c r="D14" s="361"/>
      <c r="E14" s="361"/>
      <c r="F14" s="362"/>
      <c r="I14" s="55">
        <v>9</v>
      </c>
      <c r="J14" s="33">
        <f t="shared" si="21"/>
        <v>3.78</v>
      </c>
      <c r="K14" s="33">
        <f t="shared" si="22"/>
        <v>1.4921889485915243</v>
      </c>
      <c r="L14" s="33">
        <f t="shared" si="23"/>
        <v>70</v>
      </c>
      <c r="M14" s="33">
        <f t="shared" si="24"/>
        <v>3</v>
      </c>
      <c r="N14" s="33">
        <f t="shared" si="0"/>
        <v>0</v>
      </c>
      <c r="O14" s="34">
        <f t="shared" si="1"/>
        <v>276.8490624187969</v>
      </c>
      <c r="P14" s="55">
        <v>9</v>
      </c>
      <c r="Q14" s="33">
        <f t="shared" si="19"/>
        <v>2.6</v>
      </c>
      <c r="R14" s="33">
        <f t="shared" si="25"/>
        <v>23.400000000000002</v>
      </c>
      <c r="S14" s="33">
        <f t="shared" si="26"/>
        <v>10.296000000000001</v>
      </c>
      <c r="T14" s="33">
        <f t="shared" si="2"/>
        <v>3.6169789512251227</v>
      </c>
      <c r="U14" s="33">
        <f t="shared" si="20"/>
        <v>70</v>
      </c>
      <c r="V14" s="33">
        <f t="shared" si="3"/>
        <v>3</v>
      </c>
      <c r="W14" s="33">
        <v>0</v>
      </c>
      <c r="X14" s="33">
        <f t="shared" si="4"/>
        <v>291.8984383400504</v>
      </c>
      <c r="Y14" s="38">
        <f t="shared" si="5"/>
        <v>15.0493759212535</v>
      </c>
      <c r="AA14" s="71">
        <v>9</v>
      </c>
      <c r="AB14" s="33">
        <f t="shared" si="6"/>
        <v>0</v>
      </c>
      <c r="AC14" s="304">
        <f t="shared" si="7"/>
        <v>0</v>
      </c>
      <c r="AD14" s="100">
        <f t="shared" si="8"/>
        <v>0</v>
      </c>
      <c r="AE14" s="100">
        <f t="shared" si="9"/>
        <v>0</v>
      </c>
      <c r="AF14" s="193">
        <f t="shared" si="28"/>
        <v>0</v>
      </c>
      <c r="AG14" s="193">
        <f t="shared" si="29"/>
        <v>0</v>
      </c>
      <c r="AH14" s="193">
        <f t="shared" si="30"/>
        <v>0</v>
      </c>
      <c r="AI14" s="198">
        <f t="shared" si="31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3">
        <f t="shared" si="15"/>
        <v>0</v>
      </c>
      <c r="AR14" s="193">
        <f t="shared" si="16"/>
        <v>0</v>
      </c>
      <c r="AS14" s="193">
        <f t="shared" si="17"/>
        <v>0</v>
      </c>
      <c r="AT14" s="193">
        <f t="shared" si="18"/>
        <v>0</v>
      </c>
      <c r="AU14" s="33"/>
      <c r="AV14" s="33"/>
      <c r="AW14" s="33"/>
      <c r="AX14" s="33"/>
      <c r="AY14" s="163">
        <f t="shared" si="27"/>
        <v>0</v>
      </c>
    </row>
    <row r="15" spans="2:51">
      <c r="B15" s="374"/>
      <c r="C15" s="93" t="s">
        <v>73</v>
      </c>
      <c r="D15" s="370" t="s">
        <v>135</v>
      </c>
      <c r="E15" s="370"/>
      <c r="F15" s="94">
        <f>IF(D15="","",VLOOKUP(D15,$B$98:$C$101,2,0))</f>
        <v>70</v>
      </c>
      <c r="I15" s="55">
        <v>10</v>
      </c>
      <c r="J15" s="33">
        <f t="shared" si="21"/>
        <v>4.2</v>
      </c>
      <c r="K15" s="33">
        <f t="shared" si="22"/>
        <v>1.6377783954177545</v>
      </c>
      <c r="L15" s="33">
        <f t="shared" si="23"/>
        <v>70</v>
      </c>
      <c r="M15" s="33">
        <f t="shared" si="24"/>
        <v>3.3333333333333335</v>
      </c>
      <c r="N15" s="33">
        <f t="shared" si="0"/>
        <v>0</v>
      </c>
      <c r="O15" s="34">
        <f t="shared" si="1"/>
        <v>279.05635292757478</v>
      </c>
      <c r="P15" s="55">
        <v>10</v>
      </c>
      <c r="Q15" s="33">
        <f t="shared" si="19"/>
        <v>2.6</v>
      </c>
      <c r="R15" s="33">
        <f t="shared" si="25"/>
        <v>26.000000000000004</v>
      </c>
      <c r="S15" s="33">
        <f t="shared" si="26"/>
        <v>11.440000000000001</v>
      </c>
      <c r="T15" s="33">
        <f t="shared" si="2"/>
        <v>3.9698792760720765</v>
      </c>
      <c r="U15" s="33">
        <f t="shared" si="20"/>
        <v>70</v>
      </c>
      <c r="V15" s="33">
        <f t="shared" si="3"/>
        <v>3.3333333333333335</v>
      </c>
      <c r="W15" s="33">
        <v>0</v>
      </c>
      <c r="X15" s="33">
        <f t="shared" si="4"/>
        <v>295.72776196138108</v>
      </c>
      <c r="Y15" s="38">
        <f t="shared" si="5"/>
        <v>16.671409033806299</v>
      </c>
      <c r="AA15" s="71">
        <v>10</v>
      </c>
      <c r="AB15" s="33">
        <f t="shared" si="6"/>
        <v>0</v>
      </c>
      <c r="AC15" s="304">
        <f t="shared" si="7"/>
        <v>0</v>
      </c>
      <c r="AD15" s="100">
        <f t="shared" si="8"/>
        <v>0</v>
      </c>
      <c r="AE15" s="100">
        <f t="shared" si="9"/>
        <v>0</v>
      </c>
      <c r="AF15" s="193">
        <f t="shared" si="28"/>
        <v>0</v>
      </c>
      <c r="AG15" s="193">
        <f t="shared" si="29"/>
        <v>0</v>
      </c>
      <c r="AH15" s="193">
        <f t="shared" si="30"/>
        <v>0</v>
      </c>
      <c r="AI15" s="198">
        <f t="shared" si="31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3">
        <f t="shared" si="15"/>
        <v>0</v>
      </c>
      <c r="AR15" s="193">
        <f t="shared" si="16"/>
        <v>0</v>
      </c>
      <c r="AS15" s="193">
        <f t="shared" si="17"/>
        <v>0</v>
      </c>
      <c r="AT15" s="193">
        <f t="shared" si="18"/>
        <v>0</v>
      </c>
      <c r="AU15" s="33"/>
      <c r="AV15" s="33"/>
      <c r="AW15" s="33"/>
      <c r="AX15" s="33"/>
      <c r="AY15" s="163">
        <f t="shared" si="27"/>
        <v>0</v>
      </c>
    </row>
    <row r="16" spans="2:51">
      <c r="B16" s="374"/>
      <c r="C16" s="93" t="s">
        <v>74</v>
      </c>
      <c r="D16" s="366" t="s">
        <v>138</v>
      </c>
      <c r="E16" s="366"/>
      <c r="F16" s="94">
        <v>10</v>
      </c>
      <c r="I16" s="55">
        <v>11</v>
      </c>
      <c r="J16" s="33">
        <f t="shared" si="21"/>
        <v>4.62</v>
      </c>
      <c r="K16" s="33">
        <f t="shared" si="22"/>
        <v>1.7816800392152941</v>
      </c>
      <c r="L16" s="33">
        <f t="shared" si="23"/>
        <v>70</v>
      </c>
      <c r="M16" s="33">
        <f t="shared" si="24"/>
        <v>3.6666666666666665</v>
      </c>
      <c r="N16" s="33">
        <f t="shared" si="0"/>
        <v>0</v>
      </c>
      <c r="O16" s="34">
        <f t="shared" si="1"/>
        <v>281.26070384607777</v>
      </c>
      <c r="P16" s="55">
        <v>11</v>
      </c>
      <c r="Q16" s="33">
        <f t="shared" si="19"/>
        <v>2.6</v>
      </c>
      <c r="R16" s="33">
        <f t="shared" si="25"/>
        <v>28.600000000000005</v>
      </c>
      <c r="S16" s="33">
        <f t="shared" si="26"/>
        <v>12.584000000000001</v>
      </c>
      <c r="T16" s="33">
        <f t="shared" si="2"/>
        <v>4.3186884648505401</v>
      </c>
      <c r="U16" s="33">
        <f t="shared" si="20"/>
        <v>70</v>
      </c>
      <c r="V16" s="33">
        <f t="shared" si="3"/>
        <v>3.6666666666666665</v>
      </c>
      <c r="W16" s="33">
        <v>0</v>
      </c>
      <c r="X16" s="33">
        <f t="shared" si="4"/>
        <v>299.54996018739246</v>
      </c>
      <c r="Y16" s="38">
        <f t="shared" si="5"/>
        <v>18.289256341314683</v>
      </c>
      <c r="AA16" s="71">
        <v>11</v>
      </c>
      <c r="AB16" s="33">
        <f t="shared" si="6"/>
        <v>0</v>
      </c>
      <c r="AC16" s="304">
        <f t="shared" si="7"/>
        <v>0</v>
      </c>
      <c r="AD16" s="100">
        <f t="shared" si="8"/>
        <v>0</v>
      </c>
      <c r="AE16" s="100">
        <f t="shared" si="9"/>
        <v>0</v>
      </c>
      <c r="AF16" s="193">
        <f t="shared" si="28"/>
        <v>0</v>
      </c>
      <c r="AG16" s="193">
        <f t="shared" si="29"/>
        <v>0</v>
      </c>
      <c r="AH16" s="193">
        <f t="shared" si="30"/>
        <v>0</v>
      </c>
      <c r="AI16" s="198">
        <f t="shared" si="31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193">
        <f t="shared" si="15"/>
        <v>0</v>
      </c>
      <c r="AR16" s="193">
        <f t="shared" si="16"/>
        <v>0</v>
      </c>
      <c r="AS16" s="193">
        <f t="shared" si="17"/>
        <v>0</v>
      </c>
      <c r="AT16" s="193">
        <f t="shared" si="18"/>
        <v>0</v>
      </c>
      <c r="AU16" s="33"/>
      <c r="AV16" s="33"/>
      <c r="AW16" s="33"/>
      <c r="AX16" s="33"/>
      <c r="AY16" s="163">
        <f t="shared" si="27"/>
        <v>0</v>
      </c>
    </row>
    <row r="17" spans="2:51" ht="16">
      <c r="B17" s="374"/>
      <c r="C17" s="368" t="s">
        <v>124</v>
      </c>
      <c r="D17" s="363" t="s">
        <v>131</v>
      </c>
      <c r="E17" s="363"/>
      <c r="F17" s="96" t="s">
        <v>57</v>
      </c>
      <c r="I17" s="55">
        <v>12</v>
      </c>
      <c r="J17" s="33">
        <f t="shared" si="21"/>
        <v>5.04</v>
      </c>
      <c r="K17" s="33">
        <f t="shared" si="22"/>
        <v>1.9240647665573338</v>
      </c>
      <c r="L17" s="33">
        <f t="shared" si="23"/>
        <v>70</v>
      </c>
      <c r="M17" s="33">
        <f t="shared" si="24"/>
        <v>4</v>
      </c>
      <c r="N17" s="33">
        <f t="shared" si="0"/>
        <v>0</v>
      </c>
      <c r="O17" s="34">
        <f t="shared" si="1"/>
        <v>283.462412801754</v>
      </c>
      <c r="P17" s="55">
        <v>12</v>
      </c>
      <c r="Q17" s="33">
        <f t="shared" si="19"/>
        <v>2.6</v>
      </c>
      <c r="R17" s="33">
        <f t="shared" si="25"/>
        <v>31.200000000000006</v>
      </c>
      <c r="S17" s="33">
        <f t="shared" si="26"/>
        <v>13.728000000000003</v>
      </c>
      <c r="T17" s="33">
        <f t="shared" si="2"/>
        <v>4.6638207366437312</v>
      </c>
      <c r="U17" s="33">
        <f t="shared" si="20"/>
        <v>70</v>
      </c>
      <c r="V17" s="33">
        <f t="shared" si="3"/>
        <v>4</v>
      </c>
      <c r="W17" s="33">
        <v>0</v>
      </c>
      <c r="X17" s="33">
        <f t="shared" si="4"/>
        <v>303.3657544496545</v>
      </c>
      <c r="Y17" s="38">
        <f t="shared" si="5"/>
        <v>19.903341647900504</v>
      </c>
      <c r="AA17" s="71">
        <v>12</v>
      </c>
      <c r="AB17" s="33">
        <f t="shared" si="6"/>
        <v>0</v>
      </c>
      <c r="AC17" s="304">
        <f t="shared" si="7"/>
        <v>0</v>
      </c>
      <c r="AD17" s="100">
        <f t="shared" si="8"/>
        <v>0</v>
      </c>
      <c r="AE17" s="100">
        <f t="shared" si="9"/>
        <v>0</v>
      </c>
      <c r="AF17" s="193">
        <f t="shared" si="28"/>
        <v>0</v>
      </c>
      <c r="AG17" s="193">
        <f t="shared" si="29"/>
        <v>0</v>
      </c>
      <c r="AH17" s="193">
        <f t="shared" si="30"/>
        <v>0</v>
      </c>
      <c r="AI17" s="198">
        <f t="shared" si="31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3">
        <f t="shared" si="15"/>
        <v>0</v>
      </c>
      <c r="AR17" s="193">
        <f t="shared" si="16"/>
        <v>0</v>
      </c>
      <c r="AS17" s="193">
        <f t="shared" si="17"/>
        <v>0</v>
      </c>
      <c r="AT17" s="193">
        <f t="shared" si="18"/>
        <v>0</v>
      </c>
      <c r="AU17" s="33"/>
      <c r="AV17" s="33"/>
      <c r="AW17" s="33"/>
      <c r="AX17" s="33"/>
      <c r="AY17" s="163">
        <f t="shared" si="27"/>
        <v>0</v>
      </c>
    </row>
    <row r="18" spans="2:51">
      <c r="B18" s="374"/>
      <c r="C18" s="368"/>
      <c r="D18" s="363" t="s">
        <v>136</v>
      </c>
      <c r="E18" s="363"/>
      <c r="F18" s="97">
        <v>80</v>
      </c>
      <c r="I18" s="55">
        <v>13</v>
      </c>
      <c r="J18" s="33">
        <f t="shared" si="21"/>
        <v>5.46</v>
      </c>
      <c r="K18" s="33">
        <f t="shared" si="22"/>
        <v>2.0650733588092969</v>
      </c>
      <c r="L18" s="33">
        <f t="shared" si="23"/>
        <v>70</v>
      </c>
      <c r="M18" s="33">
        <f t="shared" si="24"/>
        <v>4.333333333333333</v>
      </c>
      <c r="N18" s="33">
        <f t="shared" si="0"/>
        <v>0</v>
      </c>
      <c r="O18" s="34">
        <f t="shared" si="1"/>
        <v>285.66172498881508</v>
      </c>
      <c r="P18" s="55">
        <v>13</v>
      </c>
      <c r="Q18" s="33">
        <f t="shared" si="19"/>
        <v>2.6</v>
      </c>
      <c r="R18" s="33">
        <f t="shared" si="25"/>
        <v>33.800000000000004</v>
      </c>
      <c r="S18" s="33">
        <f t="shared" si="26"/>
        <v>14.872000000000002</v>
      </c>
      <c r="T18" s="33">
        <f t="shared" si="2"/>
        <v>5.0056173372676982</v>
      </c>
      <c r="U18" s="33">
        <f t="shared" si="20"/>
        <v>70</v>
      </c>
      <c r="V18" s="33">
        <f t="shared" si="3"/>
        <v>4.333333333333333</v>
      </c>
      <c r="W18" s="33">
        <v>0</v>
      </c>
      <c r="X18" s="33">
        <f t="shared" si="4"/>
        <v>307.1757390846301</v>
      </c>
      <c r="Y18" s="38">
        <f t="shared" si="5"/>
        <v>21.514014095815014</v>
      </c>
      <c r="AA18" s="71">
        <v>13</v>
      </c>
      <c r="AB18" s="33">
        <f t="shared" si="6"/>
        <v>0</v>
      </c>
      <c r="AC18" s="304">
        <f t="shared" si="7"/>
        <v>0</v>
      </c>
      <c r="AD18" s="100">
        <f t="shared" si="8"/>
        <v>0</v>
      </c>
      <c r="AE18" s="100">
        <f t="shared" si="9"/>
        <v>0</v>
      </c>
      <c r="AF18" s="193">
        <f t="shared" si="28"/>
        <v>0</v>
      </c>
      <c r="AG18" s="193">
        <f t="shared" si="29"/>
        <v>0</v>
      </c>
      <c r="AH18" s="193">
        <f t="shared" si="30"/>
        <v>0</v>
      </c>
      <c r="AI18" s="198">
        <f t="shared" si="31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3">
        <f t="shared" si="15"/>
        <v>0</v>
      </c>
      <c r="AR18" s="193">
        <f t="shared" si="16"/>
        <v>0</v>
      </c>
      <c r="AS18" s="193">
        <f t="shared" si="17"/>
        <v>0</v>
      </c>
      <c r="AT18" s="193">
        <f t="shared" si="18"/>
        <v>0</v>
      </c>
      <c r="AU18" s="33"/>
      <c r="AV18" s="33"/>
      <c r="AW18" s="33"/>
      <c r="AX18" s="33"/>
      <c r="AY18" s="163">
        <f t="shared" si="27"/>
        <v>0</v>
      </c>
    </row>
    <row r="19" spans="2:51">
      <c r="B19" s="374"/>
      <c r="C19" s="368"/>
      <c r="D19" s="366" t="s">
        <v>155</v>
      </c>
      <c r="E19" s="366"/>
      <c r="F19" s="36">
        <f>IF(ISBLANK(F$17),,VLOOKUP(F$17,C131:D195,2,FALSE))</f>
        <v>0.44</v>
      </c>
      <c r="I19" s="55">
        <v>14</v>
      </c>
      <c r="J19" s="33">
        <f t="shared" si="21"/>
        <v>5.88</v>
      </c>
      <c r="K19" s="33">
        <f t="shared" si="22"/>
        <v>2.2048237083130879</v>
      </c>
      <c r="L19" s="33">
        <f t="shared" si="23"/>
        <v>70</v>
      </c>
      <c r="M19" s="33">
        <f t="shared" si="24"/>
        <v>4.666666666666667</v>
      </c>
      <c r="N19" s="33">
        <f t="shared" si="0"/>
        <v>0</v>
      </c>
      <c r="O19" s="34">
        <f t="shared" si="1"/>
        <v>287.85884573642306</v>
      </c>
      <c r="P19" s="55">
        <v>14</v>
      </c>
      <c r="Q19" s="33">
        <f t="shared" si="19"/>
        <v>2.6</v>
      </c>
      <c r="R19" s="33">
        <f t="shared" si="25"/>
        <v>36.400000000000006</v>
      </c>
      <c r="S19" s="33">
        <f t="shared" si="26"/>
        <v>16.016000000000002</v>
      </c>
      <c r="T19" s="33">
        <f t="shared" si="2"/>
        <v>5.3443640308809179</v>
      </c>
      <c r="U19" s="33">
        <f t="shared" si="20"/>
        <v>70</v>
      </c>
      <c r="V19" s="33">
        <f t="shared" si="3"/>
        <v>4.666666666666667</v>
      </c>
      <c r="W19" s="33">
        <v>0</v>
      </c>
      <c r="X19" s="33">
        <f t="shared" si="4"/>
        <v>310.98041179822877</v>
      </c>
      <c r="Y19" s="38">
        <f t="shared" si="5"/>
        <v>23.121566061805709</v>
      </c>
      <c r="AA19" s="71">
        <v>14</v>
      </c>
      <c r="AB19" s="33">
        <f t="shared" si="6"/>
        <v>0</v>
      </c>
      <c r="AC19" s="304">
        <f t="shared" si="7"/>
        <v>0</v>
      </c>
      <c r="AD19" s="100">
        <f t="shared" si="8"/>
        <v>0</v>
      </c>
      <c r="AE19" s="100">
        <f t="shared" si="9"/>
        <v>0</v>
      </c>
      <c r="AF19" s="193">
        <f t="shared" si="28"/>
        <v>0</v>
      </c>
      <c r="AG19" s="193">
        <f t="shared" si="29"/>
        <v>0</v>
      </c>
      <c r="AH19" s="193">
        <f t="shared" si="30"/>
        <v>0</v>
      </c>
      <c r="AI19" s="198">
        <f t="shared" si="31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3">
        <f t="shared" si="15"/>
        <v>0</v>
      </c>
      <c r="AR19" s="193">
        <f t="shared" si="16"/>
        <v>0</v>
      </c>
      <c r="AS19" s="193">
        <f t="shared" si="17"/>
        <v>0</v>
      </c>
      <c r="AT19" s="193">
        <f t="shared" si="18"/>
        <v>0</v>
      </c>
      <c r="AU19" s="33"/>
      <c r="AV19" s="33"/>
      <c r="AW19" s="33"/>
      <c r="AX19" s="33"/>
      <c r="AY19" s="163">
        <f t="shared" si="27"/>
        <v>0</v>
      </c>
    </row>
    <row r="20" spans="2:51">
      <c r="B20" s="374"/>
      <c r="C20" s="368"/>
      <c r="D20" s="366" t="s">
        <v>140</v>
      </c>
      <c r="E20" s="366"/>
      <c r="F20" s="36">
        <f>IF(ISBLANK(F$17),,VLOOKUP(F17,Tableau145[#All],4,FALSE))</f>
        <v>1.3</v>
      </c>
      <c r="I20" s="55">
        <v>15</v>
      </c>
      <c r="J20" s="33">
        <f t="shared" si="21"/>
        <v>6.3</v>
      </c>
      <c r="K20" s="33">
        <f t="shared" si="22"/>
        <v>2.3434159113137563</v>
      </c>
      <c r="L20" s="33">
        <f t="shared" si="23"/>
        <v>70</v>
      </c>
      <c r="M20" s="33">
        <f t="shared" si="24"/>
        <v>5</v>
      </c>
      <c r="N20" s="33">
        <f t="shared" si="0"/>
        <v>0</v>
      </c>
      <c r="O20" s="34">
        <f t="shared" si="1"/>
        <v>290.05394937887144</v>
      </c>
      <c r="P20" s="55">
        <v>15</v>
      </c>
      <c r="Q20" s="33">
        <f t="shared" si="19"/>
        <v>2.6</v>
      </c>
      <c r="R20" s="33">
        <f t="shared" si="25"/>
        <v>39.000000000000007</v>
      </c>
      <c r="S20" s="33">
        <f t="shared" si="26"/>
        <v>17.160000000000004</v>
      </c>
      <c r="T20" s="33">
        <f t="shared" si="2"/>
        <v>5.6803034449413845</v>
      </c>
      <c r="U20" s="33">
        <f t="shared" si="20"/>
        <v>70</v>
      </c>
      <c r="V20" s="33">
        <f t="shared" si="3"/>
        <v>5</v>
      </c>
      <c r="W20" s="33">
        <v>0</v>
      </c>
      <c r="X20" s="33">
        <f t="shared" si="4"/>
        <v>314.78019516660623</v>
      </c>
      <c r="Y20" s="38">
        <f t="shared" si="5"/>
        <v>24.726245787734797</v>
      </c>
      <c r="AA20" s="71">
        <v>15</v>
      </c>
      <c r="AB20" s="33">
        <f t="shared" si="6"/>
        <v>0</v>
      </c>
      <c r="AC20" s="304">
        <f t="shared" si="7"/>
        <v>0</v>
      </c>
      <c r="AD20" s="100">
        <f t="shared" si="8"/>
        <v>0</v>
      </c>
      <c r="AE20" s="100">
        <f t="shared" si="9"/>
        <v>0</v>
      </c>
      <c r="AF20" s="193">
        <f t="shared" si="28"/>
        <v>0</v>
      </c>
      <c r="AG20" s="193">
        <f t="shared" si="29"/>
        <v>0</v>
      </c>
      <c r="AH20" s="193">
        <f t="shared" si="30"/>
        <v>0</v>
      </c>
      <c r="AI20" s="198">
        <f t="shared" si="31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3">
        <f t="shared" si="15"/>
        <v>0</v>
      </c>
      <c r="AR20" s="193">
        <f t="shared" si="16"/>
        <v>0</v>
      </c>
      <c r="AS20" s="193">
        <f t="shared" si="17"/>
        <v>0</v>
      </c>
      <c r="AT20" s="193">
        <f t="shared" si="18"/>
        <v>0</v>
      </c>
      <c r="AU20" s="33"/>
      <c r="AV20" s="33"/>
      <c r="AW20" s="33"/>
      <c r="AX20" s="33"/>
      <c r="AY20" s="163">
        <f t="shared" si="27"/>
        <v>0</v>
      </c>
    </row>
    <row r="21" spans="2:51">
      <c r="B21" s="365"/>
      <c r="C21" s="369"/>
      <c r="D21" s="367" t="s">
        <v>143</v>
      </c>
      <c r="E21" s="367"/>
      <c r="F21" s="102">
        <v>1.3332999999999999</v>
      </c>
      <c r="I21" s="55">
        <v>16</v>
      </c>
      <c r="J21" s="33">
        <f t="shared" si="21"/>
        <v>6.72</v>
      </c>
      <c r="K21" s="33">
        <f t="shared" si="22"/>
        <v>2.4809359628361181</v>
      </c>
      <c r="L21" s="33">
        <f t="shared" si="23"/>
        <v>70</v>
      </c>
      <c r="M21" s="33">
        <f t="shared" si="24"/>
        <v>5.333333333333333</v>
      </c>
      <c r="N21" s="33">
        <f t="shared" si="0"/>
        <v>0</v>
      </c>
      <c r="O21" s="34">
        <f t="shared" si="1"/>
        <v>292.24718569082847</v>
      </c>
      <c r="P21" s="55">
        <v>16</v>
      </c>
      <c r="Q21" s="33">
        <f t="shared" si="19"/>
        <v>0</v>
      </c>
      <c r="R21" s="33">
        <f t="shared" si="25"/>
        <v>39.000000000000007</v>
      </c>
      <c r="S21" s="33">
        <f t="shared" si="26"/>
        <v>17.160000000000004</v>
      </c>
      <c r="T21" s="33">
        <f t="shared" si="2"/>
        <v>5.6803034449413845</v>
      </c>
      <c r="U21" s="33">
        <f t="shared" si="20"/>
        <v>70</v>
      </c>
      <c r="V21" s="33">
        <f t="shared" si="3"/>
        <v>5.333333333333333</v>
      </c>
      <c r="W21" s="33">
        <v>0</v>
      </c>
      <c r="X21" s="33">
        <f t="shared" si="4"/>
        <v>316.00241738882846</v>
      </c>
      <c r="Y21" s="38">
        <f t="shared" si="5"/>
        <v>23.755231697999989</v>
      </c>
      <c r="AA21" s="71">
        <v>16</v>
      </c>
      <c r="AB21" s="33">
        <f t="shared" si="6"/>
        <v>0</v>
      </c>
      <c r="AC21" s="304">
        <f t="shared" si="7"/>
        <v>0</v>
      </c>
      <c r="AD21" s="100">
        <f t="shared" si="8"/>
        <v>0.56000000000000005</v>
      </c>
      <c r="AE21" s="100">
        <f t="shared" si="9"/>
        <v>0.44</v>
      </c>
      <c r="AF21" s="193">
        <f t="shared" si="28"/>
        <v>0</v>
      </c>
      <c r="AG21" s="193">
        <f t="shared" si="29"/>
        <v>0</v>
      </c>
      <c r="AH21" s="193">
        <f t="shared" si="30"/>
        <v>0</v>
      </c>
      <c r="AI21" s="198">
        <f t="shared" si="31"/>
        <v>0</v>
      </c>
      <c r="AK21" s="71">
        <v>16</v>
      </c>
      <c r="AL21" s="33">
        <f t="shared" si="10"/>
        <v>0</v>
      </c>
      <c r="AM21" s="33">
        <f t="shared" si="11"/>
        <v>0</v>
      </c>
      <c r="AN21" s="33">
        <f t="shared" si="12"/>
        <v>0.56000000000000005</v>
      </c>
      <c r="AO21" s="33">
        <f t="shared" si="13"/>
        <v>0.44</v>
      </c>
      <c r="AP21" s="33">
        <f t="shared" si="14"/>
        <v>0</v>
      </c>
      <c r="AQ21" s="193">
        <f t="shared" si="15"/>
        <v>0</v>
      </c>
      <c r="AR21" s="193">
        <f t="shared" si="16"/>
        <v>0</v>
      </c>
      <c r="AS21" s="193">
        <f t="shared" si="17"/>
        <v>0</v>
      </c>
      <c r="AT21" s="193">
        <f t="shared" si="18"/>
        <v>0</v>
      </c>
      <c r="AU21" s="33"/>
      <c r="AV21" s="33"/>
      <c r="AW21" s="33"/>
      <c r="AX21" s="33"/>
      <c r="AY21" s="163">
        <f t="shared" si="27"/>
        <v>0</v>
      </c>
    </row>
    <row r="22" spans="2:51">
      <c r="E22" s="6"/>
      <c r="I22" s="55">
        <v>17</v>
      </c>
      <c r="J22" s="33">
        <f t="shared" si="21"/>
        <v>7.14</v>
      </c>
      <c r="K22" s="33">
        <f t="shared" si="22"/>
        <v>2.6174585009700779</v>
      </c>
      <c r="L22" s="33">
        <f t="shared" si="23"/>
        <v>70</v>
      </c>
      <c r="M22" s="33">
        <f t="shared" si="24"/>
        <v>5.666666666666667</v>
      </c>
      <c r="N22" s="33">
        <f t="shared" si="0"/>
        <v>0</v>
      </c>
      <c r="O22" s="34">
        <f t="shared" si="1"/>
        <v>294.43868466696739</v>
      </c>
      <c r="P22" s="55">
        <v>17</v>
      </c>
      <c r="Q22" s="33">
        <f t="shared" si="19"/>
        <v>11.05</v>
      </c>
      <c r="R22" s="33">
        <f t="shared" si="25"/>
        <v>50.050000000000011</v>
      </c>
      <c r="S22" s="33">
        <f t="shared" si="26"/>
        <v>22.022000000000006</v>
      </c>
      <c r="T22" s="33">
        <f t="shared" si="2"/>
        <v>7.0810929713935051</v>
      </c>
      <c r="U22" s="33">
        <f t="shared" si="20"/>
        <v>70</v>
      </c>
      <c r="V22" s="33">
        <f t="shared" si="3"/>
        <v>5.666666666666667</v>
      </c>
      <c r="W22" s="33">
        <v>0</v>
      </c>
      <c r="X22" s="33">
        <f t="shared" si="4"/>
        <v>328.13233136962151</v>
      </c>
      <c r="Y22" s="38">
        <f t="shared" si="5"/>
        <v>33.693646702654121</v>
      </c>
      <c r="AA22" s="71">
        <v>17</v>
      </c>
      <c r="AB22" s="33">
        <f t="shared" si="6"/>
        <v>0</v>
      </c>
      <c r="AC22" s="304">
        <f t="shared" si="7"/>
        <v>0</v>
      </c>
      <c r="AD22" s="100">
        <f t="shared" si="8"/>
        <v>0</v>
      </c>
      <c r="AE22" s="100">
        <f t="shared" si="9"/>
        <v>0</v>
      </c>
      <c r="AF22" s="193">
        <f t="shared" si="28"/>
        <v>0</v>
      </c>
      <c r="AG22" s="193">
        <f t="shared" si="29"/>
        <v>0</v>
      </c>
      <c r="AH22" s="193">
        <f t="shared" si="30"/>
        <v>0</v>
      </c>
      <c r="AI22" s="198">
        <f t="shared" si="31"/>
        <v>0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3">
        <f t="shared" si="15"/>
        <v>0</v>
      </c>
      <c r="AR22" s="193">
        <f t="shared" si="16"/>
        <v>0</v>
      </c>
      <c r="AS22" s="193">
        <f t="shared" si="17"/>
        <v>0</v>
      </c>
      <c r="AT22" s="193">
        <f t="shared" si="18"/>
        <v>0</v>
      </c>
      <c r="AU22" s="33"/>
      <c r="AV22" s="33"/>
      <c r="AW22" s="33"/>
      <c r="AX22" s="33"/>
      <c r="AY22" s="163">
        <f t="shared" si="27"/>
        <v>0</v>
      </c>
    </row>
    <row r="23" spans="2:51">
      <c r="B23" s="357" t="s">
        <v>142</v>
      </c>
      <c r="C23" s="358"/>
      <c r="D23" s="358"/>
      <c r="E23" s="358"/>
      <c r="F23" s="358"/>
      <c r="G23" s="359"/>
      <c r="I23" s="55">
        <v>18</v>
      </c>
      <c r="J23" s="33">
        <f t="shared" si="21"/>
        <v>7.56</v>
      </c>
      <c r="K23" s="33">
        <f t="shared" si="22"/>
        <v>2.7530488868114218</v>
      </c>
      <c r="L23" s="33">
        <f t="shared" si="23"/>
        <v>70</v>
      </c>
      <c r="M23" s="33">
        <f t="shared" si="24"/>
        <v>6</v>
      </c>
      <c r="N23" s="33">
        <f t="shared" si="0"/>
        <v>0</v>
      </c>
      <c r="O23" s="34">
        <f t="shared" si="1"/>
        <v>296.6285601445299</v>
      </c>
      <c r="P23" s="55">
        <v>18</v>
      </c>
      <c r="Q23" s="33">
        <f t="shared" si="19"/>
        <v>11.05</v>
      </c>
      <c r="R23" s="33">
        <f t="shared" si="25"/>
        <v>61.100000000000009</v>
      </c>
      <c r="S23" s="33">
        <f t="shared" si="26"/>
        <v>26.884000000000004</v>
      </c>
      <c r="T23" s="33">
        <f t="shared" si="2"/>
        <v>8.4460347353767489</v>
      </c>
      <c r="U23" s="33">
        <f t="shared" si="20"/>
        <v>70</v>
      </c>
      <c r="V23" s="33">
        <f t="shared" si="3"/>
        <v>6</v>
      </c>
      <c r="W23" s="33">
        <v>0</v>
      </c>
      <c r="X23" s="33">
        <f t="shared" si="4"/>
        <v>340.1998104974478</v>
      </c>
      <c r="Y23" s="38">
        <f t="shared" si="5"/>
        <v>43.5712503529179</v>
      </c>
      <c r="AA23" s="71">
        <v>18</v>
      </c>
      <c r="AB23" s="33">
        <f t="shared" si="6"/>
        <v>0</v>
      </c>
      <c r="AC23" s="304">
        <f t="shared" si="7"/>
        <v>0</v>
      </c>
      <c r="AD23" s="100">
        <f t="shared" si="8"/>
        <v>0</v>
      </c>
      <c r="AE23" s="100">
        <f t="shared" si="9"/>
        <v>0</v>
      </c>
      <c r="AF23" s="193">
        <f t="shared" si="28"/>
        <v>0</v>
      </c>
      <c r="AG23" s="193">
        <f t="shared" si="29"/>
        <v>0</v>
      </c>
      <c r="AH23" s="193">
        <f t="shared" si="30"/>
        <v>0</v>
      </c>
      <c r="AI23" s="198">
        <f t="shared" si="31"/>
        <v>0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3">
        <f t="shared" si="15"/>
        <v>0</v>
      </c>
      <c r="AR23" s="193">
        <f t="shared" si="16"/>
        <v>0</v>
      </c>
      <c r="AS23" s="193">
        <f t="shared" si="17"/>
        <v>0</v>
      </c>
      <c r="AT23" s="193">
        <f t="shared" si="18"/>
        <v>0</v>
      </c>
      <c r="AU23" s="33"/>
      <c r="AV23" s="33"/>
      <c r="AW23" s="33"/>
      <c r="AX23" s="33"/>
      <c r="AY23" s="163">
        <f t="shared" si="27"/>
        <v>0</v>
      </c>
    </row>
    <row r="24" spans="2:51">
      <c r="B24" s="47" t="s">
        <v>114</v>
      </c>
      <c r="C24" s="48" t="s">
        <v>115</v>
      </c>
      <c r="D24" s="48" t="s">
        <v>83</v>
      </c>
      <c r="E24" s="48" t="s">
        <v>117</v>
      </c>
      <c r="F24" s="48" t="s">
        <v>116</v>
      </c>
      <c r="G24" s="49" t="s">
        <v>141</v>
      </c>
      <c r="I24" s="55">
        <v>19</v>
      </c>
      <c r="J24" s="33">
        <f t="shared" si="21"/>
        <v>7.9799999999999995</v>
      </c>
      <c r="K24" s="33">
        <f t="shared" si="22"/>
        <v>2.8877648089424257</v>
      </c>
      <c r="L24" s="33">
        <f t="shared" si="23"/>
        <v>70</v>
      </c>
      <c r="M24" s="33">
        <f t="shared" si="24"/>
        <v>6.333333333333333</v>
      </c>
      <c r="N24" s="33">
        <f t="shared" si="0"/>
        <v>0</v>
      </c>
      <c r="O24" s="34">
        <f t="shared" si="1"/>
        <v>298.81691259779694</v>
      </c>
      <c r="P24" s="55">
        <v>19</v>
      </c>
      <c r="Q24" s="33">
        <f t="shared" si="19"/>
        <v>11.05</v>
      </c>
      <c r="R24" s="33">
        <f t="shared" si="25"/>
        <v>72.150000000000006</v>
      </c>
      <c r="S24" s="33">
        <f t="shared" si="26"/>
        <v>31.746000000000002</v>
      </c>
      <c r="T24" s="33">
        <f t="shared" si="2"/>
        <v>9.7823787985981632</v>
      </c>
      <c r="U24" s="33">
        <f t="shared" si="20"/>
        <v>70</v>
      </c>
      <c r="V24" s="33">
        <f t="shared" si="3"/>
        <v>6.333333333333333</v>
      </c>
      <c r="W24" s="33">
        <v>0</v>
      </c>
      <c r="X24" s="33">
        <f t="shared" si="4"/>
        <v>352.21748196311404</v>
      </c>
      <c r="Y24" s="38">
        <f t="shared" si="5"/>
        <v>53.400569365317097</v>
      </c>
      <c r="AA24" s="71">
        <v>19</v>
      </c>
      <c r="AB24" s="33">
        <f t="shared" si="6"/>
        <v>0</v>
      </c>
      <c r="AC24" s="304">
        <f t="shared" si="7"/>
        <v>0</v>
      </c>
      <c r="AD24" s="100">
        <f t="shared" si="8"/>
        <v>0</v>
      </c>
      <c r="AE24" s="100">
        <f t="shared" si="9"/>
        <v>0</v>
      </c>
      <c r="AF24" s="193">
        <f t="shared" si="28"/>
        <v>0</v>
      </c>
      <c r="AG24" s="193">
        <f t="shared" si="29"/>
        <v>0</v>
      </c>
      <c r="AH24" s="193">
        <f t="shared" si="30"/>
        <v>0</v>
      </c>
      <c r="AI24" s="198">
        <f t="shared" si="31"/>
        <v>0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3">
        <f t="shared" si="15"/>
        <v>0</v>
      </c>
      <c r="AR24" s="193">
        <f t="shared" si="16"/>
        <v>0</v>
      </c>
      <c r="AS24" s="193">
        <f t="shared" si="17"/>
        <v>0</v>
      </c>
      <c r="AT24" s="193">
        <f t="shared" si="18"/>
        <v>0</v>
      </c>
      <c r="AU24" s="33"/>
      <c r="AV24" s="33"/>
      <c r="AW24" s="33"/>
      <c r="AX24" s="33"/>
      <c r="AY24" s="163">
        <f t="shared" si="27"/>
        <v>0</v>
      </c>
    </row>
    <row r="25" spans="2:51">
      <c r="B25" s="45">
        <v>0</v>
      </c>
      <c r="C25" s="333">
        <v>15</v>
      </c>
      <c r="D25" s="135">
        <v>30</v>
      </c>
      <c r="E25" s="139">
        <f t="shared" ref="E25:E60" si="32">$F$20</f>
        <v>1.3</v>
      </c>
      <c r="F25" s="46">
        <f t="shared" ref="F25:F46" si="33">D25*E25</f>
        <v>39</v>
      </c>
      <c r="G25" s="50">
        <f>F25/(C25-B25)</f>
        <v>2.6</v>
      </c>
      <c r="I25" s="55">
        <v>20</v>
      </c>
      <c r="J25" s="33">
        <f t="shared" si="21"/>
        <v>8.4</v>
      </c>
      <c r="K25" s="33">
        <f t="shared" si="22"/>
        <v>3.0216575404908177</v>
      </c>
      <c r="L25" s="33">
        <f t="shared" si="23"/>
        <v>70</v>
      </c>
      <c r="M25" s="33">
        <f t="shared" si="24"/>
        <v>6.666666666666667</v>
      </c>
      <c r="N25" s="33">
        <f t="shared" si="0"/>
        <v>0</v>
      </c>
      <c r="O25" s="34">
        <f t="shared" si="1"/>
        <v>301.003831327466</v>
      </c>
      <c r="P25" s="55">
        <v>20</v>
      </c>
      <c r="Q25" s="33">
        <f t="shared" si="19"/>
        <v>11.05</v>
      </c>
      <c r="R25" s="33">
        <f t="shared" si="25"/>
        <v>83.2</v>
      </c>
      <c r="S25" s="33">
        <f t="shared" si="26"/>
        <v>36.608000000000004</v>
      </c>
      <c r="T25" s="33">
        <f t="shared" si="2"/>
        <v>11.095013140333556</v>
      </c>
      <c r="U25" s="33">
        <f t="shared" si="20"/>
        <v>70</v>
      </c>
      <c r="V25" s="33">
        <f t="shared" si="3"/>
        <v>6.666666666666667</v>
      </c>
      <c r="W25" s="33">
        <v>0</v>
      </c>
      <c r="X25" s="33">
        <f t="shared" si="4"/>
        <v>364.19385899719208</v>
      </c>
      <c r="Y25" s="38">
        <f t="shared" si="5"/>
        <v>63.190027669726078</v>
      </c>
      <c r="AA25" s="71">
        <v>20</v>
      </c>
      <c r="AB25" s="33">
        <f t="shared" si="6"/>
        <v>0</v>
      </c>
      <c r="AC25" s="304">
        <f t="shared" si="7"/>
        <v>0</v>
      </c>
      <c r="AD25" s="100">
        <f t="shared" si="8"/>
        <v>0</v>
      </c>
      <c r="AE25" s="100">
        <f t="shared" si="9"/>
        <v>0</v>
      </c>
      <c r="AF25" s="193">
        <f>IF(OR(AA25&lt;=$F$18,AA25&lt;=30),EXP(-LN(2)/$D$104)*AF24+((1-EXP(-LN(2)/$D$104))/(LN(2)/$D$104))*$AB25*AC25*0.475*$F$19*44/12,)</f>
        <v>0</v>
      </c>
      <c r="AG25" s="193">
        <f>IF(OR(AA25&lt;=$F$18,AA25&lt;=30),EXP(-LN(2)/$D$106)*AG24+((1-EXP(-LN(2)/$D$106))/(LN(2)/$D$106))*$AB25*AD25*0.475*$F$19*44/12,)</f>
        <v>0</v>
      </c>
      <c r="AH25" s="193">
        <f>IF(OR(AA25&lt;=$F$18,AA25&lt;=30),EXP(-LN(2)/$D$105)*AH24+((1-EXP(-LN(2)/$D$105))/(LN(2)/$D$105))*$AB25*AE25*0.475*$F$19*44/12,)</f>
        <v>0</v>
      </c>
      <c r="AI25" s="198">
        <f>IF(OR(AA25&lt;=$F$18,AA25&lt;=30),SUM(AF25:AH25),)</f>
        <v>0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3">
        <f t="shared" si="15"/>
        <v>0</v>
      </c>
      <c r="AR25" s="193">
        <f t="shared" si="16"/>
        <v>0</v>
      </c>
      <c r="AS25" s="193">
        <f t="shared" si="17"/>
        <v>0</v>
      </c>
      <c r="AT25" s="193">
        <f t="shared" si="18"/>
        <v>0</v>
      </c>
      <c r="AU25" s="33"/>
      <c r="AV25" s="33"/>
      <c r="AW25" s="33"/>
      <c r="AX25" s="33"/>
      <c r="AY25" s="163">
        <f t="shared" si="27"/>
        <v>0</v>
      </c>
    </row>
    <row r="26" spans="2:51">
      <c r="B26" s="40">
        <f t="shared" ref="B26:B60" si="34">C25</f>
        <v>15</v>
      </c>
      <c r="C26" s="41">
        <f>B26+1</f>
        <v>16</v>
      </c>
      <c r="D26" s="135">
        <v>30</v>
      </c>
      <c r="E26" s="140">
        <f t="shared" si="32"/>
        <v>1.3</v>
      </c>
      <c r="F26" s="42">
        <f t="shared" si="33"/>
        <v>39</v>
      </c>
      <c r="G26" s="141">
        <f>(F26-F25)/(C26-B26)</f>
        <v>0</v>
      </c>
      <c r="I26" s="55">
        <v>21</v>
      </c>
      <c r="J26" s="33">
        <f t="shared" si="21"/>
        <v>8.82</v>
      </c>
      <c r="K26" s="33">
        <f t="shared" si="22"/>
        <v>3.1547729376322442</v>
      </c>
      <c r="L26" s="33">
        <f t="shared" si="23"/>
        <v>70</v>
      </c>
      <c r="M26" s="33">
        <f t="shared" si="24"/>
        <v>7</v>
      </c>
      <c r="N26" s="33">
        <f t="shared" si="0"/>
        <v>0</v>
      </c>
      <c r="O26" s="34">
        <f t="shared" si="1"/>
        <v>303.18939619970951</v>
      </c>
      <c r="P26" s="55">
        <v>21</v>
      </c>
      <c r="Q26" s="33">
        <f t="shared" si="19"/>
        <v>0</v>
      </c>
      <c r="R26" s="33">
        <f t="shared" si="25"/>
        <v>83.2</v>
      </c>
      <c r="S26" s="33">
        <f t="shared" si="26"/>
        <v>36.608000000000004</v>
      </c>
      <c r="T26" s="33">
        <f t="shared" si="2"/>
        <v>11.095013140333556</v>
      </c>
      <c r="U26" s="33">
        <f t="shared" si="20"/>
        <v>70</v>
      </c>
      <c r="V26" s="33">
        <f t="shared" si="3"/>
        <v>7</v>
      </c>
      <c r="W26" s="33">
        <v>0</v>
      </c>
      <c r="X26" s="33">
        <f t="shared" si="4"/>
        <v>365.41608121941425</v>
      </c>
      <c r="Y26" s="38">
        <f t="shared" si="5"/>
        <v>62.226685019704746</v>
      </c>
      <c r="AA26" s="71">
        <v>21</v>
      </c>
      <c r="AB26" s="33">
        <f t="shared" si="6"/>
        <v>0</v>
      </c>
      <c r="AC26" s="304">
        <f t="shared" si="7"/>
        <v>0</v>
      </c>
      <c r="AD26" s="100">
        <f t="shared" si="8"/>
        <v>0.56000000000000005</v>
      </c>
      <c r="AE26" s="100">
        <f t="shared" si="9"/>
        <v>0.44</v>
      </c>
      <c r="AF26" s="193">
        <f>IF(OR(AA26&lt;=$F$18,AA26&lt;=30),EXP(-LN(2)/$D$104)*AF25+((1-EXP(-LN(2)/$D$104))/(LN(2)/$D$104))*$AB26*AC26*0.475*$F$19*44/12,)</f>
        <v>0</v>
      </c>
      <c r="AG26" s="193">
        <f>IF(OR(AA26&lt;=$F$18,AA26&lt;=30),EXP(-LN(2)/$D$106)*AG25+((1-EXP(-LN(2)/$D$106))/(LN(2)/$D$106))*$AB26*AD26*0.475*$F$19*44/12,)</f>
        <v>0</v>
      </c>
      <c r="AH26" s="193">
        <f>IF(OR(AA26&lt;=$F$18,AA26&lt;=30),EXP(-LN(2)/$D$105)*AH25+((1-EXP(-LN(2)/$D$105))/(LN(2)/$D$105))*$AB26*AE26*0.475*$F$19*44/12,)</f>
        <v>0</v>
      </c>
      <c r="AI26" s="198">
        <f>IF(OR(AA26&lt;=$F$18,AA26&lt;=30),SUM(AF26:AH26),)</f>
        <v>0</v>
      </c>
      <c r="AK26" s="71">
        <v>21</v>
      </c>
      <c r="AL26" s="33">
        <f t="shared" si="10"/>
        <v>0</v>
      </c>
      <c r="AM26" s="33">
        <f t="shared" si="11"/>
        <v>0</v>
      </c>
      <c r="AN26" s="33">
        <f t="shared" si="12"/>
        <v>0.56000000000000005</v>
      </c>
      <c r="AO26" s="33">
        <f t="shared" si="13"/>
        <v>0.44</v>
      </c>
      <c r="AP26" s="33">
        <f t="shared" si="14"/>
        <v>0</v>
      </c>
      <c r="AQ26" s="193">
        <f t="shared" si="15"/>
        <v>0</v>
      </c>
      <c r="AR26" s="193">
        <f t="shared" si="16"/>
        <v>0</v>
      </c>
      <c r="AS26" s="193">
        <f t="shared" si="17"/>
        <v>0</v>
      </c>
      <c r="AT26" s="193">
        <f t="shared" si="18"/>
        <v>0</v>
      </c>
      <c r="AU26" s="33"/>
      <c r="AV26" s="33"/>
      <c r="AW26" s="33"/>
      <c r="AX26" s="33"/>
      <c r="AY26" s="163">
        <f t="shared" si="27"/>
        <v>0</v>
      </c>
    </row>
    <row r="27" spans="2:51">
      <c r="B27" s="40">
        <f t="shared" si="34"/>
        <v>16</v>
      </c>
      <c r="C27" s="151">
        <f>C25+5</f>
        <v>20</v>
      </c>
      <c r="D27" s="135">
        <f>D28+0</f>
        <v>64</v>
      </c>
      <c r="E27" s="140">
        <f t="shared" si="32"/>
        <v>1.3</v>
      </c>
      <c r="F27" s="42">
        <f t="shared" si="33"/>
        <v>83.2</v>
      </c>
      <c r="G27" s="51">
        <f t="shared" ref="G27:G46" si="35">(F27-F26)/(C27-B27)</f>
        <v>11.05</v>
      </c>
      <c r="I27" s="55">
        <v>22</v>
      </c>
      <c r="J27" s="33">
        <f t="shared" si="21"/>
        <v>9.24</v>
      </c>
      <c r="K27" s="33">
        <f t="shared" si="22"/>
        <v>3.2871522425130331</v>
      </c>
      <c r="L27" s="33">
        <f t="shared" si="23"/>
        <v>70</v>
      </c>
      <c r="M27" s="33">
        <f t="shared" si="24"/>
        <v>7.333333333333333</v>
      </c>
      <c r="N27" s="33">
        <f t="shared" si="0"/>
        <v>0</v>
      </c>
      <c r="O27" s="34">
        <f t="shared" si="1"/>
        <v>305.3736790445991</v>
      </c>
      <c r="P27" s="55">
        <v>22</v>
      </c>
      <c r="Q27" s="33">
        <f t="shared" si="19"/>
        <v>15.599999999999998</v>
      </c>
      <c r="R27" s="33">
        <f t="shared" si="25"/>
        <v>98.8</v>
      </c>
      <c r="S27" s="33">
        <f t="shared" si="26"/>
        <v>43.472000000000001</v>
      </c>
      <c r="T27" s="33">
        <f t="shared" si="2"/>
        <v>12.914395607689235</v>
      </c>
      <c r="U27" s="33">
        <f t="shared" si="20"/>
        <v>70</v>
      </c>
      <c r="V27" s="33">
        <f t="shared" si="3"/>
        <v>7.333333333333333</v>
      </c>
      <c r="W27" s="33">
        <v>0</v>
      </c>
      <c r="X27" s="33">
        <f t="shared" si="4"/>
        <v>381.76186123894763</v>
      </c>
      <c r="Y27" s="38">
        <f t="shared" si="5"/>
        <v>76.388182194348531</v>
      </c>
      <c r="AA27" s="71">
        <v>22</v>
      </c>
      <c r="AB27" s="33">
        <f t="shared" si="6"/>
        <v>0</v>
      </c>
      <c r="AC27" s="304">
        <f t="shared" si="7"/>
        <v>0</v>
      </c>
      <c r="AD27" s="100">
        <f t="shared" si="8"/>
        <v>0</v>
      </c>
      <c r="AE27" s="100">
        <f t="shared" si="9"/>
        <v>0</v>
      </c>
      <c r="AF27" s="193">
        <f t="shared" ref="AF27:AF90" si="36">IF(OR(AA27&lt;=$F$18,AA27&lt;=30),EXP(-LN(2)/$D$104)*AF26+((1-EXP(-LN(2)/$D$104))/(LN(2)/$D$104))*$AB27*AC27*0.475*$F$19*44/12,)</f>
        <v>0</v>
      </c>
      <c r="AG27" s="193">
        <f t="shared" ref="AG27:AG90" si="37">IF(OR(AA27&lt;=$F$18,AA27&lt;=30),EXP(-LN(2)/$D$106)*AG26+((1-EXP(-LN(2)/$D$106))/(LN(2)/$D$106))*$AB27*AD27*0.475*$F$19*44/12,)</f>
        <v>0</v>
      </c>
      <c r="AH27" s="193">
        <f t="shared" ref="AH27:AH90" si="38">IF(OR(AA27&lt;=$F$18,AA27&lt;=30),EXP(-LN(2)/$D$105)*AH26+((1-EXP(-LN(2)/$D$105))/(LN(2)/$D$105))*$AB27*AE27*0.475*$F$19*44/12,)</f>
        <v>0</v>
      </c>
      <c r="AI27" s="198">
        <f t="shared" ref="AI27:AI90" si="39">IF(OR(AA27&lt;=$F$18,AA27&lt;=30),SUM(AF27:AH27),)</f>
        <v>0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3">
        <f t="shared" si="15"/>
        <v>0</v>
      </c>
      <c r="AR27" s="193">
        <f t="shared" si="16"/>
        <v>0</v>
      </c>
      <c r="AS27" s="193">
        <f t="shared" si="17"/>
        <v>0</v>
      </c>
      <c r="AT27" s="193">
        <f t="shared" si="18"/>
        <v>0</v>
      </c>
      <c r="AU27" s="33"/>
      <c r="AV27" s="33"/>
      <c r="AW27" s="33"/>
      <c r="AX27" s="33"/>
      <c r="AY27" s="163">
        <f t="shared" si="27"/>
        <v>0</v>
      </c>
    </row>
    <row r="28" spans="2:51">
      <c r="B28" s="40">
        <f t="shared" si="34"/>
        <v>20</v>
      </c>
      <c r="C28" s="151">
        <f>C26+5</f>
        <v>21</v>
      </c>
      <c r="D28" s="135">
        <v>64</v>
      </c>
      <c r="E28" s="140">
        <f t="shared" si="32"/>
        <v>1.3</v>
      </c>
      <c r="F28" s="42">
        <f t="shared" si="33"/>
        <v>83.2</v>
      </c>
      <c r="G28" s="51">
        <f t="shared" si="35"/>
        <v>0</v>
      </c>
      <c r="I28" s="55">
        <v>23</v>
      </c>
      <c r="J28" s="33">
        <f t="shared" si="21"/>
        <v>9.66</v>
      </c>
      <c r="K28" s="33">
        <f t="shared" si="22"/>
        <v>3.4188327360603257</v>
      </c>
      <c r="L28" s="33">
        <f t="shared" si="23"/>
        <v>70</v>
      </c>
      <c r="M28" s="33">
        <f t="shared" si="24"/>
        <v>7.666666666666667</v>
      </c>
      <c r="N28" s="33">
        <f t="shared" si="0"/>
        <v>0</v>
      </c>
      <c r="O28" s="34">
        <f t="shared" si="1"/>
        <v>307.55674479308283</v>
      </c>
      <c r="P28" s="55">
        <v>23</v>
      </c>
      <c r="Q28" s="33">
        <f t="shared" si="19"/>
        <v>15.599999999999998</v>
      </c>
      <c r="R28" s="33">
        <f t="shared" si="25"/>
        <v>114.39999999999999</v>
      </c>
      <c r="S28" s="33">
        <f t="shared" si="26"/>
        <v>50.335999999999999</v>
      </c>
      <c r="T28" s="33">
        <f t="shared" si="2"/>
        <v>14.700499275792131</v>
      </c>
      <c r="U28" s="33">
        <f t="shared" si="20"/>
        <v>70</v>
      </c>
      <c r="V28" s="33">
        <f t="shared" si="3"/>
        <v>7.666666666666667</v>
      </c>
      <c r="W28" s="33">
        <v>0</v>
      </c>
      <c r="X28" s="33">
        <f t="shared" si="4"/>
        <v>398.04968068311581</v>
      </c>
      <c r="Y28" s="38">
        <f t="shared" si="5"/>
        <v>90.492935890032982</v>
      </c>
      <c r="AA28" s="71">
        <v>23</v>
      </c>
      <c r="AB28" s="33">
        <f t="shared" si="6"/>
        <v>0</v>
      </c>
      <c r="AC28" s="304">
        <f t="shared" si="7"/>
        <v>0</v>
      </c>
      <c r="AD28" s="100">
        <f t="shared" si="8"/>
        <v>0</v>
      </c>
      <c r="AE28" s="100">
        <f t="shared" si="9"/>
        <v>0</v>
      </c>
      <c r="AF28" s="193">
        <f t="shared" si="36"/>
        <v>0</v>
      </c>
      <c r="AG28" s="193">
        <f t="shared" si="37"/>
        <v>0</v>
      </c>
      <c r="AH28" s="193">
        <f t="shared" si="38"/>
        <v>0</v>
      </c>
      <c r="AI28" s="198">
        <f t="shared" si="39"/>
        <v>0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3">
        <f t="shared" si="15"/>
        <v>0</v>
      </c>
      <c r="AR28" s="193">
        <f t="shared" si="16"/>
        <v>0</v>
      </c>
      <c r="AS28" s="193">
        <f t="shared" si="17"/>
        <v>0</v>
      </c>
      <c r="AT28" s="193">
        <f t="shared" si="18"/>
        <v>0</v>
      </c>
      <c r="AU28" s="33"/>
      <c r="AV28" s="33"/>
      <c r="AW28" s="33"/>
      <c r="AX28" s="33"/>
      <c r="AY28" s="163">
        <f t="shared" si="27"/>
        <v>0</v>
      </c>
    </row>
    <row r="29" spans="2:51">
      <c r="B29" s="40">
        <f t="shared" si="34"/>
        <v>21</v>
      </c>
      <c r="C29" s="151">
        <f>C27+5</f>
        <v>25</v>
      </c>
      <c r="D29" s="136">
        <f>D30+33</f>
        <v>112</v>
      </c>
      <c r="E29" s="140">
        <f t="shared" si="32"/>
        <v>1.3</v>
      </c>
      <c r="F29" s="42">
        <f t="shared" si="33"/>
        <v>145.6</v>
      </c>
      <c r="G29" s="51">
        <f t="shared" si="35"/>
        <v>15.599999999999998</v>
      </c>
      <c r="I29" s="55">
        <v>24</v>
      </c>
      <c r="J29" s="33">
        <f t="shared" si="21"/>
        <v>10.08</v>
      </c>
      <c r="K29" s="33">
        <f t="shared" si="22"/>
        <v>3.5498482740564596</v>
      </c>
      <c r="L29" s="33">
        <f t="shared" si="23"/>
        <v>70</v>
      </c>
      <c r="M29" s="33">
        <f t="shared" si="24"/>
        <v>8</v>
      </c>
      <c r="N29" s="33">
        <f t="shared" si="0"/>
        <v>0</v>
      </c>
      <c r="O29" s="34">
        <f t="shared" si="1"/>
        <v>309.73865241064834</v>
      </c>
      <c r="P29" s="55">
        <v>24</v>
      </c>
      <c r="Q29" s="33">
        <f t="shared" si="19"/>
        <v>15.599999999999998</v>
      </c>
      <c r="R29" s="33">
        <f t="shared" si="25"/>
        <v>130</v>
      </c>
      <c r="S29" s="33">
        <f t="shared" si="26"/>
        <v>57.2</v>
      </c>
      <c r="T29" s="33">
        <f t="shared" si="2"/>
        <v>16.458384190657213</v>
      </c>
      <c r="U29" s="33">
        <f t="shared" si="20"/>
        <v>70</v>
      </c>
      <c r="V29" s="33">
        <f t="shared" si="3"/>
        <v>8</v>
      </c>
      <c r="W29" s="33">
        <v>0</v>
      </c>
      <c r="X29" s="33">
        <f t="shared" si="4"/>
        <v>414.28835246539461</v>
      </c>
      <c r="Y29" s="38">
        <f t="shared" si="5"/>
        <v>104.54970005474627</v>
      </c>
      <c r="AA29" s="71">
        <v>24</v>
      </c>
      <c r="AB29" s="33">
        <f t="shared" si="6"/>
        <v>0</v>
      </c>
      <c r="AC29" s="304">
        <f t="shared" si="7"/>
        <v>0</v>
      </c>
      <c r="AD29" s="100">
        <f t="shared" si="8"/>
        <v>0</v>
      </c>
      <c r="AE29" s="100">
        <f t="shared" si="9"/>
        <v>0</v>
      </c>
      <c r="AF29" s="193">
        <f t="shared" si="36"/>
        <v>0</v>
      </c>
      <c r="AG29" s="193">
        <f t="shared" si="37"/>
        <v>0</v>
      </c>
      <c r="AH29" s="193">
        <f t="shared" si="38"/>
        <v>0</v>
      </c>
      <c r="AI29" s="198">
        <f t="shared" si="39"/>
        <v>0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3">
        <f t="shared" si="15"/>
        <v>0</v>
      </c>
      <c r="AR29" s="193">
        <f t="shared" si="16"/>
        <v>0</v>
      </c>
      <c r="AS29" s="193">
        <f t="shared" si="17"/>
        <v>0</v>
      </c>
      <c r="AT29" s="193">
        <f t="shared" si="18"/>
        <v>0</v>
      </c>
      <c r="AU29" s="33"/>
      <c r="AV29" s="33"/>
      <c r="AW29" s="33"/>
      <c r="AX29" s="33"/>
      <c r="AY29" s="163">
        <f t="shared" si="27"/>
        <v>0</v>
      </c>
    </row>
    <row r="30" spans="2:51">
      <c r="B30" s="40">
        <f t="shared" si="34"/>
        <v>25</v>
      </c>
      <c r="C30" s="151">
        <f t="shared" ref="C29:C60" si="40">C28+5</f>
        <v>26</v>
      </c>
      <c r="D30" s="136">
        <v>79</v>
      </c>
      <c r="E30" s="140">
        <f t="shared" si="32"/>
        <v>1.3</v>
      </c>
      <c r="F30" s="42">
        <f t="shared" si="33"/>
        <v>102.7</v>
      </c>
      <c r="G30" s="51">
        <f t="shared" si="35"/>
        <v>-42.899999999999991</v>
      </c>
      <c r="I30" s="55">
        <v>25</v>
      </c>
      <c r="J30" s="33">
        <f t="shared" si="21"/>
        <v>10.5</v>
      </c>
      <c r="K30" s="33">
        <f t="shared" si="22"/>
        <v>3.6802297313500394</v>
      </c>
      <c r="L30" s="33">
        <f t="shared" si="23"/>
        <v>70</v>
      </c>
      <c r="M30" s="33">
        <f t="shared" si="24"/>
        <v>8.3333333333333339</v>
      </c>
      <c r="N30" s="33">
        <f t="shared" si="0"/>
        <v>0</v>
      </c>
      <c r="O30" s="34">
        <f t="shared" si="1"/>
        <v>311.9194556709902</v>
      </c>
      <c r="P30" s="55">
        <v>25</v>
      </c>
      <c r="Q30" s="33">
        <f t="shared" si="19"/>
        <v>15.599999999999998</v>
      </c>
      <c r="R30" s="33">
        <f t="shared" si="25"/>
        <v>145.6</v>
      </c>
      <c r="S30" s="33">
        <f t="shared" si="26"/>
        <v>64.063999999999993</v>
      </c>
      <c r="T30" s="33">
        <f t="shared" si="2"/>
        <v>18.191823792099679</v>
      </c>
      <c r="U30" s="33">
        <f t="shared" si="20"/>
        <v>70</v>
      </c>
      <c r="V30" s="33">
        <f t="shared" si="3"/>
        <v>8.3333333333333339</v>
      </c>
      <c r="W30" s="33">
        <v>0</v>
      </c>
      <c r="X30" s="33">
        <f t="shared" si="4"/>
        <v>430.48444866012915</v>
      </c>
      <c r="Y30" s="38">
        <f t="shared" si="5"/>
        <v>118.56499298913894</v>
      </c>
      <c r="AA30" s="71">
        <v>25</v>
      </c>
      <c r="AB30" s="33">
        <f t="shared" si="6"/>
        <v>0</v>
      </c>
      <c r="AC30" s="304">
        <f t="shared" si="7"/>
        <v>0</v>
      </c>
      <c r="AD30" s="100">
        <f t="shared" si="8"/>
        <v>0</v>
      </c>
      <c r="AE30" s="100">
        <f t="shared" si="9"/>
        <v>0</v>
      </c>
      <c r="AF30" s="193">
        <f t="shared" si="36"/>
        <v>0</v>
      </c>
      <c r="AG30" s="193">
        <f t="shared" si="37"/>
        <v>0</v>
      </c>
      <c r="AH30" s="193">
        <f t="shared" si="38"/>
        <v>0</v>
      </c>
      <c r="AI30" s="198">
        <f t="shared" si="39"/>
        <v>0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3">
        <f t="shared" si="15"/>
        <v>0</v>
      </c>
      <c r="AR30" s="193">
        <f t="shared" si="16"/>
        <v>0</v>
      </c>
      <c r="AS30" s="193">
        <f t="shared" si="17"/>
        <v>0</v>
      </c>
      <c r="AT30" s="193">
        <f t="shared" si="18"/>
        <v>0</v>
      </c>
      <c r="AU30" s="33"/>
      <c r="AV30" s="33"/>
      <c r="AW30" s="33"/>
      <c r="AX30" s="33"/>
      <c r="AY30" s="163">
        <f t="shared" si="27"/>
        <v>0</v>
      </c>
    </row>
    <row r="31" spans="2:51">
      <c r="B31" s="40">
        <f t="shared" si="34"/>
        <v>26</v>
      </c>
      <c r="C31" s="151">
        <f t="shared" si="40"/>
        <v>30</v>
      </c>
      <c r="D31" s="136">
        <f>D32+35</f>
        <v>138</v>
      </c>
      <c r="E31" s="140">
        <f t="shared" si="32"/>
        <v>1.3</v>
      </c>
      <c r="F31" s="42">
        <f t="shared" si="33"/>
        <v>179.4</v>
      </c>
      <c r="G31" s="51">
        <f t="shared" si="35"/>
        <v>19.175000000000001</v>
      </c>
      <c r="I31" s="55">
        <v>26</v>
      </c>
      <c r="J31" s="33">
        <f t="shared" si="21"/>
        <v>10.92</v>
      </c>
      <c r="K31" s="33">
        <f t="shared" si="22"/>
        <v>3.810005372992582</v>
      </c>
      <c r="L31" s="33">
        <f t="shared" si="23"/>
        <v>70</v>
      </c>
      <c r="M31" s="33">
        <f t="shared" si="24"/>
        <v>8.6666666666666661</v>
      </c>
      <c r="N31" s="33">
        <f t="shared" si="0"/>
        <v>0</v>
      </c>
      <c r="O31" s="34">
        <f t="shared" si="1"/>
        <v>314.09920380240652</v>
      </c>
      <c r="P31" s="55">
        <v>26</v>
      </c>
      <c r="Q31" s="33">
        <f t="shared" si="19"/>
        <v>-42.899999999999991</v>
      </c>
      <c r="R31" s="33">
        <f t="shared" si="25"/>
        <v>102.7</v>
      </c>
      <c r="S31" s="33">
        <f t="shared" si="26"/>
        <v>45.188000000000002</v>
      </c>
      <c r="T31" s="33">
        <f t="shared" si="2"/>
        <v>13.363816195747058</v>
      </c>
      <c r="U31" s="33">
        <f t="shared" si="20"/>
        <v>70</v>
      </c>
      <c r="V31" s="33">
        <f t="shared" si="3"/>
        <v>8.6666666666666661</v>
      </c>
      <c r="W31" s="33">
        <v>0</v>
      </c>
      <c r="X31" s="33">
        <f t="shared" si="4"/>
        <v>390.42219098537061</v>
      </c>
      <c r="Y31" s="38">
        <f t="shared" si="5"/>
        <v>76.322987182964084</v>
      </c>
      <c r="AA31" s="71">
        <v>26</v>
      </c>
      <c r="AB31" s="33">
        <f t="shared" si="6"/>
        <v>33</v>
      </c>
      <c r="AC31" s="304">
        <f t="shared" si="7"/>
        <v>0</v>
      </c>
      <c r="AD31" s="100">
        <f t="shared" si="8"/>
        <v>0.56000000000000005</v>
      </c>
      <c r="AE31" s="100">
        <f t="shared" si="9"/>
        <v>0.44</v>
      </c>
      <c r="AF31" s="193">
        <f t="shared" si="36"/>
        <v>0</v>
      </c>
      <c r="AG31" s="193">
        <f t="shared" si="37"/>
        <v>13.967317129745838</v>
      </c>
      <c r="AH31" s="193">
        <f t="shared" si="38"/>
        <v>9.4036874131682104</v>
      </c>
      <c r="AI31" s="198">
        <f t="shared" si="39"/>
        <v>23.371004542914051</v>
      </c>
      <c r="AK31" s="71">
        <v>26</v>
      </c>
      <c r="AL31" s="33">
        <f t="shared" si="10"/>
        <v>33</v>
      </c>
      <c r="AM31" s="33">
        <f t="shared" si="11"/>
        <v>0</v>
      </c>
      <c r="AN31" s="33">
        <f t="shared" si="12"/>
        <v>0.56000000000000005</v>
      </c>
      <c r="AO31" s="33">
        <f t="shared" si="13"/>
        <v>0.44</v>
      </c>
      <c r="AP31" s="33">
        <f t="shared" si="14"/>
        <v>0</v>
      </c>
      <c r="AQ31" s="193">
        <f t="shared" si="15"/>
        <v>0</v>
      </c>
      <c r="AR31" s="193">
        <f t="shared" si="16"/>
        <v>18.48</v>
      </c>
      <c r="AS31" s="193">
        <f t="shared" si="17"/>
        <v>14.52</v>
      </c>
      <c r="AT31" s="193">
        <f t="shared" si="18"/>
        <v>0</v>
      </c>
      <c r="AU31" s="33"/>
      <c r="AV31" s="33"/>
      <c r="AW31" s="33"/>
      <c r="AX31" s="33"/>
      <c r="AY31" s="163">
        <f t="shared" si="27"/>
        <v>14.19</v>
      </c>
    </row>
    <row r="32" spans="2:51">
      <c r="B32" s="40">
        <f t="shared" si="34"/>
        <v>30</v>
      </c>
      <c r="C32" s="151">
        <f t="shared" si="40"/>
        <v>31</v>
      </c>
      <c r="D32" s="136">
        <v>103</v>
      </c>
      <c r="E32" s="140">
        <f t="shared" si="32"/>
        <v>1.3</v>
      </c>
      <c r="F32" s="42">
        <f t="shared" si="33"/>
        <v>133.9</v>
      </c>
      <c r="G32" s="51">
        <f t="shared" si="35"/>
        <v>-45.5</v>
      </c>
      <c r="I32" s="55">
        <v>27</v>
      </c>
      <c r="J32" s="33">
        <f t="shared" si="21"/>
        <v>11.34</v>
      </c>
      <c r="K32" s="33">
        <f t="shared" si="22"/>
        <v>3.9392011666712041</v>
      </c>
      <c r="L32" s="33">
        <f t="shared" si="23"/>
        <v>70</v>
      </c>
      <c r="M32" s="33">
        <f t="shared" si="24"/>
        <v>9</v>
      </c>
      <c r="N32" s="33">
        <f t="shared" si="0"/>
        <v>0</v>
      </c>
      <c r="O32" s="34">
        <f t="shared" si="1"/>
        <v>316.27794203195236</v>
      </c>
      <c r="P32" s="55">
        <v>27</v>
      </c>
      <c r="Q32" s="33">
        <f t="shared" si="19"/>
        <v>19.175000000000001</v>
      </c>
      <c r="R32" s="33">
        <f t="shared" si="25"/>
        <v>121.875</v>
      </c>
      <c r="S32" s="33">
        <f t="shared" si="26"/>
        <v>53.625</v>
      </c>
      <c r="T32" s="33">
        <f t="shared" si="2"/>
        <v>15.546084205579568</v>
      </c>
      <c r="U32" s="33">
        <f t="shared" si="20"/>
        <v>70</v>
      </c>
      <c r="V32" s="33">
        <f t="shared" si="3"/>
        <v>9</v>
      </c>
      <c r="W32" s="33">
        <v>0</v>
      </c>
      <c r="X32" s="33">
        <f t="shared" si="4"/>
        <v>410.13963832471774</v>
      </c>
      <c r="Y32" s="38">
        <f t="shared" si="5"/>
        <v>93.861696292765373</v>
      </c>
      <c r="AA32" s="71">
        <v>27</v>
      </c>
      <c r="AB32" s="33">
        <f t="shared" si="6"/>
        <v>0</v>
      </c>
      <c r="AC32" s="304">
        <f t="shared" si="7"/>
        <v>0</v>
      </c>
      <c r="AD32" s="100">
        <f t="shared" si="8"/>
        <v>0</v>
      </c>
      <c r="AE32" s="100">
        <f t="shared" si="9"/>
        <v>0</v>
      </c>
      <c r="AF32" s="193">
        <f t="shared" si="36"/>
        <v>0</v>
      </c>
      <c r="AG32" s="193">
        <f t="shared" si="37"/>
        <v>13.585380108323653</v>
      </c>
      <c r="AH32" s="193">
        <f t="shared" si="38"/>
        <v>6.6494111380098255</v>
      </c>
      <c r="AI32" s="198">
        <f t="shared" si="39"/>
        <v>20.234791246333479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3">
        <f t="shared" si="15"/>
        <v>0</v>
      </c>
      <c r="AR32" s="193">
        <f t="shared" si="16"/>
        <v>0</v>
      </c>
      <c r="AS32" s="193">
        <f t="shared" si="17"/>
        <v>0</v>
      </c>
      <c r="AT32" s="193">
        <f t="shared" si="18"/>
        <v>0</v>
      </c>
      <c r="AU32" s="33"/>
      <c r="AV32" s="33"/>
      <c r="AW32" s="33"/>
      <c r="AX32" s="33"/>
      <c r="AY32" s="163">
        <f t="shared" si="27"/>
        <v>14.19</v>
      </c>
    </row>
    <row r="33" spans="2:51">
      <c r="B33" s="40">
        <f t="shared" si="34"/>
        <v>31</v>
      </c>
      <c r="C33" s="151">
        <f t="shared" si="40"/>
        <v>35</v>
      </c>
      <c r="D33" s="136">
        <f>D34+35</f>
        <v>169</v>
      </c>
      <c r="E33" s="140">
        <f t="shared" si="32"/>
        <v>1.3</v>
      </c>
      <c r="F33" s="42">
        <f t="shared" si="33"/>
        <v>219.70000000000002</v>
      </c>
      <c r="G33" s="51">
        <f t="shared" si="35"/>
        <v>21.450000000000003</v>
      </c>
      <c r="I33" s="55">
        <v>28</v>
      </c>
      <c r="J33" s="33">
        <f t="shared" si="21"/>
        <v>11.76</v>
      </c>
      <c r="K33" s="33">
        <f t="shared" si="22"/>
        <v>4.0678410475538191</v>
      </c>
      <c r="L33" s="33">
        <f t="shared" si="23"/>
        <v>70</v>
      </c>
      <c r="M33" s="33">
        <f t="shared" si="24"/>
        <v>9.3333333333333339</v>
      </c>
      <c r="N33" s="33">
        <f t="shared" si="0"/>
        <v>0</v>
      </c>
      <c r="O33" s="34">
        <f t="shared" si="1"/>
        <v>318.45571204671177</v>
      </c>
      <c r="P33" s="55">
        <v>28</v>
      </c>
      <c r="Q33" s="33">
        <f t="shared" si="19"/>
        <v>19.175000000000001</v>
      </c>
      <c r="R33" s="33">
        <f t="shared" si="25"/>
        <v>141.05000000000001</v>
      </c>
      <c r="S33" s="33">
        <f t="shared" si="26"/>
        <v>62.062000000000005</v>
      </c>
      <c r="T33" s="33">
        <f t="shared" si="2"/>
        <v>17.688577656442284</v>
      </c>
      <c r="U33" s="33">
        <f t="shared" si="20"/>
        <v>70</v>
      </c>
      <c r="V33" s="33">
        <f t="shared" si="3"/>
        <v>9.3333333333333339</v>
      </c>
      <c r="W33" s="33">
        <v>0</v>
      </c>
      <c r="X33" s="33">
        <f t="shared" si="4"/>
        <v>429.78781164052589</v>
      </c>
      <c r="Y33" s="38">
        <f t="shared" si="5"/>
        <v>111.33209959381412</v>
      </c>
      <c r="AA33" s="71">
        <v>28</v>
      </c>
      <c r="AB33" s="33">
        <f t="shared" si="6"/>
        <v>0</v>
      </c>
      <c r="AC33" s="304">
        <f t="shared" si="7"/>
        <v>0</v>
      </c>
      <c r="AD33" s="100">
        <f t="shared" si="8"/>
        <v>0</v>
      </c>
      <c r="AE33" s="100">
        <f t="shared" si="9"/>
        <v>0</v>
      </c>
      <c r="AF33" s="193">
        <f t="shared" si="36"/>
        <v>0</v>
      </c>
      <c r="AG33" s="193">
        <f t="shared" si="37"/>
        <v>13.213887174837453</v>
      </c>
      <c r="AH33" s="193">
        <f t="shared" si="38"/>
        <v>4.7018437065841061</v>
      </c>
      <c r="AI33" s="198">
        <f t="shared" si="39"/>
        <v>17.91573088142156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3">
        <f t="shared" si="15"/>
        <v>0</v>
      </c>
      <c r="AR33" s="193">
        <f t="shared" si="16"/>
        <v>0</v>
      </c>
      <c r="AS33" s="193">
        <f t="shared" si="17"/>
        <v>0</v>
      </c>
      <c r="AT33" s="193">
        <f t="shared" si="18"/>
        <v>0</v>
      </c>
      <c r="AU33" s="33"/>
      <c r="AV33" s="33"/>
      <c r="AW33" s="33"/>
      <c r="AX33" s="33"/>
      <c r="AY33" s="163">
        <f t="shared" si="27"/>
        <v>14.19</v>
      </c>
    </row>
    <row r="34" spans="2:51" ht="16" thickBot="1">
      <c r="B34" s="40">
        <f t="shared" si="34"/>
        <v>35</v>
      </c>
      <c r="C34" s="151">
        <f t="shared" si="40"/>
        <v>36</v>
      </c>
      <c r="D34" s="136">
        <v>134</v>
      </c>
      <c r="E34" s="140">
        <f t="shared" si="32"/>
        <v>1.3</v>
      </c>
      <c r="F34" s="42">
        <f t="shared" si="33"/>
        <v>174.20000000000002</v>
      </c>
      <c r="G34" s="51">
        <f t="shared" si="35"/>
        <v>-45.5</v>
      </c>
      <c r="I34" s="55">
        <v>29</v>
      </c>
      <c r="J34" s="33">
        <f t="shared" si="21"/>
        <v>12.18</v>
      </c>
      <c r="K34" s="33">
        <f t="shared" si="22"/>
        <v>4.1959471442360723</v>
      </c>
      <c r="L34" s="33">
        <f t="shared" si="23"/>
        <v>70</v>
      </c>
      <c r="M34" s="33">
        <f t="shared" si="24"/>
        <v>9.6666666666666661</v>
      </c>
      <c r="N34" s="33">
        <f t="shared" si="0"/>
        <v>0</v>
      </c>
      <c r="O34" s="34">
        <f t="shared" si="1"/>
        <v>320.63255238732228</v>
      </c>
      <c r="P34" s="55">
        <v>29</v>
      </c>
      <c r="Q34" s="35">
        <f t="shared" si="19"/>
        <v>19.175000000000001</v>
      </c>
      <c r="R34" s="33">
        <f t="shared" si="25"/>
        <v>160.22500000000002</v>
      </c>
      <c r="S34" s="33">
        <f t="shared" si="26"/>
        <v>70.499000000000009</v>
      </c>
      <c r="T34" s="33">
        <f t="shared" si="2"/>
        <v>19.797325582234077</v>
      </c>
      <c r="U34" s="33">
        <f t="shared" si="20"/>
        <v>70</v>
      </c>
      <c r="V34" s="33">
        <f t="shared" si="3"/>
        <v>9.6666666666666661</v>
      </c>
      <c r="W34" s="33">
        <v>0</v>
      </c>
      <c r="X34" s="33">
        <f t="shared" si="4"/>
        <v>449.37721150016887</v>
      </c>
      <c r="Y34" s="38">
        <f t="shared" si="5"/>
        <v>128.74465911284659</v>
      </c>
      <c r="AA34" s="71">
        <v>29</v>
      </c>
      <c r="AB34" s="142">
        <f t="shared" si="6"/>
        <v>0</v>
      </c>
      <c r="AC34" s="304">
        <f t="shared" si="7"/>
        <v>0</v>
      </c>
      <c r="AD34" s="101">
        <f t="shared" si="8"/>
        <v>0</v>
      </c>
      <c r="AE34" s="101">
        <f t="shared" si="9"/>
        <v>0</v>
      </c>
      <c r="AF34" s="195">
        <f t="shared" si="36"/>
        <v>0</v>
      </c>
      <c r="AG34" s="195">
        <f t="shared" si="37"/>
        <v>12.852552735153397</v>
      </c>
      <c r="AH34" s="193">
        <f t="shared" si="38"/>
        <v>3.3247055690049132</v>
      </c>
      <c r="AI34" s="198">
        <f t="shared" si="39"/>
        <v>16.177258304158311</v>
      </c>
      <c r="AK34" s="71">
        <v>29</v>
      </c>
      <c r="AL34" s="142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3">
        <f t="shared" si="15"/>
        <v>0</v>
      </c>
      <c r="AR34" s="193">
        <f t="shared" si="16"/>
        <v>0</v>
      </c>
      <c r="AS34" s="193">
        <f t="shared" si="17"/>
        <v>0</v>
      </c>
      <c r="AT34" s="193">
        <f t="shared" si="18"/>
        <v>0</v>
      </c>
      <c r="AU34" s="33"/>
      <c r="AV34" s="33"/>
      <c r="AW34" s="33"/>
      <c r="AX34" s="33"/>
      <c r="AY34" s="163">
        <f t="shared" si="27"/>
        <v>14.19</v>
      </c>
    </row>
    <row r="35" spans="2:51" ht="16" thickBot="1">
      <c r="B35" s="40">
        <f t="shared" si="34"/>
        <v>36</v>
      </c>
      <c r="C35" s="151">
        <f t="shared" si="40"/>
        <v>40</v>
      </c>
      <c r="D35" s="136">
        <f>D36+35</f>
        <v>204</v>
      </c>
      <c r="E35" s="140">
        <f t="shared" si="32"/>
        <v>1.3</v>
      </c>
      <c r="F35" s="42">
        <f t="shared" si="33"/>
        <v>265.2</v>
      </c>
      <c r="G35" s="51">
        <f t="shared" si="35"/>
        <v>22.749999999999993</v>
      </c>
      <c r="I35" s="87">
        <v>30</v>
      </c>
      <c r="J35" s="158">
        <f>IF($I35&lt;=$F$10,IF(AND(D8=B101,F12=C194),($F$11*$F$13+J34*50%),$F$11*$F$13+J34),)</f>
        <v>6.51</v>
      </c>
      <c r="K35" s="53">
        <f t="shared" si="22"/>
        <v>2.4123050520281013</v>
      </c>
      <c r="L35" s="53">
        <f t="shared" si="23"/>
        <v>70</v>
      </c>
      <c r="M35" s="53">
        <f t="shared" si="24"/>
        <v>10</v>
      </c>
      <c r="N35" s="54">
        <f t="shared" si="0"/>
        <v>0</v>
      </c>
      <c r="O35" s="69">
        <f t="shared" si="1"/>
        <v>308.87301463228226</v>
      </c>
      <c r="P35" s="87">
        <v>30</v>
      </c>
      <c r="Q35" s="53">
        <f t="shared" si="19"/>
        <v>19.175000000000001</v>
      </c>
      <c r="R35" s="54">
        <f t="shared" si="25"/>
        <v>179.40000000000003</v>
      </c>
      <c r="S35" s="53">
        <f t="shared" si="26"/>
        <v>78.936000000000021</v>
      </c>
      <c r="T35" s="54">
        <f t="shared" si="2"/>
        <v>21.876828219051273</v>
      </c>
      <c r="U35" s="54">
        <f t="shared" si="20"/>
        <v>70</v>
      </c>
      <c r="V35" s="53">
        <f t="shared" si="3"/>
        <v>10</v>
      </c>
      <c r="W35" s="54">
        <v>0</v>
      </c>
      <c r="X35" s="69">
        <f t="shared" si="4"/>
        <v>468.91567581484765</v>
      </c>
      <c r="Y35" s="65">
        <f t="shared" si="5"/>
        <v>160.04266118256538</v>
      </c>
      <c r="AA35" s="73">
        <v>30</v>
      </c>
      <c r="AB35" s="142">
        <f t="shared" si="6"/>
        <v>0</v>
      </c>
      <c r="AC35" s="304">
        <f t="shared" si="7"/>
        <v>0</v>
      </c>
      <c r="AD35" s="101">
        <f t="shared" si="8"/>
        <v>0</v>
      </c>
      <c r="AE35" s="101">
        <f t="shared" si="9"/>
        <v>0</v>
      </c>
      <c r="AF35" s="199">
        <f t="shared" si="36"/>
        <v>0</v>
      </c>
      <c r="AG35" s="194">
        <f t="shared" si="37"/>
        <v>12.501099004724255</v>
      </c>
      <c r="AH35" s="200">
        <f t="shared" si="38"/>
        <v>2.3509218532920535</v>
      </c>
      <c r="AI35" s="201">
        <f t="shared" si="39"/>
        <v>14.852020858016308</v>
      </c>
      <c r="AK35" s="73">
        <v>30</v>
      </c>
      <c r="AL35" s="142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4">
        <f t="shared" si="15"/>
        <v>0</v>
      </c>
      <c r="AR35" s="194">
        <f t="shared" si="16"/>
        <v>0</v>
      </c>
      <c r="AS35" s="194">
        <f t="shared" si="17"/>
        <v>0</v>
      </c>
      <c r="AT35" s="194">
        <f t="shared" si="18"/>
        <v>0</v>
      </c>
      <c r="AU35" s="53"/>
      <c r="AV35" s="53"/>
      <c r="AW35" s="53"/>
      <c r="AX35" s="53"/>
      <c r="AY35" s="164">
        <f t="shared" si="27"/>
        <v>14.19</v>
      </c>
    </row>
    <row r="36" spans="2:51">
      <c r="B36" s="40">
        <f t="shared" si="34"/>
        <v>40</v>
      </c>
      <c r="C36" s="151">
        <f t="shared" si="40"/>
        <v>41</v>
      </c>
      <c r="D36" s="136">
        <v>169</v>
      </c>
      <c r="E36" s="140">
        <f t="shared" si="32"/>
        <v>1.3</v>
      </c>
      <c r="F36" s="42">
        <f t="shared" si="33"/>
        <v>219.70000000000002</v>
      </c>
      <c r="G36" s="51">
        <f t="shared" si="35"/>
        <v>-45.499999999999972</v>
      </c>
      <c r="I36" s="55">
        <v>31</v>
      </c>
      <c r="J36" s="33">
        <f t="shared" si="21"/>
        <v>6.93</v>
      </c>
      <c r="K36" s="33">
        <f t="shared" si="22"/>
        <v>2.5493176393392645</v>
      </c>
      <c r="L36" s="33">
        <f t="shared" si="23"/>
        <v>70</v>
      </c>
      <c r="M36" s="33">
        <f t="shared" si="24"/>
        <v>10</v>
      </c>
      <c r="N36" s="33">
        <f t="shared" si="0"/>
        <v>0</v>
      </c>
      <c r="O36" s="34">
        <f t="shared" si="1"/>
        <v>309.84314488851584</v>
      </c>
      <c r="P36" s="55">
        <v>31</v>
      </c>
      <c r="Q36" s="33">
        <f t="shared" si="19"/>
        <v>-45.5</v>
      </c>
      <c r="R36" s="33">
        <f t="shared" si="25"/>
        <v>133.90000000000003</v>
      </c>
      <c r="S36" s="33">
        <f t="shared" si="26"/>
        <v>58.916000000000018</v>
      </c>
      <c r="T36" s="33">
        <f t="shared" si="2"/>
        <v>16.893909667499365</v>
      </c>
      <c r="U36" s="33">
        <f t="shared" si="20"/>
        <v>70</v>
      </c>
      <c r="V36" s="33">
        <f t="shared" si="3"/>
        <v>10</v>
      </c>
      <c r="W36" s="33">
        <v>0</v>
      </c>
      <c r="X36" s="33">
        <f t="shared" si="4"/>
        <v>425.36892600422806</v>
      </c>
      <c r="Y36" s="38">
        <f t="shared" si="5"/>
        <v>115.52578111571222</v>
      </c>
      <c r="AA36" s="71">
        <v>31</v>
      </c>
      <c r="AB36" s="33">
        <f t="shared" si="6"/>
        <v>35</v>
      </c>
      <c r="AC36" s="304">
        <f t="shared" si="7"/>
        <v>0.05</v>
      </c>
      <c r="AD36" s="100">
        <f t="shared" si="8"/>
        <v>0.50400000000000011</v>
      </c>
      <c r="AE36" s="100">
        <f t="shared" si="9"/>
        <v>0.39600000000000002</v>
      </c>
      <c r="AF36" s="193">
        <f t="shared" si="36"/>
        <v>1.3278910198949798</v>
      </c>
      <c r="AG36" s="193">
        <f t="shared" si="37"/>
        <v>25.491694873429605</v>
      </c>
      <c r="AH36" s="193">
        <f t="shared" si="38"/>
        <v>10.638599860708478</v>
      </c>
      <c r="AI36" s="198">
        <f t="shared" si="39"/>
        <v>37.458185754033067</v>
      </c>
      <c r="AK36" s="71">
        <v>31</v>
      </c>
      <c r="AL36" s="33">
        <f t="shared" si="10"/>
        <v>35</v>
      </c>
      <c r="AM36" s="33">
        <f t="shared" si="11"/>
        <v>0.1</v>
      </c>
      <c r="AN36" s="33">
        <f t="shared" si="12"/>
        <v>0.50400000000000011</v>
      </c>
      <c r="AO36" s="33">
        <f t="shared" si="13"/>
        <v>0.39600000000000002</v>
      </c>
      <c r="AP36" s="33">
        <f t="shared" si="14"/>
        <v>0</v>
      </c>
      <c r="AQ36" s="193">
        <f t="shared" ref="AQ36:AQ99" si="41">IF($AK36&lt;=$F$18,$AL36*AM36,)</f>
        <v>3.5</v>
      </c>
      <c r="AR36" s="193">
        <f t="shared" ref="AR36:AR99" si="42">IF($AK36&lt;=$F$18,$AL36*AN36,)</f>
        <v>17.640000000000004</v>
      </c>
      <c r="AS36" s="193">
        <f t="shared" ref="AS36:AS99" si="43">IF($AK36&lt;=$F$18,$AL36*AO36,)</f>
        <v>13.860000000000001</v>
      </c>
      <c r="AT36" s="193">
        <f t="shared" ref="AT36:AT99" si="44">IF($AK36&lt;=$F$18,$AL36*AP36,)</f>
        <v>0</v>
      </c>
      <c r="AU36" s="33"/>
      <c r="AV36" s="33"/>
      <c r="AW36" s="33"/>
      <c r="AX36" s="33"/>
      <c r="AY36" s="76"/>
    </row>
    <row r="37" spans="2:51">
      <c r="B37" s="40">
        <f t="shared" si="34"/>
        <v>41</v>
      </c>
      <c r="C37" s="151">
        <f t="shared" si="40"/>
        <v>45</v>
      </c>
      <c r="D37" s="136">
        <f>D38+35</f>
        <v>241</v>
      </c>
      <c r="E37" s="140">
        <f t="shared" si="32"/>
        <v>1.3</v>
      </c>
      <c r="F37" s="42">
        <f t="shared" si="33"/>
        <v>313.3</v>
      </c>
      <c r="G37" s="51">
        <f t="shared" si="35"/>
        <v>23.4</v>
      </c>
      <c r="I37" s="55">
        <v>32</v>
      </c>
      <c r="J37" s="33">
        <f t="shared" si="21"/>
        <v>7.35</v>
      </c>
      <c r="K37" s="33">
        <f t="shared" si="22"/>
        <v>2.6853664437437366</v>
      </c>
      <c r="L37" s="33">
        <f t="shared" si="23"/>
        <v>70</v>
      </c>
      <c r="M37" s="33">
        <f t="shared" si="24"/>
        <v>10</v>
      </c>
      <c r="N37" s="33">
        <f t="shared" si="0"/>
        <v>0</v>
      </c>
      <c r="O37" s="34">
        <f t="shared" si="1"/>
        <v>310.811596556187</v>
      </c>
      <c r="P37" s="55">
        <v>32</v>
      </c>
      <c r="Q37" s="33">
        <f t="shared" si="19"/>
        <v>21.450000000000003</v>
      </c>
      <c r="R37" s="33">
        <f t="shared" si="25"/>
        <v>155.35000000000002</v>
      </c>
      <c r="S37" s="33">
        <f t="shared" si="26"/>
        <v>68.354000000000013</v>
      </c>
      <c r="T37" s="33">
        <f t="shared" si="2"/>
        <v>19.264133401582885</v>
      </c>
      <c r="U37" s="33">
        <f t="shared" si="20"/>
        <v>70</v>
      </c>
      <c r="V37" s="33">
        <f t="shared" si="3"/>
        <v>10</v>
      </c>
      <c r="W37" s="33">
        <v>0</v>
      </c>
      <c r="X37" s="33">
        <f t="shared" si="4"/>
        <v>445.93491567442356</v>
      </c>
      <c r="Y37" s="38">
        <f t="shared" si="5"/>
        <v>135.12331911823657</v>
      </c>
      <c r="AA37" s="71">
        <v>32</v>
      </c>
      <c r="AB37" s="33">
        <f t="shared" si="6"/>
        <v>0</v>
      </c>
      <c r="AC37" s="304">
        <f t="shared" si="7"/>
        <v>0</v>
      </c>
      <c r="AD37" s="100">
        <f t="shared" si="8"/>
        <v>0</v>
      </c>
      <c r="AE37" s="100">
        <f t="shared" si="9"/>
        <v>0</v>
      </c>
      <c r="AF37" s="193">
        <f t="shared" si="36"/>
        <v>1.301851886928387</v>
      </c>
      <c r="AG37" s="193">
        <f t="shared" si="37"/>
        <v>24.794623136565701</v>
      </c>
      <c r="AH37" s="193">
        <f t="shared" si="38"/>
        <v>7.5226261038372249</v>
      </c>
      <c r="AI37" s="198">
        <f t="shared" si="39"/>
        <v>33.619101127331312</v>
      </c>
      <c r="AK37" s="71">
        <v>32</v>
      </c>
      <c r="AL37" s="33">
        <f t="shared" si="10"/>
        <v>0</v>
      </c>
      <c r="AM37" s="33">
        <f t="shared" si="11"/>
        <v>0</v>
      </c>
      <c r="AN37" s="33">
        <f t="shared" si="12"/>
        <v>0</v>
      </c>
      <c r="AO37" s="33">
        <f t="shared" si="13"/>
        <v>0</v>
      </c>
      <c r="AP37" s="33">
        <f t="shared" si="14"/>
        <v>0</v>
      </c>
      <c r="AQ37" s="193">
        <f t="shared" si="41"/>
        <v>0</v>
      </c>
      <c r="AR37" s="193">
        <f t="shared" si="42"/>
        <v>0</v>
      </c>
      <c r="AS37" s="193">
        <f t="shared" si="43"/>
        <v>0</v>
      </c>
      <c r="AT37" s="193">
        <f t="shared" si="44"/>
        <v>0</v>
      </c>
      <c r="AU37" s="33"/>
      <c r="AV37" s="33"/>
      <c r="AW37" s="33"/>
      <c r="AX37" s="33"/>
      <c r="AY37" s="76"/>
    </row>
    <row r="38" spans="2:51">
      <c r="B38" s="40">
        <f t="shared" si="34"/>
        <v>45</v>
      </c>
      <c r="C38" s="151">
        <f t="shared" si="40"/>
        <v>46</v>
      </c>
      <c r="D38" s="136">
        <v>206</v>
      </c>
      <c r="E38" s="140">
        <f t="shared" si="32"/>
        <v>1.3</v>
      </c>
      <c r="F38" s="42">
        <f t="shared" si="33"/>
        <v>267.8</v>
      </c>
      <c r="G38" s="51">
        <f t="shared" si="35"/>
        <v>-45.5</v>
      </c>
      <c r="I38" s="55">
        <v>33</v>
      </c>
      <c r="J38" s="33">
        <f t="shared" si="21"/>
        <v>7.77</v>
      </c>
      <c r="K38" s="33">
        <f t="shared" si="22"/>
        <v>2.8205128136956583</v>
      </c>
      <c r="L38" s="33">
        <f t="shared" si="23"/>
        <v>70</v>
      </c>
      <c r="M38" s="33">
        <f t="shared" si="24"/>
        <v>10</v>
      </c>
      <c r="N38" s="33">
        <f t="shared" si="0"/>
        <v>0</v>
      </c>
      <c r="O38" s="34">
        <f t="shared" si="1"/>
        <v>311.7784764838533</v>
      </c>
      <c r="P38" s="55">
        <v>33</v>
      </c>
      <c r="Q38" s="33">
        <f t="shared" si="19"/>
        <v>21.450000000000003</v>
      </c>
      <c r="R38" s="33">
        <f t="shared" si="25"/>
        <v>176.8</v>
      </c>
      <c r="S38" s="33">
        <f t="shared" si="26"/>
        <v>77.792000000000002</v>
      </c>
      <c r="T38" s="33">
        <f t="shared" si="2"/>
        <v>21.59644041074483</v>
      </c>
      <c r="U38" s="33">
        <f t="shared" si="20"/>
        <v>70</v>
      </c>
      <c r="V38" s="33">
        <f t="shared" si="3"/>
        <v>10</v>
      </c>
      <c r="W38" s="33">
        <v>0</v>
      </c>
      <c r="X38" s="33">
        <f t="shared" si="4"/>
        <v>466.4348670487139</v>
      </c>
      <c r="Y38" s="38">
        <f t="shared" si="5"/>
        <v>154.6563905648606</v>
      </c>
      <c r="AA38" s="71">
        <v>33</v>
      </c>
      <c r="AB38" s="33">
        <f t="shared" si="6"/>
        <v>0</v>
      </c>
      <c r="AC38" s="304">
        <f t="shared" si="7"/>
        <v>0</v>
      </c>
      <c r="AD38" s="100">
        <f t="shared" si="8"/>
        <v>0</v>
      </c>
      <c r="AE38" s="100">
        <f t="shared" si="9"/>
        <v>0</v>
      </c>
      <c r="AF38" s="193">
        <f t="shared" si="36"/>
        <v>1.2763233654769663</v>
      </c>
      <c r="AG38" s="193">
        <f t="shared" si="37"/>
        <v>24.116612863003748</v>
      </c>
      <c r="AH38" s="193">
        <f t="shared" si="38"/>
        <v>5.3192999303542399</v>
      </c>
      <c r="AI38" s="198">
        <f t="shared" si="39"/>
        <v>30.712236158834955</v>
      </c>
      <c r="AK38" s="71">
        <v>33</v>
      </c>
      <c r="AL38" s="33">
        <f t="shared" si="10"/>
        <v>0</v>
      </c>
      <c r="AM38" s="33">
        <f t="shared" si="11"/>
        <v>0</v>
      </c>
      <c r="AN38" s="33">
        <f t="shared" si="12"/>
        <v>0</v>
      </c>
      <c r="AO38" s="33">
        <f t="shared" si="13"/>
        <v>0</v>
      </c>
      <c r="AP38" s="33">
        <f t="shared" si="14"/>
        <v>0</v>
      </c>
      <c r="AQ38" s="193">
        <f t="shared" si="41"/>
        <v>0</v>
      </c>
      <c r="AR38" s="193">
        <f t="shared" si="42"/>
        <v>0</v>
      </c>
      <c r="AS38" s="193">
        <f t="shared" si="43"/>
        <v>0</v>
      </c>
      <c r="AT38" s="193">
        <f t="shared" si="44"/>
        <v>0</v>
      </c>
      <c r="AU38" s="33"/>
      <c r="AV38" s="33"/>
      <c r="AW38" s="33"/>
      <c r="AX38" s="33"/>
      <c r="AY38" s="76"/>
    </row>
    <row r="39" spans="2:51">
      <c r="B39" s="40">
        <f t="shared" si="34"/>
        <v>46</v>
      </c>
      <c r="C39" s="151">
        <f t="shared" si="40"/>
        <v>50</v>
      </c>
      <c r="D39" s="136">
        <f>D40+35</f>
        <v>277</v>
      </c>
      <c r="E39" s="140">
        <f t="shared" si="32"/>
        <v>1.3</v>
      </c>
      <c r="F39" s="42">
        <f t="shared" si="33"/>
        <v>360.1</v>
      </c>
      <c r="G39" s="51">
        <f t="shared" si="35"/>
        <v>23.075000000000003</v>
      </c>
      <c r="I39" s="55">
        <v>34</v>
      </c>
      <c r="J39" s="33">
        <f t="shared" si="21"/>
        <v>8.19</v>
      </c>
      <c r="K39" s="33">
        <f t="shared" si="22"/>
        <v>2.9548110908066181</v>
      </c>
      <c r="L39" s="33">
        <f t="shared" si="23"/>
        <v>70</v>
      </c>
      <c r="M39" s="33">
        <f t="shared" si="24"/>
        <v>10</v>
      </c>
      <c r="N39" s="33">
        <f t="shared" si="0"/>
        <v>0</v>
      </c>
      <c r="O39" s="34">
        <f t="shared" si="1"/>
        <v>312.74387931648818</v>
      </c>
      <c r="P39" s="55">
        <v>34</v>
      </c>
      <c r="Q39" s="33">
        <f t="shared" si="19"/>
        <v>21.450000000000003</v>
      </c>
      <c r="R39" s="33">
        <f t="shared" si="25"/>
        <v>198.25</v>
      </c>
      <c r="S39" s="33">
        <f t="shared" si="26"/>
        <v>87.23</v>
      </c>
      <c r="T39" s="33">
        <f t="shared" si="2"/>
        <v>23.895957093057316</v>
      </c>
      <c r="U39" s="33">
        <f t="shared" si="20"/>
        <v>70</v>
      </c>
      <c r="V39" s="33">
        <f t="shared" si="3"/>
        <v>10</v>
      </c>
      <c r="W39" s="33">
        <v>0</v>
      </c>
      <c r="X39" s="33">
        <f t="shared" si="4"/>
        <v>486.8777086037415</v>
      </c>
      <c r="Y39" s="38">
        <f t="shared" si="5"/>
        <v>174.13382928725332</v>
      </c>
      <c r="AA39" s="71">
        <v>34</v>
      </c>
      <c r="AB39" s="33">
        <f t="shared" si="6"/>
        <v>0</v>
      </c>
      <c r="AC39" s="304">
        <f t="shared" si="7"/>
        <v>0</v>
      </c>
      <c r="AD39" s="100">
        <f t="shared" si="8"/>
        <v>0</v>
      </c>
      <c r="AE39" s="100">
        <f t="shared" si="9"/>
        <v>0</v>
      </c>
      <c r="AF39" s="193">
        <f t="shared" si="36"/>
        <v>1.2512954427603473</v>
      </c>
      <c r="AG39" s="193">
        <f t="shared" si="37"/>
        <v>23.457142816027361</v>
      </c>
      <c r="AH39" s="193">
        <f t="shared" si="38"/>
        <v>3.7613130519186133</v>
      </c>
      <c r="AI39" s="198">
        <f t="shared" si="39"/>
        <v>28.469751310706322</v>
      </c>
      <c r="AK39" s="71">
        <v>34</v>
      </c>
      <c r="AL39" s="33">
        <f t="shared" si="10"/>
        <v>0</v>
      </c>
      <c r="AM39" s="33">
        <f t="shared" si="11"/>
        <v>0</v>
      </c>
      <c r="AN39" s="33">
        <f t="shared" si="12"/>
        <v>0</v>
      </c>
      <c r="AO39" s="33">
        <f t="shared" si="13"/>
        <v>0</v>
      </c>
      <c r="AP39" s="33">
        <f t="shared" si="14"/>
        <v>0</v>
      </c>
      <c r="AQ39" s="193">
        <f t="shared" si="41"/>
        <v>0</v>
      </c>
      <c r="AR39" s="193">
        <f t="shared" si="42"/>
        <v>0</v>
      </c>
      <c r="AS39" s="193">
        <f t="shared" si="43"/>
        <v>0</v>
      </c>
      <c r="AT39" s="193">
        <f t="shared" si="44"/>
        <v>0</v>
      </c>
      <c r="AU39" s="33"/>
      <c r="AV39" s="33"/>
      <c r="AW39" s="33"/>
      <c r="AX39" s="33"/>
      <c r="AY39" s="76"/>
    </row>
    <row r="40" spans="2:51">
      <c r="B40" s="40">
        <f t="shared" si="34"/>
        <v>50</v>
      </c>
      <c r="C40" s="151">
        <f t="shared" si="40"/>
        <v>51</v>
      </c>
      <c r="D40" s="136">
        <v>242</v>
      </c>
      <c r="E40" s="140">
        <f t="shared" si="32"/>
        <v>1.3</v>
      </c>
      <c r="F40" s="42">
        <f t="shared" si="33"/>
        <v>314.60000000000002</v>
      </c>
      <c r="G40" s="51">
        <f t="shared" si="35"/>
        <v>-45.5</v>
      </c>
      <c r="I40" s="55">
        <v>35</v>
      </c>
      <c r="J40" s="33">
        <f t="shared" si="21"/>
        <v>8.61</v>
      </c>
      <c r="K40" s="33">
        <f t="shared" si="22"/>
        <v>3.0883097283778902</v>
      </c>
      <c r="L40" s="33">
        <f t="shared" si="23"/>
        <v>70</v>
      </c>
      <c r="M40" s="33">
        <f t="shared" si="24"/>
        <v>10</v>
      </c>
      <c r="N40" s="33">
        <f t="shared" si="0"/>
        <v>0</v>
      </c>
      <c r="O40" s="34">
        <f t="shared" si="1"/>
        <v>313.70788944359145</v>
      </c>
      <c r="P40" s="55">
        <v>35</v>
      </c>
      <c r="Q40" s="33">
        <f t="shared" si="19"/>
        <v>21.450000000000003</v>
      </c>
      <c r="R40" s="33">
        <f t="shared" si="25"/>
        <v>219.7</v>
      </c>
      <c r="S40" s="33">
        <f t="shared" si="26"/>
        <v>96.667999999999992</v>
      </c>
      <c r="T40" s="33">
        <f t="shared" si="2"/>
        <v>26.166635702630764</v>
      </c>
      <c r="U40" s="33">
        <f t="shared" si="20"/>
        <v>70</v>
      </c>
      <c r="V40" s="33">
        <f t="shared" si="3"/>
        <v>10</v>
      </c>
      <c r="W40" s="33">
        <v>0</v>
      </c>
      <c r="X40" s="33">
        <f t="shared" si="4"/>
        <v>507.2703238487486</v>
      </c>
      <c r="Y40" s="38">
        <f t="shared" si="5"/>
        <v>193.56243440515715</v>
      </c>
      <c r="AA40" s="71">
        <v>35</v>
      </c>
      <c r="AB40" s="33">
        <f t="shared" si="6"/>
        <v>0</v>
      </c>
      <c r="AC40" s="304">
        <f t="shared" si="7"/>
        <v>0</v>
      </c>
      <c r="AD40" s="100">
        <f t="shared" si="8"/>
        <v>0</v>
      </c>
      <c r="AE40" s="100">
        <f t="shared" si="9"/>
        <v>0</v>
      </c>
      <c r="AF40" s="193">
        <f t="shared" si="36"/>
        <v>1.2267583023426758</v>
      </c>
      <c r="AG40" s="193">
        <f t="shared" si="37"/>
        <v>22.815706012165563</v>
      </c>
      <c r="AH40" s="193">
        <f t="shared" si="38"/>
        <v>2.6596499651771204</v>
      </c>
      <c r="AI40" s="198">
        <f t="shared" si="39"/>
        <v>26.702114279685361</v>
      </c>
      <c r="AK40" s="71">
        <v>35</v>
      </c>
      <c r="AL40" s="33">
        <f t="shared" si="10"/>
        <v>0</v>
      </c>
      <c r="AM40" s="33">
        <f t="shared" si="11"/>
        <v>0</v>
      </c>
      <c r="AN40" s="33">
        <f t="shared" si="12"/>
        <v>0</v>
      </c>
      <c r="AO40" s="33">
        <f t="shared" si="13"/>
        <v>0</v>
      </c>
      <c r="AP40" s="33">
        <f t="shared" si="14"/>
        <v>0</v>
      </c>
      <c r="AQ40" s="193">
        <f t="shared" si="41"/>
        <v>0</v>
      </c>
      <c r="AR40" s="193">
        <f t="shared" si="42"/>
        <v>0</v>
      </c>
      <c r="AS40" s="193">
        <f t="shared" si="43"/>
        <v>0</v>
      </c>
      <c r="AT40" s="193">
        <f t="shared" si="44"/>
        <v>0</v>
      </c>
      <c r="AU40" s="33"/>
      <c r="AV40" s="33"/>
      <c r="AW40" s="33"/>
      <c r="AX40" s="33"/>
      <c r="AY40" s="76"/>
    </row>
    <row r="41" spans="2:51">
      <c r="B41" s="40">
        <f t="shared" si="34"/>
        <v>51</v>
      </c>
      <c r="C41" s="151">
        <f t="shared" si="40"/>
        <v>55</v>
      </c>
      <c r="D41" s="136">
        <f>D42+35</f>
        <v>310</v>
      </c>
      <c r="E41" s="140">
        <f t="shared" si="32"/>
        <v>1.3</v>
      </c>
      <c r="F41" s="42">
        <f t="shared" si="33"/>
        <v>403</v>
      </c>
      <c r="G41" s="51">
        <f t="shared" si="35"/>
        <v>22.099999999999994</v>
      </c>
      <c r="I41" s="55">
        <v>36</v>
      </c>
      <c r="J41" s="33">
        <f t="shared" si="21"/>
        <v>9.0299999999999994</v>
      </c>
      <c r="K41" s="33">
        <f t="shared" si="22"/>
        <v>3.2210521854900231</v>
      </c>
      <c r="L41" s="33">
        <f t="shared" si="23"/>
        <v>70</v>
      </c>
      <c r="M41" s="33">
        <f t="shared" si="24"/>
        <v>10</v>
      </c>
      <c r="N41" s="33">
        <f t="shared" si="0"/>
        <v>0</v>
      </c>
      <c r="O41" s="34">
        <f t="shared" si="1"/>
        <v>314.67058255639512</v>
      </c>
      <c r="P41" s="55">
        <v>36</v>
      </c>
      <c r="Q41" s="33">
        <f t="shared" si="19"/>
        <v>-45.5</v>
      </c>
      <c r="R41" s="33">
        <f t="shared" si="25"/>
        <v>174.2</v>
      </c>
      <c r="S41" s="33">
        <f t="shared" si="26"/>
        <v>76.647999999999996</v>
      </c>
      <c r="T41" s="33">
        <f t="shared" si="2"/>
        <v>21.315572215122746</v>
      </c>
      <c r="U41" s="33">
        <f t="shared" si="20"/>
        <v>70</v>
      </c>
      <c r="V41" s="33">
        <f t="shared" si="3"/>
        <v>10</v>
      </c>
      <c r="W41" s="33">
        <v>0</v>
      </c>
      <c r="X41" s="33">
        <f t="shared" si="4"/>
        <v>463.95322160800544</v>
      </c>
      <c r="Y41" s="38">
        <f t="shared" si="5"/>
        <v>149.28263905161032</v>
      </c>
      <c r="AA41" s="71">
        <v>36</v>
      </c>
      <c r="AB41" s="33">
        <f t="shared" si="6"/>
        <v>35</v>
      </c>
      <c r="AC41" s="304">
        <f t="shared" si="7"/>
        <v>0.05</v>
      </c>
      <c r="AD41" s="100">
        <f t="shared" si="8"/>
        <v>0.50400000000000011</v>
      </c>
      <c r="AE41" s="100">
        <f t="shared" si="9"/>
        <v>0.39600000000000002</v>
      </c>
      <c r="AF41" s="193">
        <f t="shared" si="36"/>
        <v>2.530593340177397</v>
      </c>
      <c r="AG41" s="193">
        <f t="shared" si="37"/>
        <v>35.524248409830825</v>
      </c>
      <c r="AH41" s="193">
        <f t="shared" si="38"/>
        <v>10.856903602165326</v>
      </c>
      <c r="AI41" s="198">
        <f t="shared" si="39"/>
        <v>48.911745352173547</v>
      </c>
      <c r="AK41" s="71">
        <v>36</v>
      </c>
      <c r="AL41" s="33">
        <f t="shared" si="10"/>
        <v>35</v>
      </c>
      <c r="AM41" s="33">
        <f t="shared" si="11"/>
        <v>0.1</v>
      </c>
      <c r="AN41" s="33">
        <f t="shared" si="12"/>
        <v>0.50400000000000011</v>
      </c>
      <c r="AO41" s="33">
        <f t="shared" si="13"/>
        <v>0.39600000000000002</v>
      </c>
      <c r="AP41" s="33">
        <f t="shared" si="14"/>
        <v>0</v>
      </c>
      <c r="AQ41" s="193">
        <f t="shared" si="41"/>
        <v>3.5</v>
      </c>
      <c r="AR41" s="193">
        <f t="shared" si="42"/>
        <v>17.640000000000004</v>
      </c>
      <c r="AS41" s="193">
        <f t="shared" si="43"/>
        <v>13.860000000000001</v>
      </c>
      <c r="AT41" s="193">
        <f t="shared" si="44"/>
        <v>0</v>
      </c>
      <c r="AU41" s="33"/>
      <c r="AV41" s="33"/>
      <c r="AW41" s="33"/>
      <c r="AX41" s="33"/>
      <c r="AY41" s="76"/>
    </row>
    <row r="42" spans="2:51">
      <c r="B42" s="40">
        <f t="shared" si="34"/>
        <v>55</v>
      </c>
      <c r="C42" s="151">
        <f t="shared" si="40"/>
        <v>56</v>
      </c>
      <c r="D42" s="136">
        <v>275</v>
      </c>
      <c r="E42" s="140">
        <f t="shared" si="32"/>
        <v>1.3</v>
      </c>
      <c r="F42" s="42">
        <f t="shared" si="33"/>
        <v>357.5</v>
      </c>
      <c r="G42" s="51">
        <f t="shared" si="35"/>
        <v>-45.5</v>
      </c>
      <c r="I42" s="55">
        <v>37</v>
      </c>
      <c r="J42" s="33">
        <f t="shared" si="21"/>
        <v>9.4499999999999993</v>
      </c>
      <c r="K42" s="33">
        <f t="shared" si="22"/>
        <v>3.3530776500429536</v>
      </c>
      <c r="L42" s="33">
        <f t="shared" si="23"/>
        <v>70</v>
      </c>
      <c r="M42" s="33">
        <f t="shared" si="24"/>
        <v>10</v>
      </c>
      <c r="N42" s="33">
        <f t="shared" si="0"/>
        <v>0</v>
      </c>
      <c r="O42" s="34">
        <f t="shared" si="1"/>
        <v>315.63202690715815</v>
      </c>
      <c r="P42" s="55">
        <v>37</v>
      </c>
      <c r="Q42" s="33">
        <f t="shared" si="19"/>
        <v>22.749999999999993</v>
      </c>
      <c r="R42" s="33">
        <f t="shared" si="25"/>
        <v>196.95</v>
      </c>
      <c r="S42" s="33">
        <f t="shared" si="26"/>
        <v>86.658000000000001</v>
      </c>
      <c r="T42" s="33">
        <f t="shared" si="2"/>
        <v>23.757448597771507</v>
      </c>
      <c r="U42" s="33">
        <f t="shared" si="20"/>
        <v>70</v>
      </c>
      <c r="V42" s="33">
        <f t="shared" si="3"/>
        <v>10</v>
      </c>
      <c r="W42" s="33">
        <v>0</v>
      </c>
      <c r="X42" s="33">
        <f t="shared" si="4"/>
        <v>485.64023964111874</v>
      </c>
      <c r="Y42" s="38">
        <f t="shared" si="5"/>
        <v>170.00821273396059</v>
      </c>
      <c r="AA42" s="71">
        <v>37</v>
      </c>
      <c r="AB42" s="33">
        <f t="shared" si="6"/>
        <v>0</v>
      </c>
      <c r="AC42" s="304">
        <f t="shared" si="7"/>
        <v>0</v>
      </c>
      <c r="AD42" s="100">
        <f t="shared" si="8"/>
        <v>0</v>
      </c>
      <c r="AE42" s="100">
        <f t="shared" si="9"/>
        <v>0</v>
      </c>
      <c r="AF42" s="193">
        <f t="shared" si="36"/>
        <v>2.480969948286047</v>
      </c>
      <c r="AG42" s="193">
        <f t="shared" si="37"/>
        <v>34.552835968924967</v>
      </c>
      <c r="AH42" s="193">
        <f t="shared" si="38"/>
        <v>7.6769901597797574</v>
      </c>
      <c r="AI42" s="198">
        <f t="shared" si="39"/>
        <v>44.710796076990768</v>
      </c>
      <c r="AK42" s="71">
        <v>37</v>
      </c>
      <c r="AL42" s="33">
        <f t="shared" si="10"/>
        <v>0</v>
      </c>
      <c r="AM42" s="33">
        <f t="shared" si="11"/>
        <v>0</v>
      </c>
      <c r="AN42" s="33">
        <f t="shared" si="12"/>
        <v>0</v>
      </c>
      <c r="AO42" s="33">
        <f t="shared" si="13"/>
        <v>0</v>
      </c>
      <c r="AP42" s="33">
        <f t="shared" si="14"/>
        <v>0</v>
      </c>
      <c r="AQ42" s="193">
        <f t="shared" si="41"/>
        <v>0</v>
      </c>
      <c r="AR42" s="193">
        <f t="shared" si="42"/>
        <v>0</v>
      </c>
      <c r="AS42" s="193">
        <f t="shared" si="43"/>
        <v>0</v>
      </c>
      <c r="AT42" s="193">
        <f t="shared" si="44"/>
        <v>0</v>
      </c>
      <c r="AU42" s="33"/>
      <c r="AV42" s="33"/>
      <c r="AW42" s="33"/>
      <c r="AX42" s="33"/>
      <c r="AY42" s="76"/>
    </row>
    <row r="43" spans="2:51">
      <c r="B43" s="40">
        <f t="shared" si="34"/>
        <v>56</v>
      </c>
      <c r="C43" s="151">
        <f t="shared" si="40"/>
        <v>60</v>
      </c>
      <c r="D43" s="136">
        <f>D44+35</f>
        <v>341</v>
      </c>
      <c r="E43" s="140">
        <f t="shared" si="32"/>
        <v>1.3</v>
      </c>
      <c r="F43" s="42">
        <f t="shared" si="33"/>
        <v>443.3</v>
      </c>
      <c r="G43" s="51">
        <f t="shared" si="35"/>
        <v>21.450000000000003</v>
      </c>
      <c r="I43" s="55">
        <v>38</v>
      </c>
      <c r="J43" s="33">
        <f t="shared" si="21"/>
        <v>9.8699999999999992</v>
      </c>
      <c r="K43" s="33">
        <f t="shared" si="22"/>
        <v>3.4844216296255963</v>
      </c>
      <c r="L43" s="33">
        <f t="shared" si="23"/>
        <v>70</v>
      </c>
      <c r="M43" s="33">
        <f t="shared" si="24"/>
        <v>10</v>
      </c>
      <c r="N43" s="33">
        <f t="shared" si="0"/>
        <v>0</v>
      </c>
      <c r="O43" s="34">
        <f t="shared" si="1"/>
        <v>316.59228433826456</v>
      </c>
      <c r="P43" s="55">
        <v>38</v>
      </c>
      <c r="Q43" s="33">
        <f t="shared" si="19"/>
        <v>22.749999999999993</v>
      </c>
      <c r="R43" s="33">
        <f t="shared" si="25"/>
        <v>219.7</v>
      </c>
      <c r="S43" s="33">
        <f t="shared" si="26"/>
        <v>96.667999999999992</v>
      </c>
      <c r="T43" s="33">
        <f t="shared" si="2"/>
        <v>26.166635702630764</v>
      </c>
      <c r="U43" s="33">
        <f t="shared" si="20"/>
        <v>70</v>
      </c>
      <c r="V43" s="33">
        <f t="shared" si="3"/>
        <v>10</v>
      </c>
      <c r="W43" s="33">
        <v>0</v>
      </c>
      <c r="X43" s="33">
        <f t="shared" si="4"/>
        <v>507.2703238487486</v>
      </c>
      <c r="Y43" s="38">
        <f t="shared" si="5"/>
        <v>190.67803951048404</v>
      </c>
      <c r="AA43" s="71">
        <v>38</v>
      </c>
      <c r="AB43" s="33">
        <f t="shared" si="6"/>
        <v>0</v>
      </c>
      <c r="AC43" s="304">
        <f t="shared" si="7"/>
        <v>0</v>
      </c>
      <c r="AD43" s="100">
        <f t="shared" si="8"/>
        <v>0</v>
      </c>
      <c r="AE43" s="100">
        <f t="shared" si="9"/>
        <v>0</v>
      </c>
      <c r="AF43" s="193">
        <f t="shared" si="36"/>
        <v>2.4323196408424059</v>
      </c>
      <c r="AG43" s="193">
        <f t="shared" si="37"/>
        <v>33.607986852300044</v>
      </c>
      <c r="AH43" s="193">
        <f t="shared" si="38"/>
        <v>5.4284518010826641</v>
      </c>
      <c r="AI43" s="198">
        <f t="shared" si="39"/>
        <v>41.468758294225118</v>
      </c>
      <c r="AK43" s="71">
        <v>38</v>
      </c>
      <c r="AL43" s="33">
        <f t="shared" si="10"/>
        <v>0</v>
      </c>
      <c r="AM43" s="33">
        <f t="shared" si="11"/>
        <v>0</v>
      </c>
      <c r="AN43" s="33">
        <f t="shared" si="12"/>
        <v>0</v>
      </c>
      <c r="AO43" s="33">
        <f t="shared" si="13"/>
        <v>0</v>
      </c>
      <c r="AP43" s="33">
        <f t="shared" si="14"/>
        <v>0</v>
      </c>
      <c r="AQ43" s="193">
        <f t="shared" si="41"/>
        <v>0</v>
      </c>
      <c r="AR43" s="193">
        <f t="shared" si="42"/>
        <v>0</v>
      </c>
      <c r="AS43" s="193">
        <f t="shared" si="43"/>
        <v>0</v>
      </c>
      <c r="AT43" s="193">
        <f t="shared" si="44"/>
        <v>0</v>
      </c>
      <c r="AU43" s="33"/>
      <c r="AV43" s="33"/>
      <c r="AW43" s="33"/>
      <c r="AX43" s="33"/>
      <c r="AY43" s="76"/>
    </row>
    <row r="44" spans="2:51">
      <c r="B44" s="40">
        <f t="shared" si="34"/>
        <v>60</v>
      </c>
      <c r="C44" s="151">
        <f t="shared" si="40"/>
        <v>61</v>
      </c>
      <c r="D44" s="136">
        <v>306</v>
      </c>
      <c r="E44" s="140">
        <f t="shared" si="32"/>
        <v>1.3</v>
      </c>
      <c r="F44" s="42">
        <f t="shared" si="33"/>
        <v>397.8</v>
      </c>
      <c r="G44" s="51">
        <f t="shared" si="35"/>
        <v>-45.5</v>
      </c>
      <c r="I44" s="55">
        <v>39</v>
      </c>
      <c r="J44" s="33">
        <f t="shared" si="21"/>
        <v>10.29</v>
      </c>
      <c r="K44" s="33">
        <f t="shared" si="22"/>
        <v>3.615116438976083</v>
      </c>
      <c r="L44" s="33">
        <f t="shared" si="23"/>
        <v>70</v>
      </c>
      <c r="M44" s="33">
        <f t="shared" si="24"/>
        <v>10</v>
      </c>
      <c r="N44" s="33">
        <f t="shared" si="0"/>
        <v>0</v>
      </c>
      <c r="O44" s="34">
        <f t="shared" si="1"/>
        <v>317.5514111312167</v>
      </c>
      <c r="P44" s="55">
        <v>39</v>
      </c>
      <c r="Q44" s="33">
        <f t="shared" si="19"/>
        <v>22.749999999999993</v>
      </c>
      <c r="R44" s="33">
        <f t="shared" si="25"/>
        <v>242.45</v>
      </c>
      <c r="S44" s="33">
        <f t="shared" si="26"/>
        <v>106.678</v>
      </c>
      <c r="T44" s="33">
        <f t="shared" si="2"/>
        <v>28.546904063895017</v>
      </c>
      <c r="U44" s="33">
        <f t="shared" si="20"/>
        <v>70</v>
      </c>
      <c r="V44" s="33">
        <f t="shared" si="3"/>
        <v>10</v>
      </c>
      <c r="W44" s="33">
        <v>0</v>
      </c>
      <c r="X44" s="33">
        <f t="shared" si="4"/>
        <v>528.85004124461716</v>
      </c>
      <c r="Y44" s="38">
        <f t="shared" si="5"/>
        <v>211.29863011340046</v>
      </c>
      <c r="AA44" s="71">
        <v>39</v>
      </c>
      <c r="AB44" s="33">
        <f t="shared" si="6"/>
        <v>0</v>
      </c>
      <c r="AC44" s="304">
        <f t="shared" si="7"/>
        <v>0</v>
      </c>
      <c r="AD44" s="100">
        <f t="shared" si="8"/>
        <v>0</v>
      </c>
      <c r="AE44" s="100">
        <f t="shared" si="9"/>
        <v>0</v>
      </c>
      <c r="AF44" s="193">
        <f t="shared" si="36"/>
        <v>2.384623336253977</v>
      </c>
      <c r="AG44" s="193">
        <f t="shared" si="37"/>
        <v>32.688974684456682</v>
      </c>
      <c r="AH44" s="193">
        <f t="shared" si="38"/>
        <v>3.8384950798898796</v>
      </c>
      <c r="AI44" s="198">
        <f t="shared" si="39"/>
        <v>38.912093100600543</v>
      </c>
      <c r="AK44" s="71">
        <v>39</v>
      </c>
      <c r="AL44" s="33">
        <f t="shared" si="10"/>
        <v>0</v>
      </c>
      <c r="AM44" s="33">
        <f t="shared" si="11"/>
        <v>0</v>
      </c>
      <c r="AN44" s="33">
        <f t="shared" si="12"/>
        <v>0</v>
      </c>
      <c r="AO44" s="33">
        <f t="shared" si="13"/>
        <v>0</v>
      </c>
      <c r="AP44" s="33">
        <f t="shared" si="14"/>
        <v>0</v>
      </c>
      <c r="AQ44" s="193">
        <f t="shared" si="41"/>
        <v>0</v>
      </c>
      <c r="AR44" s="193">
        <f t="shared" si="42"/>
        <v>0</v>
      </c>
      <c r="AS44" s="193">
        <f t="shared" si="43"/>
        <v>0</v>
      </c>
      <c r="AT44" s="193">
        <f t="shared" si="44"/>
        <v>0</v>
      </c>
      <c r="AU44" s="33"/>
      <c r="AV44" s="33"/>
      <c r="AW44" s="33"/>
      <c r="AX44" s="33"/>
      <c r="AY44" s="76"/>
    </row>
    <row r="45" spans="2:51">
      <c r="B45" s="40">
        <f t="shared" si="34"/>
        <v>61</v>
      </c>
      <c r="C45" s="151">
        <f t="shared" si="40"/>
        <v>65</v>
      </c>
      <c r="D45" s="136">
        <f>D46+33</f>
        <v>366</v>
      </c>
      <c r="E45" s="140">
        <f t="shared" si="32"/>
        <v>1.3</v>
      </c>
      <c r="F45" s="42">
        <f t="shared" si="33"/>
        <v>475.8</v>
      </c>
      <c r="G45" s="51">
        <f t="shared" si="35"/>
        <v>19.5</v>
      </c>
      <c r="I45" s="55">
        <v>40</v>
      </c>
      <c r="J45" s="33">
        <f t="shared" si="21"/>
        <v>10.709999999999999</v>
      </c>
      <c r="K45" s="33">
        <f t="shared" si="22"/>
        <v>3.7451916056153398</v>
      </c>
      <c r="L45" s="33">
        <f t="shared" si="23"/>
        <v>70</v>
      </c>
      <c r="M45" s="33">
        <f t="shared" si="24"/>
        <v>10</v>
      </c>
      <c r="N45" s="33">
        <f t="shared" si="0"/>
        <v>0</v>
      </c>
      <c r="O45" s="34">
        <f t="shared" si="1"/>
        <v>318.50945871311336</v>
      </c>
      <c r="P45" s="55">
        <v>40</v>
      </c>
      <c r="Q45" s="33">
        <f t="shared" si="19"/>
        <v>22.749999999999993</v>
      </c>
      <c r="R45" s="33">
        <f t="shared" si="25"/>
        <v>265.2</v>
      </c>
      <c r="S45" s="33">
        <f t="shared" si="26"/>
        <v>116.688</v>
      </c>
      <c r="T45" s="33">
        <f t="shared" si="2"/>
        <v>30.901275916128835</v>
      </c>
      <c r="U45" s="33">
        <f t="shared" si="20"/>
        <v>70</v>
      </c>
      <c r="V45" s="33">
        <f t="shared" si="3"/>
        <v>10</v>
      </c>
      <c r="W45" s="33">
        <v>0</v>
      </c>
      <c r="X45" s="33">
        <f t="shared" si="4"/>
        <v>550.38465555392429</v>
      </c>
      <c r="Y45" s="38">
        <f t="shared" si="5"/>
        <v>231.87519684081093</v>
      </c>
      <c r="AA45" s="71">
        <v>40</v>
      </c>
      <c r="AB45" s="33">
        <f t="shared" si="6"/>
        <v>0</v>
      </c>
      <c r="AC45" s="304">
        <f t="shared" si="7"/>
        <v>0</v>
      </c>
      <c r="AD45" s="100">
        <f t="shared" si="8"/>
        <v>0</v>
      </c>
      <c r="AE45" s="100">
        <f t="shared" si="9"/>
        <v>0</v>
      </c>
      <c r="AF45" s="193">
        <f t="shared" si="36"/>
        <v>2.3378623271066541</v>
      </c>
      <c r="AG45" s="193">
        <f t="shared" si="37"/>
        <v>31.795092952671748</v>
      </c>
      <c r="AH45" s="193">
        <f t="shared" si="38"/>
        <v>2.7142259005413325</v>
      </c>
      <c r="AI45" s="198">
        <f t="shared" si="39"/>
        <v>36.84718118031973</v>
      </c>
      <c r="AK45" s="71">
        <v>40</v>
      </c>
      <c r="AL45" s="33">
        <f t="shared" si="10"/>
        <v>0</v>
      </c>
      <c r="AM45" s="33">
        <f t="shared" si="11"/>
        <v>0</v>
      </c>
      <c r="AN45" s="33">
        <f t="shared" si="12"/>
        <v>0</v>
      </c>
      <c r="AO45" s="33">
        <f t="shared" si="13"/>
        <v>0</v>
      </c>
      <c r="AP45" s="33">
        <f t="shared" si="14"/>
        <v>0</v>
      </c>
      <c r="AQ45" s="193">
        <f t="shared" si="41"/>
        <v>0</v>
      </c>
      <c r="AR45" s="193">
        <f t="shared" si="42"/>
        <v>0</v>
      </c>
      <c r="AS45" s="193">
        <f t="shared" si="43"/>
        <v>0</v>
      </c>
      <c r="AT45" s="193">
        <f t="shared" si="44"/>
        <v>0</v>
      </c>
      <c r="AU45" s="33"/>
      <c r="AV45" s="33"/>
      <c r="AW45" s="33"/>
      <c r="AX45" s="33"/>
      <c r="AY45" s="76"/>
    </row>
    <row r="46" spans="2:51">
      <c r="B46" s="40">
        <f t="shared" si="34"/>
        <v>65</v>
      </c>
      <c r="C46" s="151">
        <f t="shared" si="40"/>
        <v>66</v>
      </c>
      <c r="D46" s="136">
        <v>333</v>
      </c>
      <c r="E46" s="140">
        <f t="shared" si="32"/>
        <v>1.3</v>
      </c>
      <c r="F46" s="42">
        <f t="shared" si="33"/>
        <v>432.90000000000003</v>
      </c>
      <c r="G46" s="51">
        <f t="shared" si="35"/>
        <v>-42.899999999999977</v>
      </c>
      <c r="I46" s="55">
        <v>41</v>
      </c>
      <c r="J46" s="33">
        <f t="shared" si="21"/>
        <v>11.129999999999999</v>
      </c>
      <c r="K46" s="33">
        <f t="shared" si="22"/>
        <v>3.8746742100615323</v>
      </c>
      <c r="L46" s="33">
        <f t="shared" si="23"/>
        <v>70</v>
      </c>
      <c r="M46" s="33">
        <f t="shared" si="24"/>
        <v>10</v>
      </c>
      <c r="N46" s="33">
        <f t="shared" si="0"/>
        <v>0</v>
      </c>
      <c r="O46" s="34">
        <f t="shared" si="1"/>
        <v>319.46647424919053</v>
      </c>
      <c r="P46" s="55">
        <v>41</v>
      </c>
      <c r="Q46" s="33">
        <f t="shared" si="19"/>
        <v>-45.499999999999972</v>
      </c>
      <c r="R46" s="33">
        <f t="shared" si="25"/>
        <v>219.70000000000002</v>
      </c>
      <c r="S46" s="33">
        <f t="shared" si="26"/>
        <v>96.668000000000006</v>
      </c>
      <c r="T46" s="33">
        <f t="shared" si="2"/>
        <v>26.166635702630764</v>
      </c>
      <c r="U46" s="33">
        <f t="shared" si="20"/>
        <v>70</v>
      </c>
      <c r="V46" s="33">
        <f t="shared" si="3"/>
        <v>10</v>
      </c>
      <c r="W46" s="33">
        <v>0</v>
      </c>
      <c r="X46" s="33">
        <f t="shared" si="4"/>
        <v>507.2703238487486</v>
      </c>
      <c r="Y46" s="38">
        <f t="shared" si="5"/>
        <v>187.80384959955808</v>
      </c>
      <c r="AA46" s="71">
        <v>41</v>
      </c>
      <c r="AB46" s="33">
        <f t="shared" si="6"/>
        <v>35</v>
      </c>
      <c r="AC46" s="304">
        <f t="shared" si="7"/>
        <v>0.1</v>
      </c>
      <c r="AD46" s="100">
        <f t="shared" si="8"/>
        <v>0.44800000000000006</v>
      </c>
      <c r="AE46" s="100">
        <f t="shared" si="9"/>
        <v>0.35200000000000004</v>
      </c>
      <c r="AF46" s="193">
        <f t="shared" si="36"/>
        <v>4.9478003126172698</v>
      </c>
      <c r="AG46" s="193">
        <f t="shared" si="37"/>
        <v>42.776711422421897</v>
      </c>
      <c r="AH46" s="193">
        <f t="shared" si="38"/>
        <v>9.8981338299058468</v>
      </c>
      <c r="AI46" s="198">
        <f t="shared" si="39"/>
        <v>57.62264556494501</v>
      </c>
      <c r="AK46" s="71">
        <v>41</v>
      </c>
      <c r="AL46" s="33">
        <f t="shared" si="10"/>
        <v>35</v>
      </c>
      <c r="AM46" s="33">
        <f t="shared" si="11"/>
        <v>0.2</v>
      </c>
      <c r="AN46" s="33">
        <f t="shared" si="12"/>
        <v>0.44800000000000006</v>
      </c>
      <c r="AO46" s="33">
        <f t="shared" si="13"/>
        <v>0.35200000000000004</v>
      </c>
      <c r="AP46" s="33">
        <f t="shared" si="14"/>
        <v>0</v>
      </c>
      <c r="AQ46" s="193">
        <f t="shared" si="41"/>
        <v>7</v>
      </c>
      <c r="AR46" s="193">
        <f t="shared" si="42"/>
        <v>15.680000000000001</v>
      </c>
      <c r="AS46" s="193">
        <f t="shared" si="43"/>
        <v>12.320000000000002</v>
      </c>
      <c r="AT46" s="193">
        <f t="shared" si="44"/>
        <v>0</v>
      </c>
      <c r="AU46" s="33"/>
      <c r="AV46" s="33"/>
      <c r="AW46" s="33"/>
      <c r="AX46" s="33"/>
      <c r="AY46" s="76"/>
    </row>
    <row r="47" spans="2:51">
      <c r="B47" s="40">
        <f t="shared" si="34"/>
        <v>66</v>
      </c>
      <c r="C47" s="151">
        <f t="shared" si="40"/>
        <v>70</v>
      </c>
      <c r="D47" s="136">
        <f>D48+30</f>
        <v>388</v>
      </c>
      <c r="E47" s="140">
        <f t="shared" si="32"/>
        <v>1.3</v>
      </c>
      <c r="F47" s="42">
        <f t="shared" ref="F47:F60" si="45">D47*E47</f>
        <v>504.40000000000003</v>
      </c>
      <c r="G47" s="51">
        <f t="shared" ref="G47:G60" si="46">(F47-F46)/(C47-B47)</f>
        <v>17.875</v>
      </c>
      <c r="I47" s="55">
        <v>42</v>
      </c>
      <c r="J47" s="33">
        <f t="shared" si="21"/>
        <v>11.549999999999999</v>
      </c>
      <c r="K47" s="33">
        <f t="shared" si="22"/>
        <v>4.0035891732474047</v>
      </c>
      <c r="L47" s="33">
        <f t="shared" si="23"/>
        <v>70</v>
      </c>
      <c r="M47" s="33">
        <f t="shared" si="24"/>
        <v>10</v>
      </c>
      <c r="N47" s="33">
        <f t="shared" si="0"/>
        <v>0</v>
      </c>
      <c r="O47" s="34">
        <f t="shared" si="1"/>
        <v>320.4225011434059</v>
      </c>
      <c r="P47" s="55">
        <v>42</v>
      </c>
      <c r="Q47" s="33">
        <f t="shared" si="19"/>
        <v>23.4</v>
      </c>
      <c r="R47" s="33">
        <f t="shared" si="25"/>
        <v>243.10000000000002</v>
      </c>
      <c r="S47" s="33">
        <f t="shared" si="26"/>
        <v>106.96400000000001</v>
      </c>
      <c r="T47" s="33">
        <f t="shared" si="2"/>
        <v>28.614518306762253</v>
      </c>
      <c r="U47" s="33">
        <f t="shared" si="20"/>
        <v>70</v>
      </c>
      <c r="V47" s="33">
        <f t="shared" si="3"/>
        <v>10</v>
      </c>
      <c r="W47" s="33">
        <v>0</v>
      </c>
      <c r="X47" s="33">
        <f t="shared" si="4"/>
        <v>529.46591938427775</v>
      </c>
      <c r="Y47" s="38">
        <f t="shared" si="5"/>
        <v>209.04341824087186</v>
      </c>
      <c r="AA47" s="71">
        <v>42</v>
      </c>
      <c r="AB47" s="33">
        <f t="shared" si="6"/>
        <v>0</v>
      </c>
      <c r="AC47" s="304">
        <f t="shared" si="7"/>
        <v>0</v>
      </c>
      <c r="AD47" s="100">
        <f t="shared" si="8"/>
        <v>0</v>
      </c>
      <c r="AE47" s="100">
        <f t="shared" si="9"/>
        <v>0</v>
      </c>
      <c r="AF47" s="193">
        <f t="shared" si="36"/>
        <v>4.8507769663470466</v>
      </c>
      <c r="AG47" s="193">
        <f t="shared" si="37"/>
        <v>41.606979999046281</v>
      </c>
      <c r="AH47" s="193">
        <f t="shared" si="38"/>
        <v>6.9990375522183976</v>
      </c>
      <c r="AI47" s="198">
        <f t="shared" si="39"/>
        <v>53.456794517611726</v>
      </c>
      <c r="AK47" s="71">
        <v>42</v>
      </c>
      <c r="AL47" s="33">
        <f t="shared" si="10"/>
        <v>0</v>
      </c>
      <c r="AM47" s="33">
        <f t="shared" si="11"/>
        <v>0</v>
      </c>
      <c r="AN47" s="33">
        <f t="shared" si="12"/>
        <v>0</v>
      </c>
      <c r="AO47" s="33">
        <f t="shared" si="13"/>
        <v>0</v>
      </c>
      <c r="AP47" s="33">
        <f t="shared" si="14"/>
        <v>0</v>
      </c>
      <c r="AQ47" s="193">
        <f t="shared" si="41"/>
        <v>0</v>
      </c>
      <c r="AR47" s="193">
        <f t="shared" si="42"/>
        <v>0</v>
      </c>
      <c r="AS47" s="193">
        <f t="shared" si="43"/>
        <v>0</v>
      </c>
      <c r="AT47" s="193">
        <f t="shared" si="44"/>
        <v>0</v>
      </c>
      <c r="AU47" s="33"/>
      <c r="AV47" s="33"/>
      <c r="AW47" s="33"/>
      <c r="AX47" s="33"/>
      <c r="AY47" s="76"/>
    </row>
    <row r="48" spans="2:51">
      <c r="B48" s="40">
        <f t="shared" si="34"/>
        <v>70</v>
      </c>
      <c r="C48" s="151">
        <f t="shared" si="40"/>
        <v>71</v>
      </c>
      <c r="D48" s="136">
        <v>358</v>
      </c>
      <c r="E48" s="140">
        <f t="shared" si="32"/>
        <v>1.3</v>
      </c>
      <c r="F48" s="42">
        <f t="shared" si="45"/>
        <v>465.40000000000003</v>
      </c>
      <c r="G48" s="51">
        <f t="shared" si="46"/>
        <v>-39</v>
      </c>
      <c r="I48" s="55">
        <v>43</v>
      </c>
      <c r="J48" s="33">
        <f t="shared" si="21"/>
        <v>11.969999999999999</v>
      </c>
      <c r="K48" s="33">
        <f t="shared" si="22"/>
        <v>4.1319595009564551</v>
      </c>
      <c r="L48" s="33">
        <f t="shared" si="23"/>
        <v>70</v>
      </c>
      <c r="M48" s="33">
        <f t="shared" si="24"/>
        <v>10</v>
      </c>
      <c r="N48" s="33">
        <f t="shared" si="0"/>
        <v>0</v>
      </c>
      <c r="O48" s="34">
        <f t="shared" si="1"/>
        <v>321.37757946416582</v>
      </c>
      <c r="P48" s="55">
        <v>43</v>
      </c>
      <c r="Q48" s="33">
        <f t="shared" si="19"/>
        <v>23.4</v>
      </c>
      <c r="R48" s="33">
        <f t="shared" si="25"/>
        <v>266.5</v>
      </c>
      <c r="S48" s="33">
        <f t="shared" si="26"/>
        <v>117.26</v>
      </c>
      <c r="T48" s="33">
        <f t="shared" si="2"/>
        <v>31.035082738664737</v>
      </c>
      <c r="U48" s="33">
        <f t="shared" si="20"/>
        <v>70</v>
      </c>
      <c r="V48" s="33">
        <f t="shared" si="3"/>
        <v>10</v>
      </c>
      <c r="W48" s="33">
        <v>0</v>
      </c>
      <c r="X48" s="33">
        <f t="shared" si="4"/>
        <v>551.61393576984108</v>
      </c>
      <c r="Y48" s="38">
        <f t="shared" si="5"/>
        <v>230.23635630567526</v>
      </c>
      <c r="AA48" s="71">
        <v>43</v>
      </c>
      <c r="AB48" s="33">
        <f t="shared" si="6"/>
        <v>0</v>
      </c>
      <c r="AC48" s="304">
        <f t="shared" si="7"/>
        <v>0</v>
      </c>
      <c r="AD48" s="100">
        <f t="shared" si="8"/>
        <v>0</v>
      </c>
      <c r="AE48" s="100">
        <f t="shared" si="9"/>
        <v>0</v>
      </c>
      <c r="AF48" s="193">
        <f t="shared" si="36"/>
        <v>4.7556561887187847</v>
      </c>
      <c r="AG48" s="193">
        <f t="shared" si="37"/>
        <v>40.469234942956376</v>
      </c>
      <c r="AH48" s="193">
        <f t="shared" si="38"/>
        <v>4.9490669149529243</v>
      </c>
      <c r="AI48" s="198">
        <f t="shared" si="39"/>
        <v>50.173958046628087</v>
      </c>
      <c r="AK48" s="71">
        <v>43</v>
      </c>
      <c r="AL48" s="33">
        <f t="shared" si="10"/>
        <v>0</v>
      </c>
      <c r="AM48" s="33">
        <f t="shared" si="11"/>
        <v>0</v>
      </c>
      <c r="AN48" s="33">
        <f t="shared" si="12"/>
        <v>0</v>
      </c>
      <c r="AO48" s="33">
        <f t="shared" si="13"/>
        <v>0</v>
      </c>
      <c r="AP48" s="33">
        <f t="shared" si="14"/>
        <v>0</v>
      </c>
      <c r="AQ48" s="193">
        <f t="shared" si="41"/>
        <v>0</v>
      </c>
      <c r="AR48" s="193">
        <f t="shared" si="42"/>
        <v>0</v>
      </c>
      <c r="AS48" s="193">
        <f t="shared" si="43"/>
        <v>0</v>
      </c>
      <c r="AT48" s="193">
        <f t="shared" si="44"/>
        <v>0</v>
      </c>
      <c r="AU48" s="33"/>
      <c r="AV48" s="33"/>
      <c r="AW48" s="33"/>
      <c r="AX48" s="33"/>
      <c r="AY48" s="76"/>
    </row>
    <row r="49" spans="2:51">
      <c r="B49" s="40">
        <f t="shared" si="34"/>
        <v>71</v>
      </c>
      <c r="C49" s="151">
        <f t="shared" si="40"/>
        <v>75</v>
      </c>
      <c r="D49" s="136">
        <f>D50+27</f>
        <v>408</v>
      </c>
      <c r="E49" s="140">
        <f t="shared" si="32"/>
        <v>1.3</v>
      </c>
      <c r="F49" s="42">
        <f t="shared" si="45"/>
        <v>530.4</v>
      </c>
      <c r="G49" s="51">
        <f t="shared" si="46"/>
        <v>16.249999999999986</v>
      </c>
      <c r="I49" s="55">
        <v>44</v>
      </c>
      <c r="J49" s="33">
        <f t="shared" si="21"/>
        <v>12.389999999999999</v>
      </c>
      <c r="K49" s="33">
        <f t="shared" si="22"/>
        <v>4.259806492988357</v>
      </c>
      <c r="L49" s="33">
        <f t="shared" si="23"/>
        <v>70</v>
      </c>
      <c r="M49" s="33">
        <f t="shared" si="24"/>
        <v>10</v>
      </c>
      <c r="N49" s="33">
        <f t="shared" si="0"/>
        <v>0</v>
      </c>
      <c r="O49" s="34">
        <f t="shared" si="1"/>
        <v>322.3317463086214</v>
      </c>
      <c r="P49" s="55">
        <v>44</v>
      </c>
      <c r="Q49" s="33">
        <f t="shared" si="19"/>
        <v>23.4</v>
      </c>
      <c r="R49" s="33">
        <f t="shared" si="25"/>
        <v>289.89999999999998</v>
      </c>
      <c r="S49" s="33">
        <f t="shared" si="26"/>
        <v>127.556</v>
      </c>
      <c r="T49" s="33">
        <f t="shared" si="2"/>
        <v>33.431000411219642</v>
      </c>
      <c r="U49" s="33">
        <f t="shared" si="20"/>
        <v>70</v>
      </c>
      <c r="V49" s="33">
        <f t="shared" si="3"/>
        <v>10</v>
      </c>
      <c r="W49" s="33">
        <v>0</v>
      </c>
      <c r="X49" s="33">
        <f t="shared" si="4"/>
        <v>573.71902571620751</v>
      </c>
      <c r="Y49" s="38">
        <f t="shared" si="5"/>
        <v>251.38727940758611</v>
      </c>
      <c r="AA49" s="71">
        <v>44</v>
      </c>
      <c r="AB49" s="33">
        <f t="shared" si="6"/>
        <v>0</v>
      </c>
      <c r="AC49" s="304">
        <f t="shared" si="7"/>
        <v>0</v>
      </c>
      <c r="AD49" s="100">
        <f t="shared" si="8"/>
        <v>0</v>
      </c>
      <c r="AE49" s="100">
        <f t="shared" si="9"/>
        <v>0</v>
      </c>
      <c r="AF49" s="193">
        <f t="shared" si="36"/>
        <v>4.6624006715218673</v>
      </c>
      <c r="AG49" s="193">
        <f t="shared" si="37"/>
        <v>39.362601585256662</v>
      </c>
      <c r="AH49" s="193">
        <f t="shared" si="38"/>
        <v>3.4995187761091993</v>
      </c>
      <c r="AI49" s="198">
        <f t="shared" si="39"/>
        <v>47.524521032887726</v>
      </c>
      <c r="AK49" s="71">
        <v>44</v>
      </c>
      <c r="AL49" s="33">
        <f t="shared" si="10"/>
        <v>0</v>
      </c>
      <c r="AM49" s="33">
        <f t="shared" si="11"/>
        <v>0</v>
      </c>
      <c r="AN49" s="33">
        <f t="shared" si="12"/>
        <v>0</v>
      </c>
      <c r="AO49" s="33">
        <f t="shared" si="13"/>
        <v>0</v>
      </c>
      <c r="AP49" s="33">
        <f t="shared" si="14"/>
        <v>0</v>
      </c>
      <c r="AQ49" s="193">
        <f t="shared" si="41"/>
        <v>0</v>
      </c>
      <c r="AR49" s="193">
        <f t="shared" si="42"/>
        <v>0</v>
      </c>
      <c r="AS49" s="193">
        <f t="shared" si="43"/>
        <v>0</v>
      </c>
      <c r="AT49" s="193">
        <f t="shared" si="44"/>
        <v>0</v>
      </c>
      <c r="AU49" s="33"/>
      <c r="AV49" s="33"/>
      <c r="AW49" s="33"/>
      <c r="AX49" s="33"/>
      <c r="AY49" s="76"/>
    </row>
    <row r="50" spans="2:51">
      <c r="B50" s="40">
        <f t="shared" si="34"/>
        <v>75</v>
      </c>
      <c r="C50" s="151">
        <f t="shared" si="40"/>
        <v>76</v>
      </c>
      <c r="D50" s="136">
        <v>381</v>
      </c>
      <c r="E50" s="140">
        <f t="shared" si="32"/>
        <v>1.3</v>
      </c>
      <c r="F50" s="42">
        <f t="shared" si="45"/>
        <v>495.3</v>
      </c>
      <c r="G50" s="51">
        <f t="shared" si="46"/>
        <v>-35.099999999999966</v>
      </c>
      <c r="I50" s="55">
        <v>45</v>
      </c>
      <c r="J50" s="33">
        <f t="shared" si="21"/>
        <v>12.809999999999999</v>
      </c>
      <c r="K50" s="33">
        <f t="shared" si="22"/>
        <v>4.387149923166203</v>
      </c>
      <c r="L50" s="33">
        <f t="shared" si="23"/>
        <v>70</v>
      </c>
      <c r="M50" s="33">
        <f t="shared" si="24"/>
        <v>10</v>
      </c>
      <c r="N50" s="33">
        <f t="shared" si="0"/>
        <v>0</v>
      </c>
      <c r="O50" s="34">
        <f t="shared" si="1"/>
        <v>323.28503611618117</v>
      </c>
      <c r="P50" s="55">
        <v>45</v>
      </c>
      <c r="Q50" s="33">
        <f t="shared" si="19"/>
        <v>23.4</v>
      </c>
      <c r="R50" s="33">
        <f t="shared" si="25"/>
        <v>313.29999999999995</v>
      </c>
      <c r="S50" s="33">
        <f t="shared" si="26"/>
        <v>137.85199999999998</v>
      </c>
      <c r="T50" s="33">
        <f t="shared" si="2"/>
        <v>35.8044869269062</v>
      </c>
      <c r="U50" s="33">
        <f t="shared" si="20"/>
        <v>70</v>
      </c>
      <c r="V50" s="33">
        <f t="shared" si="3"/>
        <v>10</v>
      </c>
      <c r="W50" s="33">
        <v>0</v>
      </c>
      <c r="X50" s="33">
        <f t="shared" si="4"/>
        <v>595.7850480643616</v>
      </c>
      <c r="Y50" s="38">
        <f t="shared" si="5"/>
        <v>272.50001194818043</v>
      </c>
      <c r="AA50" s="71">
        <v>45</v>
      </c>
      <c r="AB50" s="33">
        <f t="shared" si="6"/>
        <v>0</v>
      </c>
      <c r="AC50" s="304">
        <f t="shared" si="7"/>
        <v>0</v>
      </c>
      <c r="AD50" s="100">
        <f t="shared" si="8"/>
        <v>0</v>
      </c>
      <c r="AE50" s="100">
        <f t="shared" si="9"/>
        <v>0</v>
      </c>
      <c r="AF50" s="193">
        <f t="shared" si="36"/>
        <v>4.5709738381369327</v>
      </c>
      <c r="AG50" s="193">
        <f t="shared" si="37"/>
        <v>38.286229174918567</v>
      </c>
      <c r="AH50" s="193">
        <f t="shared" si="38"/>
        <v>2.4745334574764621</v>
      </c>
      <c r="AI50" s="198">
        <f t="shared" si="39"/>
        <v>45.331736470531958</v>
      </c>
      <c r="AK50" s="71">
        <v>45</v>
      </c>
      <c r="AL50" s="33">
        <f t="shared" si="10"/>
        <v>0</v>
      </c>
      <c r="AM50" s="33">
        <f t="shared" si="11"/>
        <v>0</v>
      </c>
      <c r="AN50" s="33">
        <f t="shared" si="12"/>
        <v>0</v>
      </c>
      <c r="AO50" s="33">
        <f t="shared" si="13"/>
        <v>0</v>
      </c>
      <c r="AP50" s="33">
        <f t="shared" si="14"/>
        <v>0</v>
      </c>
      <c r="AQ50" s="193">
        <f t="shared" si="41"/>
        <v>0</v>
      </c>
      <c r="AR50" s="193">
        <f t="shared" si="42"/>
        <v>0</v>
      </c>
      <c r="AS50" s="193">
        <f t="shared" si="43"/>
        <v>0</v>
      </c>
      <c r="AT50" s="193">
        <f t="shared" si="44"/>
        <v>0</v>
      </c>
      <c r="AU50" s="33"/>
      <c r="AV50" s="33"/>
      <c r="AW50" s="33"/>
      <c r="AX50" s="33"/>
      <c r="AY50" s="76"/>
    </row>
    <row r="51" spans="2:51">
      <c r="B51" s="40">
        <f t="shared" si="34"/>
        <v>76</v>
      </c>
      <c r="C51" s="151">
        <f t="shared" si="40"/>
        <v>80</v>
      </c>
      <c r="D51" s="136">
        <f>D52+24</f>
        <v>426</v>
      </c>
      <c r="E51" s="140">
        <f t="shared" si="32"/>
        <v>1.3</v>
      </c>
      <c r="F51" s="42">
        <f t="shared" si="45"/>
        <v>553.80000000000007</v>
      </c>
      <c r="G51" s="51">
        <f t="shared" si="46"/>
        <v>14.625000000000014</v>
      </c>
      <c r="I51" s="55">
        <v>46</v>
      </c>
      <c r="J51" s="33">
        <f t="shared" si="21"/>
        <v>13.229999999999999</v>
      </c>
      <c r="K51" s="33">
        <f t="shared" si="22"/>
        <v>4.5140081950731146</v>
      </c>
      <c r="L51" s="33">
        <f t="shared" si="23"/>
        <v>70</v>
      </c>
      <c r="M51" s="33">
        <f t="shared" si="24"/>
        <v>10</v>
      </c>
      <c r="N51" s="33">
        <f t="shared" si="0"/>
        <v>0</v>
      </c>
      <c r="O51" s="34">
        <f t="shared" si="1"/>
        <v>324.23748093975234</v>
      </c>
      <c r="P51" s="55">
        <v>46</v>
      </c>
      <c r="Q51" s="33">
        <f t="shared" si="19"/>
        <v>-45.5</v>
      </c>
      <c r="R51" s="33">
        <f t="shared" si="25"/>
        <v>267.79999999999995</v>
      </c>
      <c r="S51" s="33">
        <f t="shared" si="26"/>
        <v>117.83199999999998</v>
      </c>
      <c r="T51" s="33">
        <f t="shared" si="2"/>
        <v>31.168813606281105</v>
      </c>
      <c r="U51" s="33">
        <f t="shared" si="20"/>
        <v>70</v>
      </c>
      <c r="V51" s="33">
        <f t="shared" si="3"/>
        <v>10</v>
      </c>
      <c r="W51" s="33">
        <v>0</v>
      </c>
      <c r="X51" s="33">
        <f t="shared" si="4"/>
        <v>552.84308369760629</v>
      </c>
      <c r="Y51" s="38">
        <f t="shared" si="5"/>
        <v>228.60560275785394</v>
      </c>
      <c r="AA51" s="71">
        <v>46</v>
      </c>
      <c r="AB51" s="33">
        <f t="shared" si="6"/>
        <v>35</v>
      </c>
      <c r="AC51" s="304">
        <f t="shared" si="7"/>
        <v>0.1</v>
      </c>
      <c r="AD51" s="100">
        <f t="shared" si="8"/>
        <v>0.44800000000000006</v>
      </c>
      <c r="AE51" s="100">
        <f t="shared" si="9"/>
        <v>0.35200000000000004</v>
      </c>
      <c r="AF51" s="193">
        <f t="shared" si="36"/>
        <v>7.137121868979774</v>
      </c>
      <c r="AG51" s="193">
        <f t="shared" si="37"/>
        <v>49.090347183317363</v>
      </c>
      <c r="AH51" s="193">
        <f t="shared" si="38"/>
        <v>9.7286456780155071</v>
      </c>
      <c r="AI51" s="198">
        <f t="shared" si="39"/>
        <v>65.956114730312649</v>
      </c>
      <c r="AK51" s="71">
        <v>46</v>
      </c>
      <c r="AL51" s="33">
        <f t="shared" si="10"/>
        <v>35</v>
      </c>
      <c r="AM51" s="33">
        <f t="shared" si="11"/>
        <v>0.2</v>
      </c>
      <c r="AN51" s="33">
        <f t="shared" si="12"/>
        <v>0.44800000000000006</v>
      </c>
      <c r="AO51" s="33">
        <f t="shared" si="13"/>
        <v>0.35200000000000004</v>
      </c>
      <c r="AP51" s="33">
        <f t="shared" si="14"/>
        <v>0</v>
      </c>
      <c r="AQ51" s="193">
        <f t="shared" si="41"/>
        <v>7</v>
      </c>
      <c r="AR51" s="193">
        <f t="shared" si="42"/>
        <v>15.680000000000001</v>
      </c>
      <c r="AS51" s="193">
        <f t="shared" si="43"/>
        <v>12.320000000000002</v>
      </c>
      <c r="AT51" s="193">
        <f t="shared" si="44"/>
        <v>0</v>
      </c>
      <c r="AU51" s="33"/>
      <c r="AV51" s="33"/>
      <c r="AW51" s="33"/>
      <c r="AX51" s="33"/>
      <c r="AY51" s="76"/>
    </row>
    <row r="52" spans="2:51">
      <c r="B52" s="40">
        <f t="shared" si="34"/>
        <v>80</v>
      </c>
      <c r="C52" s="151">
        <f t="shared" si="40"/>
        <v>81</v>
      </c>
      <c r="D52" s="136">
        <v>402</v>
      </c>
      <c r="E52" s="140">
        <f t="shared" si="32"/>
        <v>1.3</v>
      </c>
      <c r="F52" s="42">
        <f t="shared" si="45"/>
        <v>522.6</v>
      </c>
      <c r="G52" s="51">
        <f t="shared" si="46"/>
        <v>-31.200000000000045</v>
      </c>
      <c r="I52" s="55">
        <v>47</v>
      </c>
      <c r="J52" s="33">
        <f t="shared" si="21"/>
        <v>13.649999999999999</v>
      </c>
      <c r="K52" s="33">
        <f t="shared" si="22"/>
        <v>4.6403984774572109</v>
      </c>
      <c r="L52" s="33">
        <f t="shared" si="23"/>
        <v>70</v>
      </c>
      <c r="M52" s="33">
        <f t="shared" si="24"/>
        <v>10</v>
      </c>
      <c r="N52" s="33">
        <f t="shared" si="0"/>
        <v>0</v>
      </c>
      <c r="O52" s="34">
        <f t="shared" si="1"/>
        <v>325.18911068157132</v>
      </c>
      <c r="P52" s="55">
        <v>47</v>
      </c>
      <c r="Q52" s="33">
        <f t="shared" si="19"/>
        <v>23.075000000000003</v>
      </c>
      <c r="R52" s="33">
        <f t="shared" si="25"/>
        <v>290.87499999999994</v>
      </c>
      <c r="S52" s="33">
        <f t="shared" si="26"/>
        <v>127.98499999999997</v>
      </c>
      <c r="T52" s="33">
        <f t="shared" si="2"/>
        <v>33.530329527034468</v>
      </c>
      <c r="U52" s="33">
        <f t="shared" si="20"/>
        <v>70</v>
      </c>
      <c r="V52" s="33">
        <f t="shared" si="3"/>
        <v>10</v>
      </c>
      <c r="W52" s="33">
        <v>0</v>
      </c>
      <c r="X52" s="33">
        <f t="shared" si="4"/>
        <v>574.63919892625165</v>
      </c>
      <c r="Y52" s="38">
        <f t="shared" si="5"/>
        <v>249.45008824468033</v>
      </c>
      <c r="AA52" s="71">
        <v>47</v>
      </c>
      <c r="AB52" s="33">
        <f t="shared" si="6"/>
        <v>0</v>
      </c>
      <c r="AC52" s="304">
        <f t="shared" si="7"/>
        <v>0</v>
      </c>
      <c r="AD52" s="100">
        <f t="shared" si="8"/>
        <v>0</v>
      </c>
      <c r="AE52" s="100">
        <f t="shared" si="9"/>
        <v>0</v>
      </c>
      <c r="AF52" s="193">
        <f t="shared" si="36"/>
        <v>6.9971672623435763</v>
      </c>
      <c r="AG52" s="193">
        <f t="shared" si="37"/>
        <v>47.74796905804039</v>
      </c>
      <c r="AH52" s="193">
        <f t="shared" si="38"/>
        <v>6.8791913306859627</v>
      </c>
      <c r="AI52" s="198">
        <f t="shared" si="39"/>
        <v>61.624327651069926</v>
      </c>
      <c r="AK52" s="71">
        <v>47</v>
      </c>
      <c r="AL52" s="33">
        <f t="shared" si="10"/>
        <v>0</v>
      </c>
      <c r="AM52" s="33">
        <f t="shared" si="11"/>
        <v>0</v>
      </c>
      <c r="AN52" s="33">
        <f t="shared" si="12"/>
        <v>0</v>
      </c>
      <c r="AO52" s="33">
        <f t="shared" si="13"/>
        <v>0</v>
      </c>
      <c r="AP52" s="33">
        <f t="shared" si="14"/>
        <v>0</v>
      </c>
      <c r="AQ52" s="193">
        <f t="shared" si="41"/>
        <v>0</v>
      </c>
      <c r="AR52" s="193">
        <f t="shared" si="42"/>
        <v>0</v>
      </c>
      <c r="AS52" s="193">
        <f t="shared" si="43"/>
        <v>0</v>
      </c>
      <c r="AT52" s="193">
        <f t="shared" si="44"/>
        <v>0</v>
      </c>
      <c r="AU52" s="33"/>
      <c r="AV52" s="33"/>
      <c r="AW52" s="33"/>
      <c r="AX52" s="33"/>
      <c r="AY52" s="76"/>
    </row>
    <row r="53" spans="2:51">
      <c r="B53" s="40">
        <f t="shared" si="34"/>
        <v>81</v>
      </c>
      <c r="C53" s="151">
        <f t="shared" si="40"/>
        <v>85</v>
      </c>
      <c r="D53" s="136">
        <f>D54+21</f>
        <v>441</v>
      </c>
      <c r="E53" s="140">
        <f t="shared" si="32"/>
        <v>1.3</v>
      </c>
      <c r="F53" s="42">
        <f t="shared" si="45"/>
        <v>573.30000000000007</v>
      </c>
      <c r="G53" s="51">
        <f t="shared" si="46"/>
        <v>12.675000000000011</v>
      </c>
      <c r="I53" s="55">
        <v>48</v>
      </c>
      <c r="J53" s="33">
        <f t="shared" si="21"/>
        <v>14.069999999999999</v>
      </c>
      <c r="K53" s="33">
        <f t="shared" si="22"/>
        <v>4.7663368225031704</v>
      </c>
      <c r="L53" s="33">
        <f t="shared" si="23"/>
        <v>70</v>
      </c>
      <c r="M53" s="33">
        <f t="shared" si="24"/>
        <v>10</v>
      </c>
      <c r="N53" s="33">
        <f t="shared" si="0"/>
        <v>0</v>
      </c>
      <c r="O53" s="34">
        <f t="shared" si="1"/>
        <v>326.139953299193</v>
      </c>
      <c r="P53" s="55">
        <v>48</v>
      </c>
      <c r="Q53" s="33">
        <f t="shared" si="19"/>
        <v>23.075000000000003</v>
      </c>
      <c r="R53" s="33">
        <f t="shared" si="25"/>
        <v>313.94999999999993</v>
      </c>
      <c r="S53" s="33">
        <f t="shared" si="26"/>
        <v>138.13799999999998</v>
      </c>
      <c r="T53" s="33">
        <f t="shared" si="2"/>
        <v>35.870115614757147</v>
      </c>
      <c r="U53" s="33">
        <f t="shared" si="20"/>
        <v>70</v>
      </c>
      <c r="V53" s="33">
        <f t="shared" si="3"/>
        <v>10</v>
      </c>
      <c r="W53" s="33">
        <v>0</v>
      </c>
      <c r="X53" s="33">
        <f t="shared" si="4"/>
        <v>596.39746802903528</v>
      </c>
      <c r="Y53" s="38">
        <f t="shared" si="5"/>
        <v>270.25751472984228</v>
      </c>
      <c r="AA53" s="71">
        <v>48</v>
      </c>
      <c r="AB53" s="33">
        <f t="shared" si="6"/>
        <v>0</v>
      </c>
      <c r="AC53" s="304">
        <f t="shared" si="7"/>
        <v>0</v>
      </c>
      <c r="AD53" s="100">
        <f t="shared" si="8"/>
        <v>0</v>
      </c>
      <c r="AE53" s="100">
        <f t="shared" si="9"/>
        <v>0</v>
      </c>
      <c r="AF53" s="193">
        <f t="shared" si="36"/>
        <v>6.8599570801796332</v>
      </c>
      <c r="AG53" s="193">
        <f t="shared" si="37"/>
        <v>46.442298333191715</v>
      </c>
      <c r="AH53" s="193">
        <f t="shared" si="38"/>
        <v>4.8643228390077544</v>
      </c>
      <c r="AI53" s="198">
        <f t="shared" si="39"/>
        <v>58.166578252379104</v>
      </c>
      <c r="AK53" s="71">
        <v>48</v>
      </c>
      <c r="AL53" s="33">
        <f t="shared" si="10"/>
        <v>0</v>
      </c>
      <c r="AM53" s="33">
        <f t="shared" si="11"/>
        <v>0</v>
      </c>
      <c r="AN53" s="33">
        <f t="shared" si="12"/>
        <v>0</v>
      </c>
      <c r="AO53" s="33">
        <f t="shared" si="13"/>
        <v>0</v>
      </c>
      <c r="AP53" s="33">
        <f t="shared" si="14"/>
        <v>0</v>
      </c>
      <c r="AQ53" s="193">
        <f t="shared" si="41"/>
        <v>0</v>
      </c>
      <c r="AR53" s="193">
        <f t="shared" si="42"/>
        <v>0</v>
      </c>
      <c r="AS53" s="193">
        <f t="shared" si="43"/>
        <v>0</v>
      </c>
      <c r="AT53" s="193">
        <f t="shared" si="44"/>
        <v>0</v>
      </c>
      <c r="AU53" s="33"/>
      <c r="AV53" s="33"/>
      <c r="AW53" s="33"/>
      <c r="AX53" s="33"/>
      <c r="AY53" s="76"/>
    </row>
    <row r="54" spans="2:51">
      <c r="B54" s="40">
        <f t="shared" si="34"/>
        <v>85</v>
      </c>
      <c r="C54" s="151">
        <f t="shared" si="40"/>
        <v>86</v>
      </c>
      <c r="D54" s="136">
        <v>420</v>
      </c>
      <c r="E54" s="140">
        <f t="shared" si="32"/>
        <v>1.3</v>
      </c>
      <c r="F54" s="42">
        <f t="shared" si="45"/>
        <v>546</v>
      </c>
      <c r="G54" s="51">
        <f t="shared" si="46"/>
        <v>-27.300000000000068</v>
      </c>
      <c r="I54" s="55">
        <v>49</v>
      </c>
      <c r="J54" s="33">
        <f t="shared" si="21"/>
        <v>14.489999999999998</v>
      </c>
      <c r="K54" s="33">
        <f t="shared" si="22"/>
        <v>4.8918382695850156</v>
      </c>
      <c r="L54" s="33">
        <f t="shared" si="23"/>
        <v>70</v>
      </c>
      <c r="M54" s="33">
        <f t="shared" si="24"/>
        <v>10</v>
      </c>
      <c r="N54" s="33">
        <f t="shared" si="0"/>
        <v>0</v>
      </c>
      <c r="O54" s="34">
        <f t="shared" si="1"/>
        <v>327.09003498619393</v>
      </c>
      <c r="P54" s="55">
        <v>49</v>
      </c>
      <c r="Q54" s="33">
        <f t="shared" si="19"/>
        <v>23.075000000000003</v>
      </c>
      <c r="R54" s="33">
        <f t="shared" si="25"/>
        <v>337.02499999999992</v>
      </c>
      <c r="S54" s="33">
        <f t="shared" si="26"/>
        <v>148.29099999999997</v>
      </c>
      <c r="T54" s="33">
        <f t="shared" si="2"/>
        <v>38.189950610555655</v>
      </c>
      <c r="U54" s="33">
        <f t="shared" si="20"/>
        <v>70</v>
      </c>
      <c r="V54" s="33">
        <f t="shared" si="3"/>
        <v>10</v>
      </c>
      <c r="W54" s="33">
        <v>0</v>
      </c>
      <c r="X54" s="33">
        <f t="shared" si="4"/>
        <v>618.12098898005104</v>
      </c>
      <c r="Y54" s="38">
        <f t="shared" si="5"/>
        <v>291.03095399385711</v>
      </c>
      <c r="AA54" s="71">
        <v>49</v>
      </c>
      <c r="AB54" s="33">
        <f t="shared" si="6"/>
        <v>0</v>
      </c>
      <c r="AC54" s="304">
        <f t="shared" si="7"/>
        <v>0</v>
      </c>
      <c r="AD54" s="100">
        <f t="shared" si="8"/>
        <v>0</v>
      </c>
      <c r="AE54" s="100">
        <f t="shared" si="9"/>
        <v>0</v>
      </c>
      <c r="AF54" s="193">
        <f t="shared" si="36"/>
        <v>6.7254375059979781</v>
      </c>
      <c r="AG54" s="193">
        <f t="shared" si="37"/>
        <v>45.172331242976263</v>
      </c>
      <c r="AH54" s="193">
        <f t="shared" si="38"/>
        <v>3.4395956653429822</v>
      </c>
      <c r="AI54" s="198">
        <f t="shared" si="39"/>
        <v>55.337364414317229</v>
      </c>
      <c r="AK54" s="71">
        <v>49</v>
      </c>
      <c r="AL54" s="33">
        <f t="shared" si="10"/>
        <v>0</v>
      </c>
      <c r="AM54" s="33">
        <f t="shared" si="11"/>
        <v>0</v>
      </c>
      <c r="AN54" s="33">
        <f t="shared" si="12"/>
        <v>0</v>
      </c>
      <c r="AO54" s="33">
        <f t="shared" si="13"/>
        <v>0</v>
      </c>
      <c r="AP54" s="33">
        <f t="shared" si="14"/>
        <v>0</v>
      </c>
      <c r="AQ54" s="193">
        <f t="shared" si="41"/>
        <v>0</v>
      </c>
      <c r="AR54" s="193">
        <f t="shared" si="42"/>
        <v>0</v>
      </c>
      <c r="AS54" s="193">
        <f t="shared" si="43"/>
        <v>0</v>
      </c>
      <c r="AT54" s="193">
        <f t="shared" si="44"/>
        <v>0</v>
      </c>
      <c r="AU54" s="33"/>
      <c r="AV54" s="33"/>
      <c r="AW54" s="33"/>
      <c r="AX54" s="33"/>
      <c r="AY54" s="76"/>
    </row>
    <row r="55" spans="2:51">
      <c r="B55" s="40">
        <f t="shared" si="34"/>
        <v>86</v>
      </c>
      <c r="C55" s="151">
        <f t="shared" si="40"/>
        <v>90</v>
      </c>
      <c r="D55" s="136">
        <f>D56+17</f>
        <v>454</v>
      </c>
      <c r="E55" s="140">
        <f t="shared" si="32"/>
        <v>1.3</v>
      </c>
      <c r="F55" s="42">
        <f t="shared" si="45"/>
        <v>590.20000000000005</v>
      </c>
      <c r="G55" s="51">
        <f t="shared" si="46"/>
        <v>11.050000000000011</v>
      </c>
      <c r="I55" s="55">
        <v>50</v>
      </c>
      <c r="J55" s="33">
        <f t="shared" si="21"/>
        <v>14.909999999999998</v>
      </c>
      <c r="K55" s="33">
        <f t="shared" si="22"/>
        <v>5.0169169366515129</v>
      </c>
      <c r="L55" s="33">
        <f t="shared" si="23"/>
        <v>70</v>
      </c>
      <c r="M55" s="33">
        <f t="shared" si="24"/>
        <v>10</v>
      </c>
      <c r="N55" s="33">
        <f t="shared" si="0"/>
        <v>0</v>
      </c>
      <c r="O55" s="34">
        <f t="shared" si="1"/>
        <v>328.03938033133471</v>
      </c>
      <c r="P55" s="55">
        <v>50</v>
      </c>
      <c r="Q55" s="33">
        <f t="shared" si="19"/>
        <v>23.075000000000003</v>
      </c>
      <c r="R55" s="33">
        <f t="shared" si="25"/>
        <v>360.09999999999991</v>
      </c>
      <c r="S55" s="33">
        <f t="shared" si="26"/>
        <v>158.44399999999996</v>
      </c>
      <c r="T55" s="33">
        <f t="shared" si="2"/>
        <v>40.491355899089449</v>
      </c>
      <c r="U55" s="33">
        <f t="shared" si="20"/>
        <v>70</v>
      </c>
      <c r="V55" s="33">
        <f t="shared" si="3"/>
        <v>10</v>
      </c>
      <c r="W55" s="33">
        <v>0</v>
      </c>
      <c r="X55" s="33">
        <f t="shared" si="4"/>
        <v>639.8124115242473</v>
      </c>
      <c r="Y55" s="38">
        <f t="shared" si="5"/>
        <v>311.77303119291258</v>
      </c>
      <c r="AA55" s="71">
        <v>50</v>
      </c>
      <c r="AB55" s="33">
        <f t="shared" si="6"/>
        <v>0</v>
      </c>
      <c r="AC55" s="304">
        <f t="shared" si="7"/>
        <v>0</v>
      </c>
      <c r="AD55" s="100">
        <f t="shared" si="8"/>
        <v>0</v>
      </c>
      <c r="AE55" s="100">
        <f t="shared" si="9"/>
        <v>0</v>
      </c>
      <c r="AF55" s="193">
        <f t="shared" si="36"/>
        <v>6.5935557786171861</v>
      </c>
      <c r="AG55" s="193">
        <f t="shared" si="37"/>
        <v>43.937091469627418</v>
      </c>
      <c r="AH55" s="193">
        <f t="shared" si="38"/>
        <v>2.4321614195038777</v>
      </c>
      <c r="AI55" s="198">
        <f t="shared" si="39"/>
        <v>52.962808667748483</v>
      </c>
      <c r="AK55" s="71">
        <v>50</v>
      </c>
      <c r="AL55" s="33">
        <f t="shared" si="10"/>
        <v>0</v>
      </c>
      <c r="AM55" s="33">
        <f t="shared" si="11"/>
        <v>0</v>
      </c>
      <c r="AN55" s="33">
        <f t="shared" si="12"/>
        <v>0</v>
      </c>
      <c r="AO55" s="33">
        <f t="shared" si="13"/>
        <v>0</v>
      </c>
      <c r="AP55" s="33">
        <f t="shared" si="14"/>
        <v>0</v>
      </c>
      <c r="AQ55" s="193">
        <f t="shared" si="41"/>
        <v>0</v>
      </c>
      <c r="AR55" s="193">
        <f t="shared" si="42"/>
        <v>0</v>
      </c>
      <c r="AS55" s="193">
        <f t="shared" si="43"/>
        <v>0</v>
      </c>
      <c r="AT55" s="193">
        <f t="shared" si="44"/>
        <v>0</v>
      </c>
      <c r="AU55" s="33"/>
      <c r="AV55" s="33"/>
      <c r="AW55" s="33"/>
      <c r="AX55" s="33"/>
      <c r="AY55" s="76"/>
    </row>
    <row r="56" spans="2:51">
      <c r="B56" s="40">
        <f t="shared" si="34"/>
        <v>90</v>
      </c>
      <c r="C56" s="151">
        <f t="shared" si="40"/>
        <v>91</v>
      </c>
      <c r="D56" s="136">
        <v>437</v>
      </c>
      <c r="E56" s="140">
        <f t="shared" si="32"/>
        <v>1.3</v>
      </c>
      <c r="F56" s="42">
        <f t="shared" si="45"/>
        <v>568.1</v>
      </c>
      <c r="G56" s="51">
        <f t="shared" si="46"/>
        <v>-22.100000000000023</v>
      </c>
      <c r="I56" s="55">
        <v>51</v>
      </c>
      <c r="J56" s="33">
        <f t="shared" si="21"/>
        <v>15.329999999999998</v>
      </c>
      <c r="K56" s="33">
        <f t="shared" si="22"/>
        <v>5.1415861010251849</v>
      </c>
      <c r="L56" s="33">
        <f t="shared" si="23"/>
        <v>70</v>
      </c>
      <c r="M56" s="33">
        <f t="shared" si="24"/>
        <v>10</v>
      </c>
      <c r="N56" s="33">
        <f t="shared" si="0"/>
        <v>0</v>
      </c>
      <c r="O56" s="34">
        <f t="shared" si="1"/>
        <v>328.98801245928553</v>
      </c>
      <c r="P56" s="55">
        <v>51</v>
      </c>
      <c r="Q56" s="33">
        <f t="shared" si="19"/>
        <v>-45.5</v>
      </c>
      <c r="R56" s="33">
        <f t="shared" si="25"/>
        <v>314.59999999999991</v>
      </c>
      <c r="S56" s="33">
        <f t="shared" si="26"/>
        <v>138.42399999999995</v>
      </c>
      <c r="T56" s="33">
        <f t="shared" si="2"/>
        <v>35.935728488395647</v>
      </c>
      <c r="U56" s="33">
        <f t="shared" si="20"/>
        <v>70</v>
      </c>
      <c r="V56" s="33">
        <f t="shared" si="3"/>
        <v>10</v>
      </c>
      <c r="W56" s="33">
        <v>0</v>
      </c>
      <c r="X56" s="33">
        <f t="shared" si="4"/>
        <v>597.00986045062234</v>
      </c>
      <c r="Y56" s="38">
        <f t="shared" si="5"/>
        <v>268.02184799133681</v>
      </c>
      <c r="AA56" s="71">
        <v>51</v>
      </c>
      <c r="AB56" s="33">
        <f t="shared" si="6"/>
        <v>35</v>
      </c>
      <c r="AC56" s="304">
        <f t="shared" si="7"/>
        <v>0.15</v>
      </c>
      <c r="AD56" s="100">
        <f t="shared" si="8"/>
        <v>0.39200000000000002</v>
      </c>
      <c r="AE56" s="100">
        <f t="shared" si="9"/>
        <v>0.308</v>
      </c>
      <c r="AF56" s="193">
        <f t="shared" si="36"/>
        <v>10.447933231155361</v>
      </c>
      <c r="AG56" s="193">
        <f t="shared" si="37"/>
        <v>53.105304231589933</v>
      </c>
      <c r="AH56" s="193">
        <f t="shared" si="38"/>
        <v>8.7013233363872846</v>
      </c>
      <c r="AI56" s="198">
        <f t="shared" si="39"/>
        <v>72.254560799132577</v>
      </c>
      <c r="AK56" s="71">
        <v>51</v>
      </c>
      <c r="AL56" s="33">
        <f t="shared" si="10"/>
        <v>35</v>
      </c>
      <c r="AM56" s="33">
        <f t="shared" si="11"/>
        <v>0.3</v>
      </c>
      <c r="AN56" s="33">
        <f t="shared" si="12"/>
        <v>0.39200000000000002</v>
      </c>
      <c r="AO56" s="33">
        <f t="shared" si="13"/>
        <v>0.308</v>
      </c>
      <c r="AP56" s="33">
        <f t="shared" si="14"/>
        <v>0</v>
      </c>
      <c r="AQ56" s="193">
        <f t="shared" si="41"/>
        <v>10.5</v>
      </c>
      <c r="AR56" s="193">
        <f t="shared" si="42"/>
        <v>13.72</v>
      </c>
      <c r="AS56" s="193">
        <f t="shared" si="43"/>
        <v>10.78</v>
      </c>
      <c r="AT56" s="193">
        <f t="shared" si="44"/>
        <v>0</v>
      </c>
      <c r="AU56" s="33"/>
      <c r="AV56" s="33"/>
      <c r="AW56" s="33"/>
      <c r="AX56" s="33"/>
      <c r="AY56" s="76"/>
    </row>
    <row r="57" spans="2:51">
      <c r="B57" s="40">
        <f t="shared" si="34"/>
        <v>91</v>
      </c>
      <c r="C57" s="151">
        <f t="shared" si="40"/>
        <v>95</v>
      </c>
      <c r="D57" s="136">
        <f>D58+15</f>
        <v>467</v>
      </c>
      <c r="E57" s="140">
        <f t="shared" si="32"/>
        <v>1.3</v>
      </c>
      <c r="F57" s="42">
        <f t="shared" si="45"/>
        <v>607.1</v>
      </c>
      <c r="G57" s="51">
        <f t="shared" si="46"/>
        <v>9.75</v>
      </c>
      <c r="I57" s="55">
        <v>52</v>
      </c>
      <c r="J57" s="33">
        <f t="shared" si="21"/>
        <v>15.749999999999998</v>
      </c>
      <c r="K57" s="33">
        <f t="shared" si="22"/>
        <v>5.2658582710976578</v>
      </c>
      <c r="L57" s="33">
        <f t="shared" si="23"/>
        <v>70</v>
      </c>
      <c r="M57" s="33">
        <f t="shared" si="24"/>
        <v>10</v>
      </c>
      <c r="N57" s="33">
        <f t="shared" si="0"/>
        <v>0</v>
      </c>
      <c r="O57" s="34">
        <f t="shared" si="1"/>
        <v>329.9359531554951</v>
      </c>
      <c r="P57" s="55">
        <v>52</v>
      </c>
      <c r="Q57" s="33">
        <f t="shared" si="19"/>
        <v>22.099999999999994</v>
      </c>
      <c r="R57" s="33">
        <f t="shared" si="25"/>
        <v>336.69999999999993</v>
      </c>
      <c r="S57" s="33">
        <f t="shared" si="26"/>
        <v>148.14799999999997</v>
      </c>
      <c r="T57" s="33">
        <f t="shared" si="2"/>
        <v>38.157408146809708</v>
      </c>
      <c r="U57" s="33">
        <f t="shared" si="20"/>
        <v>70</v>
      </c>
      <c r="V57" s="33">
        <f t="shared" si="3"/>
        <v>10</v>
      </c>
      <c r="W57" s="33">
        <v>0</v>
      </c>
      <c r="X57" s="33">
        <f t="shared" si="4"/>
        <v>617.81525252236031</v>
      </c>
      <c r="Y57" s="38">
        <f t="shared" si="5"/>
        <v>287.87929936686521</v>
      </c>
      <c r="AA57" s="71">
        <v>52</v>
      </c>
      <c r="AB57" s="33">
        <f t="shared" si="6"/>
        <v>0</v>
      </c>
      <c r="AC57" s="304">
        <f t="shared" si="7"/>
        <v>0</v>
      </c>
      <c r="AD57" s="100">
        <f t="shared" si="8"/>
        <v>0</v>
      </c>
      <c r="AE57" s="100">
        <f t="shared" si="9"/>
        <v>0</v>
      </c>
      <c r="AF57" s="193">
        <f t="shared" si="36"/>
        <v>10.243055633102433</v>
      </c>
      <c r="AG57" s="193">
        <f t="shared" si="37"/>
        <v>51.653136894690533</v>
      </c>
      <c r="AH57" s="193">
        <f t="shared" si="38"/>
        <v>6.1527647364562039</v>
      </c>
      <c r="AI57" s="198">
        <f t="shared" si="39"/>
        <v>68.048957264249168</v>
      </c>
      <c r="AK57" s="71">
        <v>52</v>
      </c>
      <c r="AL57" s="33">
        <f t="shared" si="10"/>
        <v>0</v>
      </c>
      <c r="AM57" s="33">
        <f t="shared" si="11"/>
        <v>0</v>
      </c>
      <c r="AN57" s="33">
        <f t="shared" si="12"/>
        <v>0</v>
      </c>
      <c r="AO57" s="33">
        <f t="shared" si="13"/>
        <v>0</v>
      </c>
      <c r="AP57" s="33">
        <f t="shared" si="14"/>
        <v>0</v>
      </c>
      <c r="AQ57" s="193">
        <f t="shared" si="41"/>
        <v>0</v>
      </c>
      <c r="AR57" s="193">
        <f t="shared" si="42"/>
        <v>0</v>
      </c>
      <c r="AS57" s="193">
        <f t="shared" si="43"/>
        <v>0</v>
      </c>
      <c r="AT57" s="193">
        <f t="shared" si="44"/>
        <v>0</v>
      </c>
      <c r="AU57" s="33"/>
      <c r="AV57" s="33"/>
      <c r="AW57" s="33"/>
      <c r="AX57" s="33"/>
      <c r="AY57" s="76"/>
    </row>
    <row r="58" spans="2:51">
      <c r="B58" s="40">
        <f t="shared" si="34"/>
        <v>95</v>
      </c>
      <c r="C58" s="151">
        <f t="shared" si="40"/>
        <v>96</v>
      </c>
      <c r="D58" s="136">
        <v>452</v>
      </c>
      <c r="E58" s="140">
        <f t="shared" si="32"/>
        <v>1.3</v>
      </c>
      <c r="F58" s="42">
        <f t="shared" si="45"/>
        <v>587.6</v>
      </c>
      <c r="G58" s="51">
        <f t="shared" si="46"/>
        <v>-19.5</v>
      </c>
      <c r="I58" s="55">
        <v>53</v>
      </c>
      <c r="J58" s="33">
        <f t="shared" si="21"/>
        <v>16.169999999999998</v>
      </c>
      <c r="K58" s="33">
        <f t="shared" si="22"/>
        <v>5.3897452501624228</v>
      </c>
      <c r="L58" s="33">
        <f t="shared" si="23"/>
        <v>70</v>
      </c>
      <c r="M58" s="33">
        <f t="shared" si="24"/>
        <v>10</v>
      </c>
      <c r="N58" s="33">
        <f t="shared" si="0"/>
        <v>0</v>
      </c>
      <c r="O58" s="34">
        <f t="shared" si="1"/>
        <v>330.88322297736619</v>
      </c>
      <c r="P58" s="55">
        <v>53</v>
      </c>
      <c r="Q58" s="33">
        <f t="shared" si="19"/>
        <v>22.099999999999994</v>
      </c>
      <c r="R58" s="33">
        <f t="shared" si="25"/>
        <v>358.79999999999995</v>
      </c>
      <c r="S58" s="33">
        <f t="shared" si="26"/>
        <v>157.87199999999999</v>
      </c>
      <c r="T58" s="33">
        <f t="shared" si="2"/>
        <v>40.362165684361159</v>
      </c>
      <c r="U58" s="33">
        <f t="shared" si="20"/>
        <v>70</v>
      </c>
      <c r="V58" s="33">
        <f t="shared" si="3"/>
        <v>10</v>
      </c>
      <c r="W58" s="33">
        <v>0</v>
      </c>
      <c r="X58" s="33">
        <f t="shared" si="4"/>
        <v>638.59117190026234</v>
      </c>
      <c r="Y58" s="38">
        <f t="shared" si="5"/>
        <v>307.70794892289615</v>
      </c>
      <c r="AA58" s="71">
        <v>53</v>
      </c>
      <c r="AB58" s="33">
        <f t="shared" si="6"/>
        <v>0</v>
      </c>
      <c r="AC58" s="304">
        <f t="shared" si="7"/>
        <v>0</v>
      </c>
      <c r="AD58" s="100">
        <f t="shared" si="8"/>
        <v>0</v>
      </c>
      <c r="AE58" s="100">
        <f t="shared" si="9"/>
        <v>0</v>
      </c>
      <c r="AF58" s="193">
        <f t="shared" si="36"/>
        <v>10.042195559784327</v>
      </c>
      <c r="AG58" s="193">
        <f t="shared" si="37"/>
        <v>50.240679149984807</v>
      </c>
      <c r="AH58" s="193">
        <f t="shared" si="38"/>
        <v>4.3506616681936432</v>
      </c>
      <c r="AI58" s="198">
        <f t="shared" si="39"/>
        <v>64.63353637796277</v>
      </c>
      <c r="AK58" s="71">
        <v>53</v>
      </c>
      <c r="AL58" s="33">
        <f t="shared" si="10"/>
        <v>0</v>
      </c>
      <c r="AM58" s="33">
        <f t="shared" si="11"/>
        <v>0</v>
      </c>
      <c r="AN58" s="33">
        <f t="shared" si="12"/>
        <v>0</v>
      </c>
      <c r="AO58" s="33">
        <f t="shared" si="13"/>
        <v>0</v>
      </c>
      <c r="AP58" s="33">
        <f t="shared" si="14"/>
        <v>0</v>
      </c>
      <c r="AQ58" s="193">
        <f t="shared" si="41"/>
        <v>0</v>
      </c>
      <c r="AR58" s="193">
        <f t="shared" si="42"/>
        <v>0</v>
      </c>
      <c r="AS58" s="193">
        <f t="shared" si="43"/>
        <v>0</v>
      </c>
      <c r="AT58" s="193">
        <f t="shared" si="44"/>
        <v>0</v>
      </c>
      <c r="AU58" s="33"/>
      <c r="AV58" s="33"/>
      <c r="AW58" s="33"/>
      <c r="AX58" s="33"/>
      <c r="AY58" s="76"/>
    </row>
    <row r="59" spans="2:51">
      <c r="B59" s="40">
        <f t="shared" si="34"/>
        <v>96</v>
      </c>
      <c r="C59" s="151">
        <f t="shared" si="40"/>
        <v>100</v>
      </c>
      <c r="D59" s="136">
        <f>D60+12</f>
        <v>477</v>
      </c>
      <c r="E59" s="140">
        <f t="shared" si="32"/>
        <v>1.3</v>
      </c>
      <c r="F59" s="42">
        <f t="shared" si="45"/>
        <v>620.1</v>
      </c>
      <c r="G59" s="51">
        <f t="shared" si="46"/>
        <v>8.125</v>
      </c>
      <c r="I59" s="55">
        <v>54</v>
      </c>
      <c r="J59" s="33">
        <f t="shared" si="21"/>
        <v>16.59</v>
      </c>
      <c r="K59" s="33">
        <f t="shared" si="22"/>
        <v>5.5132581934290155</v>
      </c>
      <c r="L59" s="33">
        <f t="shared" si="23"/>
        <v>70</v>
      </c>
      <c r="M59" s="33">
        <f t="shared" si="24"/>
        <v>10</v>
      </c>
      <c r="N59" s="33">
        <f t="shared" si="0"/>
        <v>0</v>
      </c>
      <c r="O59" s="34">
        <f t="shared" si="1"/>
        <v>331.82984135355554</v>
      </c>
      <c r="P59" s="55">
        <v>54</v>
      </c>
      <c r="Q59" s="33">
        <f t="shared" si="19"/>
        <v>22.099999999999994</v>
      </c>
      <c r="R59" s="33">
        <f t="shared" si="25"/>
        <v>380.9</v>
      </c>
      <c r="S59" s="33">
        <f t="shared" si="26"/>
        <v>167.596</v>
      </c>
      <c r="T59" s="33">
        <f t="shared" si="2"/>
        <v>42.551162081161131</v>
      </c>
      <c r="U59" s="33">
        <f t="shared" si="20"/>
        <v>70</v>
      </c>
      <c r="V59" s="33">
        <f t="shared" si="3"/>
        <v>10</v>
      </c>
      <c r="W59" s="33">
        <v>0</v>
      </c>
      <c r="X59" s="33">
        <f t="shared" si="4"/>
        <v>659.33964062468897</v>
      </c>
      <c r="Y59" s="38">
        <f t="shared" si="5"/>
        <v>327.50979927113343</v>
      </c>
      <c r="AA59" s="71">
        <v>54</v>
      </c>
      <c r="AB59" s="33">
        <f t="shared" si="6"/>
        <v>0</v>
      </c>
      <c r="AC59" s="304">
        <f t="shared" si="7"/>
        <v>0</v>
      </c>
      <c r="AD59" s="100">
        <f t="shared" si="8"/>
        <v>0</v>
      </c>
      <c r="AE59" s="100">
        <f t="shared" si="9"/>
        <v>0</v>
      </c>
      <c r="AF59" s="193">
        <f t="shared" si="36"/>
        <v>9.8452742299914409</v>
      </c>
      <c r="AG59" s="193">
        <f t="shared" si="37"/>
        <v>48.86684513658598</v>
      </c>
      <c r="AH59" s="193">
        <f t="shared" si="38"/>
        <v>3.0763823682281024</v>
      </c>
      <c r="AI59" s="198">
        <f t="shared" si="39"/>
        <v>61.788501734805521</v>
      </c>
      <c r="AK59" s="71">
        <v>54</v>
      </c>
      <c r="AL59" s="33">
        <f t="shared" si="10"/>
        <v>0</v>
      </c>
      <c r="AM59" s="33">
        <f t="shared" si="11"/>
        <v>0</v>
      </c>
      <c r="AN59" s="33">
        <f t="shared" si="12"/>
        <v>0</v>
      </c>
      <c r="AO59" s="33">
        <f t="shared" si="13"/>
        <v>0</v>
      </c>
      <c r="AP59" s="33">
        <f t="shared" si="14"/>
        <v>0</v>
      </c>
      <c r="AQ59" s="193">
        <f t="shared" si="41"/>
        <v>0</v>
      </c>
      <c r="AR59" s="193">
        <f t="shared" si="42"/>
        <v>0</v>
      </c>
      <c r="AS59" s="193">
        <f t="shared" si="43"/>
        <v>0</v>
      </c>
      <c r="AT59" s="193">
        <f t="shared" si="44"/>
        <v>0</v>
      </c>
      <c r="AU59" s="33"/>
      <c r="AV59" s="33"/>
      <c r="AW59" s="33"/>
      <c r="AX59" s="33"/>
      <c r="AY59" s="76"/>
    </row>
    <row r="60" spans="2:51">
      <c r="B60" s="40">
        <f t="shared" si="34"/>
        <v>100</v>
      </c>
      <c r="C60" s="151">
        <f t="shared" si="40"/>
        <v>101</v>
      </c>
      <c r="D60" s="136">
        <v>465</v>
      </c>
      <c r="E60" s="140">
        <f t="shared" si="32"/>
        <v>1.3</v>
      </c>
      <c r="F60" s="42">
        <f t="shared" si="45"/>
        <v>604.5</v>
      </c>
      <c r="G60" s="51">
        <f t="shared" si="46"/>
        <v>-15.600000000000023</v>
      </c>
      <c r="I60" s="55">
        <v>55</v>
      </c>
      <c r="J60" s="33">
        <f t="shared" si="21"/>
        <v>17.010000000000002</v>
      </c>
      <c r="K60" s="33">
        <f t="shared" si="22"/>
        <v>5.6364076591011436</v>
      </c>
      <c r="L60" s="33">
        <f t="shared" si="23"/>
        <v>70</v>
      </c>
      <c r="M60" s="33">
        <f t="shared" si="24"/>
        <v>10</v>
      </c>
      <c r="N60" s="33">
        <f t="shared" si="0"/>
        <v>0</v>
      </c>
      <c r="O60" s="34">
        <f t="shared" si="1"/>
        <v>332.7758266729345</v>
      </c>
      <c r="P60" s="55">
        <v>55</v>
      </c>
      <c r="Q60" s="33">
        <f t="shared" si="19"/>
        <v>22.099999999999994</v>
      </c>
      <c r="R60" s="33">
        <f t="shared" si="25"/>
        <v>403</v>
      </c>
      <c r="S60" s="33">
        <f t="shared" si="26"/>
        <v>177.32</v>
      </c>
      <c r="T60" s="33">
        <f t="shared" si="2"/>
        <v>44.725415986136333</v>
      </c>
      <c r="U60" s="33">
        <f t="shared" si="20"/>
        <v>70</v>
      </c>
      <c r="V60" s="33">
        <f t="shared" si="3"/>
        <v>10</v>
      </c>
      <c r="W60" s="33">
        <v>0</v>
      </c>
      <c r="X60" s="33">
        <f t="shared" si="4"/>
        <v>680.06243284252071</v>
      </c>
      <c r="Y60" s="38">
        <f t="shared" si="5"/>
        <v>347.28660616958621</v>
      </c>
      <c r="AA60" s="71">
        <v>55</v>
      </c>
      <c r="AB60" s="33">
        <f t="shared" si="6"/>
        <v>0</v>
      </c>
      <c r="AC60" s="304">
        <f t="shared" si="7"/>
        <v>0</v>
      </c>
      <c r="AD60" s="100">
        <f t="shared" si="8"/>
        <v>0</v>
      </c>
      <c r="AE60" s="100">
        <f t="shared" si="9"/>
        <v>0</v>
      </c>
      <c r="AF60" s="193">
        <f t="shared" si="36"/>
        <v>9.6522144073656424</v>
      </c>
      <c r="AG60" s="193">
        <f t="shared" si="37"/>
        <v>47.53057868653034</v>
      </c>
      <c r="AH60" s="193">
        <f t="shared" si="38"/>
        <v>2.175330834096822</v>
      </c>
      <c r="AI60" s="198">
        <f t="shared" si="39"/>
        <v>59.3581239279928</v>
      </c>
      <c r="AK60" s="71">
        <v>55</v>
      </c>
      <c r="AL60" s="33">
        <f t="shared" si="10"/>
        <v>0</v>
      </c>
      <c r="AM60" s="33">
        <f t="shared" si="11"/>
        <v>0</v>
      </c>
      <c r="AN60" s="33">
        <f t="shared" si="12"/>
        <v>0</v>
      </c>
      <c r="AO60" s="33">
        <f t="shared" si="13"/>
        <v>0</v>
      </c>
      <c r="AP60" s="33">
        <f t="shared" si="14"/>
        <v>0</v>
      </c>
      <c r="AQ60" s="193">
        <f t="shared" si="41"/>
        <v>0</v>
      </c>
      <c r="AR60" s="193">
        <f t="shared" si="42"/>
        <v>0</v>
      </c>
      <c r="AS60" s="193">
        <f t="shared" si="43"/>
        <v>0</v>
      </c>
      <c r="AT60" s="193">
        <f t="shared" si="44"/>
        <v>0</v>
      </c>
      <c r="AU60" s="33"/>
      <c r="AV60" s="33"/>
      <c r="AW60" s="33"/>
      <c r="AX60" s="33"/>
      <c r="AY60" s="76"/>
    </row>
    <row r="61" spans="2:51">
      <c r="B61" s="40"/>
      <c r="C61" s="151"/>
      <c r="D61" s="136"/>
      <c r="E61" s="140"/>
      <c r="F61" s="42"/>
      <c r="G61" s="51"/>
      <c r="I61" s="55">
        <v>56</v>
      </c>
      <c r="J61" s="33">
        <f t="shared" si="21"/>
        <v>17.430000000000003</v>
      </c>
      <c r="K61" s="33">
        <f t="shared" si="22"/>
        <v>5.7592036542680249</v>
      </c>
      <c r="L61" s="33">
        <f t="shared" si="23"/>
        <v>70</v>
      </c>
      <c r="M61" s="33">
        <f t="shared" si="24"/>
        <v>10</v>
      </c>
      <c r="N61" s="33">
        <f t="shared" si="0"/>
        <v>0</v>
      </c>
      <c r="O61" s="34">
        <f t="shared" si="1"/>
        <v>333.72119636451686</v>
      </c>
      <c r="P61" s="55">
        <v>56</v>
      </c>
      <c r="Q61" s="33">
        <f t="shared" si="19"/>
        <v>-45.5</v>
      </c>
      <c r="R61" s="33">
        <f t="shared" si="25"/>
        <v>357.5</v>
      </c>
      <c r="S61" s="33">
        <f t="shared" si="26"/>
        <v>157.30000000000001</v>
      </c>
      <c r="T61" s="33">
        <f t="shared" si="2"/>
        <v>40.232920973447101</v>
      </c>
      <c r="U61" s="33">
        <f t="shared" si="20"/>
        <v>70</v>
      </c>
      <c r="V61" s="33">
        <f t="shared" si="3"/>
        <v>10</v>
      </c>
      <c r="W61" s="33">
        <v>0</v>
      </c>
      <c r="X61" s="33">
        <f t="shared" si="4"/>
        <v>637.36983736208697</v>
      </c>
      <c r="Y61" s="38">
        <f t="shared" si="5"/>
        <v>303.64864099757011</v>
      </c>
      <c r="AA61" s="71">
        <v>56</v>
      </c>
      <c r="AB61" s="33">
        <f t="shared" si="6"/>
        <v>35</v>
      </c>
      <c r="AC61" s="304">
        <f t="shared" si="7"/>
        <v>0.15</v>
      </c>
      <c r="AD61" s="100">
        <f t="shared" si="8"/>
        <v>0.39200000000000002</v>
      </c>
      <c r="AE61" s="100">
        <f t="shared" si="9"/>
        <v>0.308</v>
      </c>
      <c r="AF61" s="193">
        <f t="shared" si="36"/>
        <v>13.44661342979161</v>
      </c>
      <c r="AG61" s="193">
        <f t="shared" si="37"/>
        <v>56.600527351573362</v>
      </c>
      <c r="AH61" s="193">
        <f t="shared" si="38"/>
        <v>8.5197166878298454</v>
      </c>
      <c r="AI61" s="198">
        <f t="shared" si="39"/>
        <v>78.566857469194815</v>
      </c>
      <c r="AK61" s="71">
        <v>56</v>
      </c>
      <c r="AL61" s="33">
        <f t="shared" si="10"/>
        <v>35</v>
      </c>
      <c r="AM61" s="33">
        <f t="shared" si="11"/>
        <v>0.3</v>
      </c>
      <c r="AN61" s="33">
        <f t="shared" si="12"/>
        <v>0.39200000000000002</v>
      </c>
      <c r="AO61" s="33">
        <f t="shared" si="13"/>
        <v>0.308</v>
      </c>
      <c r="AP61" s="33">
        <f t="shared" si="14"/>
        <v>0</v>
      </c>
      <c r="AQ61" s="193">
        <f t="shared" si="41"/>
        <v>10.5</v>
      </c>
      <c r="AR61" s="193">
        <f t="shared" si="42"/>
        <v>13.72</v>
      </c>
      <c r="AS61" s="193">
        <f t="shared" si="43"/>
        <v>10.78</v>
      </c>
      <c r="AT61" s="193">
        <f t="shared" si="44"/>
        <v>0</v>
      </c>
      <c r="AU61" s="33"/>
      <c r="AV61" s="33"/>
      <c r="AW61" s="33"/>
      <c r="AX61" s="33"/>
      <c r="AY61" s="76"/>
    </row>
    <row r="62" spans="2:51">
      <c r="B62" s="40"/>
      <c r="C62" s="151"/>
      <c r="D62" s="136"/>
      <c r="E62" s="140"/>
      <c r="F62" s="42"/>
      <c r="G62" s="51"/>
      <c r="I62" s="55">
        <v>57</v>
      </c>
      <c r="J62" s="33">
        <f t="shared" si="21"/>
        <v>17.850000000000005</v>
      </c>
      <c r="K62" s="33">
        <f t="shared" si="22"/>
        <v>5.8816556762478864</v>
      </c>
      <c r="L62" s="33">
        <f t="shared" si="23"/>
        <v>70</v>
      </c>
      <c r="M62" s="33">
        <f t="shared" si="24"/>
        <v>10</v>
      </c>
      <c r="N62" s="33">
        <f t="shared" si="0"/>
        <v>0</v>
      </c>
      <c r="O62" s="34">
        <f t="shared" si="1"/>
        <v>334.66596696946505</v>
      </c>
      <c r="P62" s="55">
        <v>57</v>
      </c>
      <c r="Q62" s="33">
        <f t="shared" si="19"/>
        <v>21.450000000000003</v>
      </c>
      <c r="R62" s="33">
        <f t="shared" si="25"/>
        <v>378.95</v>
      </c>
      <c r="S62" s="33">
        <f t="shared" si="26"/>
        <v>166.738</v>
      </c>
      <c r="T62" s="33">
        <f t="shared" si="2"/>
        <v>42.358622333631715</v>
      </c>
      <c r="U62" s="33">
        <f t="shared" si="20"/>
        <v>70</v>
      </c>
      <c r="V62" s="33">
        <f t="shared" si="3"/>
        <v>10</v>
      </c>
      <c r="W62" s="33">
        <v>0</v>
      </c>
      <c r="X62" s="33">
        <f t="shared" si="4"/>
        <v>657.50995056440854</v>
      </c>
      <c r="Y62" s="38">
        <f t="shared" si="5"/>
        <v>322.8439835949435</v>
      </c>
      <c r="AA62" s="71">
        <v>57</v>
      </c>
      <c r="AB62" s="33">
        <f t="shared" si="6"/>
        <v>0</v>
      </c>
      <c r="AC62" s="304">
        <f t="shared" si="7"/>
        <v>0</v>
      </c>
      <c r="AD62" s="100">
        <f t="shared" si="8"/>
        <v>0</v>
      </c>
      <c r="AE62" s="100">
        <f t="shared" si="9"/>
        <v>0</v>
      </c>
      <c r="AF62" s="193">
        <f t="shared" si="36"/>
        <v>13.182933542057745</v>
      </c>
      <c r="AG62" s="193">
        <f t="shared" si="37"/>
        <v>55.052782954652216</v>
      </c>
      <c r="AH62" s="193">
        <f t="shared" si="38"/>
        <v>6.0243494437526763</v>
      </c>
      <c r="AI62" s="198">
        <f t="shared" si="39"/>
        <v>74.260065940462624</v>
      </c>
      <c r="AK62" s="71">
        <v>57</v>
      </c>
      <c r="AL62" s="33">
        <f t="shared" si="10"/>
        <v>0</v>
      </c>
      <c r="AM62" s="33">
        <f t="shared" si="11"/>
        <v>0</v>
      </c>
      <c r="AN62" s="33">
        <f t="shared" si="12"/>
        <v>0</v>
      </c>
      <c r="AO62" s="33">
        <f t="shared" si="13"/>
        <v>0</v>
      </c>
      <c r="AP62" s="33">
        <f t="shared" si="14"/>
        <v>0</v>
      </c>
      <c r="AQ62" s="193">
        <f t="shared" si="41"/>
        <v>0</v>
      </c>
      <c r="AR62" s="193">
        <f t="shared" si="42"/>
        <v>0</v>
      </c>
      <c r="AS62" s="193">
        <f t="shared" si="43"/>
        <v>0</v>
      </c>
      <c r="AT62" s="193">
        <f t="shared" si="44"/>
        <v>0</v>
      </c>
      <c r="AU62" s="33"/>
      <c r="AV62" s="33"/>
      <c r="AW62" s="33"/>
      <c r="AX62" s="33"/>
      <c r="AY62" s="76"/>
    </row>
    <row r="63" spans="2:51">
      <c r="B63" s="40"/>
      <c r="C63" s="151"/>
      <c r="D63" s="136"/>
      <c r="E63" s="140"/>
      <c r="F63" s="42"/>
      <c r="G63" s="51"/>
      <c r="I63" s="55">
        <v>58</v>
      </c>
      <c r="J63" s="33">
        <f t="shared" si="21"/>
        <v>18.270000000000007</v>
      </c>
      <c r="K63" s="33">
        <f t="shared" si="22"/>
        <v>6.0037727499306985</v>
      </c>
      <c r="L63" s="33">
        <f t="shared" si="23"/>
        <v>70</v>
      </c>
      <c r="M63" s="33">
        <f t="shared" si="24"/>
        <v>10</v>
      </c>
      <c r="N63" s="33">
        <f t="shared" si="0"/>
        <v>0</v>
      </c>
      <c r="O63" s="34">
        <f t="shared" si="1"/>
        <v>335.61015420612932</v>
      </c>
      <c r="P63" s="55">
        <v>58</v>
      </c>
      <c r="Q63" s="33">
        <f t="shared" si="19"/>
        <v>21.450000000000003</v>
      </c>
      <c r="R63" s="33">
        <f t="shared" si="25"/>
        <v>400.4</v>
      </c>
      <c r="S63" s="33">
        <f t="shared" si="26"/>
        <v>176.17599999999999</v>
      </c>
      <c r="T63" s="33">
        <f t="shared" si="2"/>
        <v>44.470356294507788</v>
      </c>
      <c r="U63" s="33">
        <f t="shared" si="20"/>
        <v>70</v>
      </c>
      <c r="V63" s="33">
        <f t="shared" si="3"/>
        <v>10</v>
      </c>
      <c r="W63" s="33">
        <v>0</v>
      </c>
      <c r="X63" s="33">
        <f t="shared" si="4"/>
        <v>677.62573721293438</v>
      </c>
      <c r="Y63" s="38">
        <f t="shared" si="5"/>
        <v>342.01558300680506</v>
      </c>
      <c r="AA63" s="71">
        <v>58</v>
      </c>
      <c r="AB63" s="33">
        <f t="shared" si="6"/>
        <v>0</v>
      </c>
      <c r="AC63" s="304">
        <f t="shared" si="7"/>
        <v>0</v>
      </c>
      <c r="AD63" s="100">
        <f t="shared" si="8"/>
        <v>0</v>
      </c>
      <c r="AE63" s="100">
        <f t="shared" si="9"/>
        <v>0</v>
      </c>
      <c r="AF63" s="193">
        <f t="shared" si="36"/>
        <v>12.92442425609349</v>
      </c>
      <c r="AG63" s="193">
        <f t="shared" si="37"/>
        <v>53.547361709657217</v>
      </c>
      <c r="AH63" s="193">
        <f t="shared" si="38"/>
        <v>4.2598583439149236</v>
      </c>
      <c r="AI63" s="198">
        <f t="shared" si="39"/>
        <v>70.73164430966564</v>
      </c>
      <c r="AK63" s="71">
        <v>58</v>
      </c>
      <c r="AL63" s="33">
        <f t="shared" si="10"/>
        <v>0</v>
      </c>
      <c r="AM63" s="33">
        <f t="shared" si="11"/>
        <v>0</v>
      </c>
      <c r="AN63" s="33">
        <f t="shared" si="12"/>
        <v>0</v>
      </c>
      <c r="AO63" s="33">
        <f t="shared" si="13"/>
        <v>0</v>
      </c>
      <c r="AP63" s="33">
        <f t="shared" si="14"/>
        <v>0</v>
      </c>
      <c r="AQ63" s="193">
        <f t="shared" si="41"/>
        <v>0</v>
      </c>
      <c r="AR63" s="193">
        <f t="shared" si="42"/>
        <v>0</v>
      </c>
      <c r="AS63" s="193">
        <f t="shared" si="43"/>
        <v>0</v>
      </c>
      <c r="AT63" s="193">
        <f t="shared" si="44"/>
        <v>0</v>
      </c>
      <c r="AU63" s="33"/>
      <c r="AV63" s="33"/>
      <c r="AW63" s="33"/>
      <c r="AX63" s="33"/>
      <c r="AY63" s="76"/>
    </row>
    <row r="64" spans="2:51">
      <c r="B64" s="40"/>
      <c r="C64" s="151"/>
      <c r="D64" s="136"/>
      <c r="E64" s="140"/>
      <c r="F64" s="42"/>
      <c r="G64" s="51"/>
      <c r="I64" s="55">
        <v>59</v>
      </c>
      <c r="J64" s="33">
        <f t="shared" si="21"/>
        <v>18.690000000000008</v>
      </c>
      <c r="K64" s="33">
        <f t="shared" si="22"/>
        <v>6.1255634615903167</v>
      </c>
      <c r="L64" s="33">
        <f t="shared" si="23"/>
        <v>70</v>
      </c>
      <c r="M64" s="33">
        <f t="shared" si="24"/>
        <v>10</v>
      </c>
      <c r="N64" s="33">
        <f t="shared" si="0"/>
        <v>0</v>
      </c>
      <c r="O64" s="34">
        <f t="shared" si="1"/>
        <v>336.55377302893652</v>
      </c>
      <c r="P64" s="55">
        <v>59</v>
      </c>
      <c r="Q64" s="33">
        <f t="shared" si="19"/>
        <v>21.450000000000003</v>
      </c>
      <c r="R64" s="33">
        <f t="shared" si="25"/>
        <v>421.84999999999997</v>
      </c>
      <c r="S64" s="33">
        <f t="shared" si="26"/>
        <v>185.61399999999998</v>
      </c>
      <c r="T64" s="33">
        <f t="shared" si="2"/>
        <v>46.568956425366238</v>
      </c>
      <c r="U64" s="33">
        <f t="shared" si="20"/>
        <v>70</v>
      </c>
      <c r="V64" s="33">
        <f t="shared" si="3"/>
        <v>10</v>
      </c>
      <c r="W64" s="33">
        <v>0</v>
      </c>
      <c r="X64" s="33">
        <f t="shared" si="4"/>
        <v>697.71864910751276</v>
      </c>
      <c r="Y64" s="38">
        <f t="shared" si="5"/>
        <v>361.16487607857624</v>
      </c>
      <c r="AA64" s="71">
        <v>59</v>
      </c>
      <c r="AB64" s="33">
        <f t="shared" si="6"/>
        <v>0</v>
      </c>
      <c r="AC64" s="304">
        <f t="shared" si="7"/>
        <v>0</v>
      </c>
      <c r="AD64" s="100">
        <f t="shared" si="8"/>
        <v>0</v>
      </c>
      <c r="AE64" s="100">
        <f t="shared" si="9"/>
        <v>0</v>
      </c>
      <c r="AF64" s="193">
        <f t="shared" si="36"/>
        <v>12.670984179551899</v>
      </c>
      <c r="AG64" s="193">
        <f t="shared" si="37"/>
        <v>52.083106287773269</v>
      </c>
      <c r="AH64" s="193">
        <f t="shared" si="38"/>
        <v>3.0121747218763386</v>
      </c>
      <c r="AI64" s="198">
        <f t="shared" si="39"/>
        <v>67.766265189201505</v>
      </c>
      <c r="AK64" s="71">
        <v>59</v>
      </c>
      <c r="AL64" s="33">
        <f t="shared" si="10"/>
        <v>0</v>
      </c>
      <c r="AM64" s="33">
        <f t="shared" si="11"/>
        <v>0</v>
      </c>
      <c r="AN64" s="33">
        <f t="shared" si="12"/>
        <v>0</v>
      </c>
      <c r="AO64" s="33">
        <f t="shared" si="13"/>
        <v>0</v>
      </c>
      <c r="AP64" s="33">
        <f t="shared" si="14"/>
        <v>0</v>
      </c>
      <c r="AQ64" s="193">
        <f t="shared" si="41"/>
        <v>0</v>
      </c>
      <c r="AR64" s="193">
        <f t="shared" si="42"/>
        <v>0</v>
      </c>
      <c r="AS64" s="193">
        <f t="shared" si="43"/>
        <v>0</v>
      </c>
      <c r="AT64" s="193">
        <f t="shared" si="44"/>
        <v>0</v>
      </c>
      <c r="AU64" s="33"/>
      <c r="AV64" s="33"/>
      <c r="AW64" s="33"/>
      <c r="AX64" s="33"/>
      <c r="AY64" s="76"/>
    </row>
    <row r="65" spans="2:51">
      <c r="B65" s="40"/>
      <c r="C65" s="151"/>
      <c r="D65" s="136"/>
      <c r="E65" s="140"/>
      <c r="F65" s="42"/>
      <c r="G65" s="51"/>
      <c r="I65" s="55">
        <v>60</v>
      </c>
      <c r="J65" s="33">
        <f t="shared" si="21"/>
        <v>19.11000000000001</v>
      </c>
      <c r="K65" s="33">
        <f t="shared" si="22"/>
        <v>6.2470359895716525</v>
      </c>
      <c r="L65" s="33">
        <f t="shared" si="23"/>
        <v>70</v>
      </c>
      <c r="M65" s="33">
        <f t="shared" si="24"/>
        <v>10</v>
      </c>
      <c r="N65" s="33">
        <f t="shared" si="0"/>
        <v>0</v>
      </c>
      <c r="O65" s="34">
        <f t="shared" si="1"/>
        <v>337.49683768183735</v>
      </c>
      <c r="P65" s="55">
        <v>60</v>
      </c>
      <c r="Q65" s="33">
        <f t="shared" si="19"/>
        <v>21.450000000000003</v>
      </c>
      <c r="R65" s="33">
        <f t="shared" si="25"/>
        <v>443.29999999999995</v>
      </c>
      <c r="S65" s="33">
        <f t="shared" si="26"/>
        <v>195.05199999999999</v>
      </c>
      <c r="T65" s="33">
        <f t="shared" si="2"/>
        <v>48.655166737483917</v>
      </c>
      <c r="U65" s="33">
        <f t="shared" si="20"/>
        <v>70</v>
      </c>
      <c r="V65" s="33">
        <f t="shared" si="3"/>
        <v>10</v>
      </c>
      <c r="W65" s="33">
        <v>0</v>
      </c>
      <c r="X65" s="33">
        <f t="shared" si="4"/>
        <v>717.78998206778442</v>
      </c>
      <c r="Y65" s="38">
        <f t="shared" si="5"/>
        <v>380.29314438594707</v>
      </c>
      <c r="AA65" s="71">
        <v>60</v>
      </c>
      <c r="AB65" s="33">
        <f t="shared" si="6"/>
        <v>0</v>
      </c>
      <c r="AC65" s="304">
        <f t="shared" si="7"/>
        <v>0</v>
      </c>
      <c r="AD65" s="100">
        <f t="shared" si="8"/>
        <v>0</v>
      </c>
      <c r="AE65" s="100">
        <f t="shared" si="9"/>
        <v>0</v>
      </c>
      <c r="AF65" s="193">
        <f t="shared" si="36"/>
        <v>12.422513908328106</v>
      </c>
      <c r="AG65" s="193">
        <f t="shared" si="37"/>
        <v>50.658891007402588</v>
      </c>
      <c r="AH65" s="193">
        <f t="shared" si="38"/>
        <v>2.1299291719574618</v>
      </c>
      <c r="AI65" s="198">
        <f t="shared" si="39"/>
        <v>65.211334087688158</v>
      </c>
      <c r="AK65" s="71">
        <v>60</v>
      </c>
      <c r="AL65" s="33">
        <f t="shared" si="10"/>
        <v>0</v>
      </c>
      <c r="AM65" s="33">
        <f t="shared" si="11"/>
        <v>0</v>
      </c>
      <c r="AN65" s="33">
        <f t="shared" si="12"/>
        <v>0</v>
      </c>
      <c r="AO65" s="33">
        <f t="shared" si="13"/>
        <v>0</v>
      </c>
      <c r="AP65" s="33">
        <f t="shared" si="14"/>
        <v>0</v>
      </c>
      <c r="AQ65" s="193">
        <f t="shared" si="41"/>
        <v>0</v>
      </c>
      <c r="AR65" s="193">
        <f t="shared" si="42"/>
        <v>0</v>
      </c>
      <c r="AS65" s="193">
        <f t="shared" si="43"/>
        <v>0</v>
      </c>
      <c r="AT65" s="193">
        <f t="shared" si="44"/>
        <v>0</v>
      </c>
      <c r="AU65" s="33"/>
      <c r="AV65" s="33"/>
      <c r="AW65" s="33"/>
      <c r="AX65" s="33"/>
      <c r="AY65" s="76"/>
    </row>
    <row r="66" spans="2:51">
      <c r="B66" s="40"/>
      <c r="C66" s="151"/>
      <c r="D66" s="136"/>
      <c r="E66" s="140"/>
      <c r="F66" s="42"/>
      <c r="G66" s="51"/>
      <c r="I66" s="55">
        <v>61</v>
      </c>
      <c r="J66" s="33">
        <f t="shared" si="21"/>
        <v>19.530000000000012</v>
      </c>
      <c r="K66" s="33">
        <f t="shared" si="22"/>
        <v>6.3681981322039647</v>
      </c>
      <c r="L66" s="33">
        <f t="shared" si="23"/>
        <v>70</v>
      </c>
      <c r="M66" s="33">
        <f t="shared" si="24"/>
        <v>10</v>
      </c>
      <c r="N66" s="33">
        <f t="shared" si="0"/>
        <v>0</v>
      </c>
      <c r="O66" s="34">
        <f t="shared" si="1"/>
        <v>338.43936174692197</v>
      </c>
      <c r="P66" s="55">
        <v>61</v>
      </c>
      <c r="Q66" s="33">
        <f t="shared" si="19"/>
        <v>-45.5</v>
      </c>
      <c r="R66" s="33">
        <f t="shared" si="25"/>
        <v>397.79999999999995</v>
      </c>
      <c r="S66" s="33">
        <f t="shared" si="26"/>
        <v>175.03199999999998</v>
      </c>
      <c r="T66" s="33">
        <f t="shared" si="2"/>
        <v>44.215103743191008</v>
      </c>
      <c r="U66" s="33">
        <f t="shared" si="20"/>
        <v>70</v>
      </c>
      <c r="V66" s="33">
        <f t="shared" si="3"/>
        <v>10</v>
      </c>
      <c r="W66" s="33">
        <v>0</v>
      </c>
      <c r="X66" s="33">
        <f t="shared" si="4"/>
        <v>675.18870568605769</v>
      </c>
      <c r="Y66" s="38">
        <f t="shared" si="5"/>
        <v>336.74934393913571</v>
      </c>
      <c r="AA66" s="71">
        <v>61</v>
      </c>
      <c r="AB66" s="33">
        <f t="shared" si="6"/>
        <v>35</v>
      </c>
      <c r="AC66" s="304">
        <f t="shared" si="7"/>
        <v>0.2</v>
      </c>
      <c r="AD66" s="100">
        <f t="shared" si="8"/>
        <v>0.33600000000000002</v>
      </c>
      <c r="AE66" s="100">
        <f t="shared" si="9"/>
        <v>0.26400000000000001</v>
      </c>
      <c r="AF66" s="193">
        <f t="shared" si="36"/>
        <v>17.490480067151029</v>
      </c>
      <c r="AG66" s="193">
        <f t="shared" si="37"/>
        <v>58.161913687699041</v>
      </c>
      <c r="AH66" s="193">
        <f t="shared" si="38"/>
        <v>7.4902520784088491</v>
      </c>
      <c r="AI66" s="198">
        <f t="shared" si="39"/>
        <v>83.142645833258911</v>
      </c>
      <c r="AK66" s="71">
        <v>61</v>
      </c>
      <c r="AL66" s="33">
        <f t="shared" si="10"/>
        <v>35</v>
      </c>
      <c r="AM66" s="33">
        <f t="shared" si="11"/>
        <v>0.4</v>
      </c>
      <c r="AN66" s="33">
        <f t="shared" si="12"/>
        <v>0.33600000000000002</v>
      </c>
      <c r="AO66" s="33">
        <f t="shared" si="13"/>
        <v>0.26400000000000001</v>
      </c>
      <c r="AP66" s="33">
        <f t="shared" si="14"/>
        <v>0</v>
      </c>
      <c r="AQ66" s="193">
        <f t="shared" si="41"/>
        <v>14</v>
      </c>
      <c r="AR66" s="193">
        <f t="shared" si="42"/>
        <v>11.760000000000002</v>
      </c>
      <c r="AS66" s="193">
        <f t="shared" si="43"/>
        <v>9.24</v>
      </c>
      <c r="AT66" s="193">
        <f t="shared" si="44"/>
        <v>0</v>
      </c>
      <c r="AU66" s="33"/>
      <c r="AV66" s="33"/>
      <c r="AW66" s="33"/>
      <c r="AX66" s="33"/>
      <c r="AY66" s="76"/>
    </row>
    <row r="67" spans="2:51">
      <c r="B67" s="40"/>
      <c r="C67" s="151"/>
      <c r="D67" s="136"/>
      <c r="E67" s="140"/>
      <c r="F67" s="42"/>
      <c r="G67" s="51"/>
      <c r="I67" s="55">
        <v>62</v>
      </c>
      <c r="J67" s="33">
        <f t="shared" si="21"/>
        <v>19.950000000000014</v>
      </c>
      <c r="K67" s="33">
        <f t="shared" si="22"/>
        <v>6.4890573332452952</v>
      </c>
      <c r="L67" s="33">
        <f t="shared" si="23"/>
        <v>70</v>
      </c>
      <c r="M67" s="33">
        <f t="shared" si="24"/>
        <v>10</v>
      </c>
      <c r="N67" s="33">
        <f t="shared" si="0"/>
        <v>0</v>
      </c>
      <c r="O67" s="34">
        <f t="shared" si="1"/>
        <v>339.38135818873559</v>
      </c>
      <c r="P67" s="55">
        <v>62</v>
      </c>
      <c r="Q67" s="33">
        <f t="shared" si="19"/>
        <v>19.5</v>
      </c>
      <c r="R67" s="33">
        <f t="shared" si="25"/>
        <v>417.29999999999995</v>
      </c>
      <c r="S67" s="33">
        <f t="shared" si="26"/>
        <v>183.61199999999999</v>
      </c>
      <c r="T67" s="33">
        <f t="shared" si="2"/>
        <v>46.124858041839339</v>
      </c>
      <c r="U67" s="33">
        <f t="shared" si="20"/>
        <v>70</v>
      </c>
      <c r="V67" s="33">
        <f t="shared" si="3"/>
        <v>10</v>
      </c>
      <c r="W67" s="33">
        <v>0</v>
      </c>
      <c r="X67" s="33">
        <f t="shared" si="4"/>
        <v>693.45836108953688</v>
      </c>
      <c r="Y67" s="38">
        <f t="shared" si="5"/>
        <v>354.07700290080129</v>
      </c>
      <c r="AA67" s="71">
        <v>62</v>
      </c>
      <c r="AB67" s="33">
        <f t="shared" si="6"/>
        <v>0</v>
      </c>
      <c r="AC67" s="304">
        <f t="shared" si="7"/>
        <v>0</v>
      </c>
      <c r="AD67" s="100">
        <f t="shared" si="8"/>
        <v>0</v>
      </c>
      <c r="AE67" s="100">
        <f t="shared" si="9"/>
        <v>0</v>
      </c>
      <c r="AF67" s="193">
        <f t="shared" si="36"/>
        <v>17.147502421173648</v>
      </c>
      <c r="AG67" s="193">
        <f t="shared" si="37"/>
        <v>56.5714730993068</v>
      </c>
      <c r="AH67" s="193">
        <f t="shared" si="38"/>
        <v>5.2964080374395293</v>
      </c>
      <c r="AI67" s="198">
        <f t="shared" si="39"/>
        <v>79.015383557919989</v>
      </c>
      <c r="AK67" s="71">
        <v>62</v>
      </c>
      <c r="AL67" s="33">
        <f t="shared" si="10"/>
        <v>0</v>
      </c>
      <c r="AM67" s="33">
        <f t="shared" si="11"/>
        <v>0</v>
      </c>
      <c r="AN67" s="33">
        <f t="shared" si="12"/>
        <v>0</v>
      </c>
      <c r="AO67" s="33">
        <f t="shared" si="13"/>
        <v>0</v>
      </c>
      <c r="AP67" s="33">
        <f t="shared" si="14"/>
        <v>0</v>
      </c>
      <c r="AQ67" s="193">
        <f t="shared" si="41"/>
        <v>0</v>
      </c>
      <c r="AR67" s="193">
        <f t="shared" si="42"/>
        <v>0</v>
      </c>
      <c r="AS67" s="193">
        <f t="shared" si="43"/>
        <v>0</v>
      </c>
      <c r="AT67" s="193">
        <f t="shared" si="44"/>
        <v>0</v>
      </c>
      <c r="AU67" s="33"/>
      <c r="AV67" s="33"/>
      <c r="AW67" s="33"/>
      <c r="AX67" s="33"/>
      <c r="AY67" s="76"/>
    </row>
    <row r="68" spans="2:51">
      <c r="B68" s="40"/>
      <c r="C68" s="151"/>
      <c r="D68" s="136"/>
      <c r="E68" s="140"/>
      <c r="F68" s="42"/>
      <c r="G68" s="51"/>
      <c r="I68" s="55">
        <v>63</v>
      </c>
      <c r="J68" s="33">
        <f t="shared" si="21"/>
        <v>20.370000000000015</v>
      </c>
      <c r="K68" s="33">
        <f t="shared" si="22"/>
        <v>6.609620705123719</v>
      </c>
      <c r="L68" s="33">
        <f t="shared" si="23"/>
        <v>70</v>
      </c>
      <c r="M68" s="33">
        <f t="shared" si="24"/>
        <v>10</v>
      </c>
      <c r="N68" s="33">
        <f t="shared" si="0"/>
        <v>0</v>
      </c>
      <c r="O68" s="34">
        <f t="shared" si="1"/>
        <v>340.32283939475718</v>
      </c>
      <c r="P68" s="55">
        <v>63</v>
      </c>
      <c r="Q68" s="33">
        <f t="shared" si="19"/>
        <v>19.5</v>
      </c>
      <c r="R68" s="33">
        <f t="shared" si="25"/>
        <v>436.79999999999995</v>
      </c>
      <c r="S68" s="33">
        <f t="shared" si="26"/>
        <v>192.19199999999998</v>
      </c>
      <c r="T68" s="33">
        <f t="shared" si="2"/>
        <v>48.02424892193244</v>
      </c>
      <c r="U68" s="33">
        <f t="shared" si="20"/>
        <v>70</v>
      </c>
      <c r="V68" s="33">
        <f t="shared" si="3"/>
        <v>10</v>
      </c>
      <c r="W68" s="33">
        <v>0</v>
      </c>
      <c r="X68" s="33">
        <f t="shared" si="4"/>
        <v>711.7099668723655</v>
      </c>
      <c r="Y68" s="38">
        <f t="shared" si="5"/>
        <v>371.38712747760832</v>
      </c>
      <c r="AA68" s="71">
        <v>63</v>
      </c>
      <c r="AB68" s="33">
        <f t="shared" si="6"/>
        <v>0</v>
      </c>
      <c r="AC68" s="304">
        <f t="shared" si="7"/>
        <v>0</v>
      </c>
      <c r="AD68" s="100">
        <f t="shared" si="8"/>
        <v>0</v>
      </c>
      <c r="AE68" s="100">
        <f t="shared" si="9"/>
        <v>0</v>
      </c>
      <c r="AF68" s="193">
        <f t="shared" si="36"/>
        <v>16.811250357638176</v>
      </c>
      <c r="AG68" s="193">
        <f t="shared" si="37"/>
        <v>55.024523192441784</v>
      </c>
      <c r="AH68" s="193">
        <f t="shared" si="38"/>
        <v>3.745126039204425</v>
      </c>
      <c r="AI68" s="198">
        <f t="shared" si="39"/>
        <v>75.580899589284385</v>
      </c>
      <c r="AK68" s="71">
        <v>63</v>
      </c>
      <c r="AL68" s="33">
        <f t="shared" si="10"/>
        <v>0</v>
      </c>
      <c r="AM68" s="33">
        <f t="shared" si="11"/>
        <v>0</v>
      </c>
      <c r="AN68" s="33">
        <f t="shared" si="12"/>
        <v>0</v>
      </c>
      <c r="AO68" s="33">
        <f t="shared" si="13"/>
        <v>0</v>
      </c>
      <c r="AP68" s="33">
        <f t="shared" si="14"/>
        <v>0</v>
      </c>
      <c r="AQ68" s="193">
        <f t="shared" si="41"/>
        <v>0</v>
      </c>
      <c r="AR68" s="193">
        <f t="shared" si="42"/>
        <v>0</v>
      </c>
      <c r="AS68" s="193">
        <f t="shared" si="43"/>
        <v>0</v>
      </c>
      <c r="AT68" s="193">
        <f t="shared" si="44"/>
        <v>0</v>
      </c>
      <c r="AU68" s="33"/>
      <c r="AV68" s="33"/>
      <c r="AW68" s="33"/>
      <c r="AX68" s="33"/>
      <c r="AY68" s="76"/>
    </row>
    <row r="69" spans="2:51">
      <c r="B69" s="40"/>
      <c r="C69" s="151"/>
      <c r="D69" s="136"/>
      <c r="E69" s="140"/>
      <c r="F69" s="42"/>
      <c r="G69" s="51"/>
      <c r="I69" s="55">
        <v>64</v>
      </c>
      <c r="J69" s="33">
        <f t="shared" si="21"/>
        <v>20.790000000000017</v>
      </c>
      <c r="K69" s="33">
        <f t="shared" si="22"/>
        <v>6.7298950502076895</v>
      </c>
      <c r="L69" s="33">
        <f t="shared" si="23"/>
        <v>70</v>
      </c>
      <c r="M69" s="33">
        <f t="shared" si="24"/>
        <v>10</v>
      </c>
      <c r="N69" s="33">
        <f t="shared" ref="N69:N132" si="47">IF(P70&lt;=$F$18,0,)</f>
        <v>0</v>
      </c>
      <c r="O69" s="34">
        <f t="shared" ref="O69:O132" si="48">((J69+K69)*0.475+L69+M69+N69)*44/12</f>
        <v>341.26381721244508</v>
      </c>
      <c r="P69" s="55">
        <v>64</v>
      </c>
      <c r="Q69" s="33">
        <f t="shared" si="19"/>
        <v>19.5</v>
      </c>
      <c r="R69" s="33">
        <f t="shared" si="25"/>
        <v>456.29999999999995</v>
      </c>
      <c r="S69" s="33">
        <f t="shared" si="26"/>
        <v>200.77199999999999</v>
      </c>
      <c r="T69" s="33">
        <f t="shared" ref="T69:T132" si="49">IF(S69=0,0,EXP(-1.0587+0.8836*LN(S69)+0.284))</f>
        <v>49.913791898945412</v>
      </c>
      <c r="U69" s="33">
        <f t="shared" si="20"/>
        <v>70</v>
      </c>
      <c r="V69" s="33">
        <f t="shared" ref="V69:V132" si="50">IF(P69&lt;=$F$18,IF(P69&lt;=30,P69*($F$16-$F$6)/30,$F$16-$F$6),)</f>
        <v>10</v>
      </c>
      <c r="W69" s="33">
        <v>0</v>
      </c>
      <c r="X69" s="33">
        <f t="shared" ref="X69:X132" si="51">((S69+T69)*0.475+U69+V69+W69)*44/12</f>
        <v>729.94442089066331</v>
      </c>
      <c r="Y69" s="38">
        <f t="shared" ref="Y69:Y132" si="52">IF(P69&lt;=$F$18,X69-O69,)</f>
        <v>388.68060367821823</v>
      </c>
      <c r="AA69" s="71">
        <v>64</v>
      </c>
      <c r="AB69" s="33">
        <f t="shared" ref="AB69:AB132" si="53">IF(AA69&lt;=$F$18,IFERROR(VLOOKUP($AA69,$B$82:$G$95,2,FALSE),0),)</f>
        <v>0</v>
      </c>
      <c r="AC69" s="304">
        <f t="shared" ref="AC69:AC132" si="54">IF(AA69&lt;=$F$18,IFERROR(VLOOKUP($AA69,$B$82:$G$95,3,FALSE),0),)*50%</f>
        <v>0</v>
      </c>
      <c r="AD69" s="100">
        <f t="shared" ref="AD69:AD132" si="55">IF(AA69&lt;=$F$18,IFERROR(VLOOKUP($AA69,$B$82:$G$95,4,FALSE),0),)</f>
        <v>0</v>
      </c>
      <c r="AE69" s="100">
        <f t="shared" ref="AE69:AE132" si="56">IF(AA69&lt;=$F$18,IFERROR(VLOOKUP($AA69,$B$82:$G$95,5,FALSE),0),)</f>
        <v>0</v>
      </c>
      <c r="AF69" s="193">
        <f t="shared" si="36"/>
        <v>16.481591991975126</v>
      </c>
      <c r="AG69" s="193">
        <f t="shared" si="37"/>
        <v>53.519874712130552</v>
      </c>
      <c r="AH69" s="193">
        <f t="shared" si="38"/>
        <v>2.6482040187197651</v>
      </c>
      <c r="AI69" s="198">
        <f t="shared" si="39"/>
        <v>72.649670722825448</v>
      </c>
      <c r="AK69" s="71">
        <v>64</v>
      </c>
      <c r="AL69" s="33">
        <f t="shared" ref="AL69:AL132" si="57">IF(AK69&lt;=$F$18,IFERROR(VLOOKUP($AA69,$B$82:$G$95,2,FALSE),0),)</f>
        <v>0</v>
      </c>
      <c r="AM69" s="33">
        <f t="shared" ref="AM69:AM132" si="58">IF(AK69&lt;=$F$18,IFERROR(VLOOKUP($AA69,$B$82:$G$95,3,FALSE),0),)</f>
        <v>0</v>
      </c>
      <c r="AN69" s="33">
        <f t="shared" ref="AN69:AN132" si="59">IF(AK69&lt;=$F$18,IFERROR(VLOOKUP($AA69,$B$82:$G$95,4,FALSE),0),)</f>
        <v>0</v>
      </c>
      <c r="AO69" s="33">
        <f t="shared" ref="AO69:AO132" si="60">IF(AK69&lt;=$F$18,IFERROR(VLOOKUP($AA69,$B$82:$G$95,5,FALSE),0),)</f>
        <v>0</v>
      </c>
      <c r="AP69" s="33">
        <f t="shared" ref="AP69:AP132" si="61">IF(AK69&lt;=$F$18,IFERROR(VLOOKUP($AA69,$B$82:$G$95,6,FALSE),0),)</f>
        <v>0</v>
      </c>
      <c r="AQ69" s="193">
        <f t="shared" si="41"/>
        <v>0</v>
      </c>
      <c r="AR69" s="193">
        <f t="shared" si="42"/>
        <v>0</v>
      </c>
      <c r="AS69" s="193">
        <f t="shared" si="43"/>
        <v>0</v>
      </c>
      <c r="AT69" s="193">
        <f t="shared" si="44"/>
        <v>0</v>
      </c>
      <c r="AU69" s="33"/>
      <c r="AV69" s="33"/>
      <c r="AW69" s="33"/>
      <c r="AX69" s="33"/>
      <c r="AY69" s="76"/>
    </row>
    <row r="70" spans="2:51">
      <c r="B70" s="40"/>
      <c r="C70" s="151"/>
      <c r="D70" s="136"/>
      <c r="E70" s="140"/>
      <c r="F70" s="42"/>
      <c r="G70" s="51"/>
      <c r="I70" s="55">
        <v>65</v>
      </c>
      <c r="J70" s="33">
        <f t="shared" si="21"/>
        <v>21.210000000000019</v>
      </c>
      <c r="K70" s="33">
        <f t="shared" si="22"/>
        <v>6.8498868803090076</v>
      </c>
      <c r="L70" s="33">
        <f t="shared" si="23"/>
        <v>70</v>
      </c>
      <c r="M70" s="33">
        <f t="shared" si="24"/>
        <v>10</v>
      </c>
      <c r="N70" s="33">
        <f t="shared" si="47"/>
        <v>0</v>
      </c>
      <c r="O70" s="34">
        <f t="shared" si="48"/>
        <v>342.20430298320485</v>
      </c>
      <c r="P70" s="55">
        <v>65</v>
      </c>
      <c r="Q70" s="33">
        <f t="shared" ref="Q70:Q133" si="62">IF(P70&lt;=$F$18,LOOKUP(P70-1,$B$25:$B$78,$G$25:$G$78),)</f>
        <v>19.5</v>
      </c>
      <c r="R70" s="33">
        <f t="shared" si="25"/>
        <v>475.79999999999995</v>
      </c>
      <c r="S70" s="33">
        <f t="shared" si="26"/>
        <v>209.35199999999998</v>
      </c>
      <c r="T70" s="33">
        <f t="shared" si="49"/>
        <v>51.79395593509436</v>
      </c>
      <c r="U70" s="33">
        <f t="shared" ref="U70:U133" si="63">IF(P70&lt;=$F$18,$F$5+($F$15-$F$5)*(1-EXP(-0.0175*P70)),)</f>
        <v>70</v>
      </c>
      <c r="V70" s="33">
        <f t="shared" si="50"/>
        <v>10</v>
      </c>
      <c r="W70" s="33">
        <v>0</v>
      </c>
      <c r="X70" s="33">
        <f t="shared" si="51"/>
        <v>748.1625399202893</v>
      </c>
      <c r="Y70" s="38">
        <f t="shared" si="52"/>
        <v>405.95823693708445</v>
      </c>
      <c r="AA70" s="71">
        <v>65</v>
      </c>
      <c r="AB70" s="33">
        <f t="shared" si="53"/>
        <v>0</v>
      </c>
      <c r="AC70" s="304">
        <f t="shared" si="54"/>
        <v>0</v>
      </c>
      <c r="AD70" s="100">
        <f t="shared" si="55"/>
        <v>0</v>
      </c>
      <c r="AE70" s="100">
        <f t="shared" si="56"/>
        <v>0</v>
      </c>
      <c r="AF70" s="193">
        <f t="shared" si="36"/>
        <v>16.15839802579098</v>
      </c>
      <c r="AG70" s="193">
        <f t="shared" si="37"/>
        <v>52.056370923639449</v>
      </c>
      <c r="AH70" s="193">
        <f t="shared" si="38"/>
        <v>1.8725630196022129</v>
      </c>
      <c r="AI70" s="198">
        <f t="shared" si="39"/>
        <v>70.087331969032647</v>
      </c>
      <c r="AK70" s="71">
        <v>65</v>
      </c>
      <c r="AL70" s="33">
        <f t="shared" si="57"/>
        <v>0</v>
      </c>
      <c r="AM70" s="33">
        <f t="shared" si="58"/>
        <v>0</v>
      </c>
      <c r="AN70" s="33">
        <f t="shared" si="59"/>
        <v>0</v>
      </c>
      <c r="AO70" s="33">
        <f t="shared" si="60"/>
        <v>0</v>
      </c>
      <c r="AP70" s="33">
        <f t="shared" si="61"/>
        <v>0</v>
      </c>
      <c r="AQ70" s="193">
        <f t="shared" si="41"/>
        <v>0</v>
      </c>
      <c r="AR70" s="193">
        <f t="shared" si="42"/>
        <v>0</v>
      </c>
      <c r="AS70" s="193">
        <f t="shared" si="43"/>
        <v>0</v>
      </c>
      <c r="AT70" s="193">
        <f t="shared" si="44"/>
        <v>0</v>
      </c>
      <c r="AU70" s="33"/>
      <c r="AV70" s="33"/>
      <c r="AW70" s="33"/>
      <c r="AX70" s="33"/>
      <c r="AY70" s="76"/>
    </row>
    <row r="71" spans="2:51">
      <c r="B71" s="40"/>
      <c r="C71" s="151"/>
      <c r="D71" s="136"/>
      <c r="E71" s="140"/>
      <c r="F71" s="42"/>
      <c r="G71" s="51"/>
      <c r="I71" s="55">
        <v>66</v>
      </c>
      <c r="J71" s="33">
        <f t="shared" ref="J71:J134" si="64">IF($I71&lt;=$F$10,$F$11*$F$13+J70,)</f>
        <v>21.63000000000002</v>
      </c>
      <c r="K71" s="33">
        <f t="shared" ref="K71:K134" si="65">IF(J71=0,0,EXP(-1.0587+0.8836*LN(J71)+0.284))</f>
        <v>6.9696024345973786</v>
      </c>
      <c r="L71" s="33">
        <f t="shared" ref="L71:L134" si="66">IF(I71&lt;=$F$10,$F$5+($F$8-$F$5)*(1-EXP(-0.0175*I71)),)</f>
        <v>70</v>
      </c>
      <c r="M71" s="33">
        <f t="shared" ref="M71:M134" si="67">IF(I71&lt;=$F$10,IF(I71&lt;=30,I71*($F$9-$F$6)/30,$F$9-$F$6),)</f>
        <v>10</v>
      </c>
      <c r="N71" s="33">
        <f t="shared" si="47"/>
        <v>0</v>
      </c>
      <c r="O71" s="34">
        <f t="shared" si="48"/>
        <v>343.14430757359042</v>
      </c>
      <c r="P71" s="55">
        <v>66</v>
      </c>
      <c r="Q71" s="33">
        <f t="shared" si="62"/>
        <v>-42.899999999999977</v>
      </c>
      <c r="R71" s="33">
        <f t="shared" ref="R71:R134" si="68">IF(P71&lt;=$F$18,Q71+R70,)</f>
        <v>432.9</v>
      </c>
      <c r="S71" s="33">
        <f t="shared" ref="S71:S134" si="69">$F$19*R71</f>
        <v>190.476</v>
      </c>
      <c r="T71" s="33">
        <f t="shared" si="49"/>
        <v>47.645174362968355</v>
      </c>
      <c r="U71" s="33">
        <f t="shared" si="63"/>
        <v>70</v>
      </c>
      <c r="V71" s="33">
        <f t="shared" si="50"/>
        <v>10</v>
      </c>
      <c r="W71" s="33">
        <v>0</v>
      </c>
      <c r="X71" s="33">
        <f t="shared" si="51"/>
        <v>708.06104534883661</v>
      </c>
      <c r="Y71" s="38">
        <f t="shared" si="52"/>
        <v>364.91673777524619</v>
      </c>
      <c r="AA71" s="71">
        <v>66</v>
      </c>
      <c r="AB71" s="33">
        <f t="shared" si="53"/>
        <v>33</v>
      </c>
      <c r="AC71" s="304">
        <f t="shared" si="54"/>
        <v>0.2</v>
      </c>
      <c r="AD71" s="100">
        <f t="shared" si="55"/>
        <v>0.33600000000000002</v>
      </c>
      <c r="AE71" s="100">
        <f t="shared" si="56"/>
        <v>0.26400000000000001</v>
      </c>
      <c r="AF71" s="193">
        <f t="shared" si="36"/>
        <v>20.849587828330204</v>
      </c>
      <c r="AG71" s="193">
        <f t="shared" si="37"/>
        <v>59.013277001054462</v>
      </c>
      <c r="AH71" s="193">
        <f t="shared" si="38"/>
        <v>6.9663144572608093</v>
      </c>
      <c r="AI71" s="198">
        <f t="shared" si="39"/>
        <v>86.82917928664547</v>
      </c>
      <c r="AK71" s="71">
        <v>66</v>
      </c>
      <c r="AL71" s="33">
        <f t="shared" si="57"/>
        <v>33</v>
      </c>
      <c r="AM71" s="33">
        <f t="shared" si="58"/>
        <v>0.4</v>
      </c>
      <c r="AN71" s="33">
        <f t="shared" si="59"/>
        <v>0.33600000000000002</v>
      </c>
      <c r="AO71" s="33">
        <f t="shared" si="60"/>
        <v>0.26400000000000001</v>
      </c>
      <c r="AP71" s="33">
        <f t="shared" si="61"/>
        <v>0</v>
      </c>
      <c r="AQ71" s="193">
        <f t="shared" si="41"/>
        <v>13.200000000000001</v>
      </c>
      <c r="AR71" s="193">
        <f t="shared" si="42"/>
        <v>11.088000000000001</v>
      </c>
      <c r="AS71" s="193">
        <f t="shared" si="43"/>
        <v>8.7119999999999997</v>
      </c>
      <c r="AT71" s="193">
        <f t="shared" si="44"/>
        <v>0</v>
      </c>
      <c r="AU71" s="33"/>
      <c r="AV71" s="33"/>
      <c r="AW71" s="33"/>
      <c r="AX71" s="33"/>
      <c r="AY71" s="76"/>
    </row>
    <row r="72" spans="2:51">
      <c r="B72" s="40"/>
      <c r="C72" s="151"/>
      <c r="D72" s="136"/>
      <c r="E72" s="140"/>
      <c r="F72" s="42"/>
      <c r="G72" s="51"/>
      <c r="I72" s="55">
        <v>67</v>
      </c>
      <c r="J72" s="33">
        <f t="shared" si="64"/>
        <v>22.050000000000022</v>
      </c>
      <c r="K72" s="33">
        <f t="shared" si="65"/>
        <v>7.0890476960841928</v>
      </c>
      <c r="L72" s="33">
        <f t="shared" si="66"/>
        <v>70</v>
      </c>
      <c r="M72" s="33">
        <f t="shared" si="67"/>
        <v>10</v>
      </c>
      <c r="N72" s="33">
        <f t="shared" si="47"/>
        <v>0</v>
      </c>
      <c r="O72" s="34">
        <f t="shared" si="48"/>
        <v>344.08384140401336</v>
      </c>
      <c r="P72" s="55">
        <v>67</v>
      </c>
      <c r="Q72" s="33">
        <f t="shared" si="62"/>
        <v>17.875</v>
      </c>
      <c r="R72" s="33">
        <f t="shared" si="68"/>
        <v>450.77499999999998</v>
      </c>
      <c r="S72" s="33">
        <f t="shared" si="69"/>
        <v>198.34099999999998</v>
      </c>
      <c r="T72" s="33">
        <f t="shared" si="49"/>
        <v>49.379393175979537</v>
      </c>
      <c r="U72" s="33">
        <f t="shared" si="63"/>
        <v>70</v>
      </c>
      <c r="V72" s="33">
        <f t="shared" si="50"/>
        <v>10</v>
      </c>
      <c r="W72" s="33">
        <v>0</v>
      </c>
      <c r="X72" s="33">
        <f t="shared" si="51"/>
        <v>724.77968478149762</v>
      </c>
      <c r="Y72" s="38">
        <f t="shared" si="52"/>
        <v>380.69584337748427</v>
      </c>
      <c r="AA72" s="71">
        <v>67</v>
      </c>
      <c r="AB72" s="33">
        <f t="shared" si="53"/>
        <v>0</v>
      </c>
      <c r="AC72" s="304">
        <f t="shared" si="54"/>
        <v>0</v>
      </c>
      <c r="AD72" s="100">
        <f t="shared" si="55"/>
        <v>0</v>
      </c>
      <c r="AE72" s="100">
        <f t="shared" si="56"/>
        <v>0</v>
      </c>
      <c r="AF72" s="193">
        <f t="shared" si="36"/>
        <v>20.440740128009526</v>
      </c>
      <c r="AG72" s="193">
        <f t="shared" si="37"/>
        <v>57.399555838087267</v>
      </c>
      <c r="AH72" s="193">
        <f t="shared" si="38"/>
        <v>4.9259281926070022</v>
      </c>
      <c r="AI72" s="198">
        <f t="shared" si="39"/>
        <v>82.766224158703793</v>
      </c>
      <c r="AK72" s="71">
        <v>67</v>
      </c>
      <c r="AL72" s="33">
        <f t="shared" si="57"/>
        <v>0</v>
      </c>
      <c r="AM72" s="33">
        <f t="shared" si="58"/>
        <v>0</v>
      </c>
      <c r="AN72" s="33">
        <f t="shared" si="59"/>
        <v>0</v>
      </c>
      <c r="AO72" s="33">
        <f t="shared" si="60"/>
        <v>0</v>
      </c>
      <c r="AP72" s="33">
        <f t="shared" si="61"/>
        <v>0</v>
      </c>
      <c r="AQ72" s="193">
        <f t="shared" si="41"/>
        <v>0</v>
      </c>
      <c r="AR72" s="193">
        <f t="shared" si="42"/>
        <v>0</v>
      </c>
      <c r="AS72" s="193">
        <f t="shared" si="43"/>
        <v>0</v>
      </c>
      <c r="AT72" s="193">
        <f t="shared" si="44"/>
        <v>0</v>
      </c>
      <c r="AU72" s="33"/>
      <c r="AV72" s="33"/>
      <c r="AW72" s="33"/>
      <c r="AX72" s="33"/>
      <c r="AY72" s="76"/>
    </row>
    <row r="73" spans="2:51">
      <c r="B73" s="40"/>
      <c r="C73" s="151"/>
      <c r="D73" s="136"/>
      <c r="E73" s="140"/>
      <c r="F73" s="42"/>
      <c r="G73" s="51"/>
      <c r="I73" s="55">
        <v>68</v>
      </c>
      <c r="J73" s="33">
        <f t="shared" si="64"/>
        <v>22.470000000000024</v>
      </c>
      <c r="K73" s="33">
        <f t="shared" si="65"/>
        <v>7.208228406814932</v>
      </c>
      <c r="L73" s="33">
        <f t="shared" si="66"/>
        <v>70</v>
      </c>
      <c r="M73" s="33">
        <f t="shared" si="67"/>
        <v>10</v>
      </c>
      <c r="N73" s="33">
        <f t="shared" si="47"/>
        <v>0</v>
      </c>
      <c r="O73" s="34">
        <f t="shared" si="48"/>
        <v>345.0229144752027</v>
      </c>
      <c r="P73" s="55">
        <v>68</v>
      </c>
      <c r="Q73" s="33">
        <f t="shared" si="62"/>
        <v>17.875</v>
      </c>
      <c r="R73" s="33">
        <f t="shared" si="68"/>
        <v>468.65</v>
      </c>
      <c r="S73" s="33">
        <f t="shared" si="69"/>
        <v>206.20599999999999</v>
      </c>
      <c r="T73" s="33">
        <f t="shared" si="49"/>
        <v>51.105623559200104</v>
      </c>
      <c r="U73" s="33">
        <f t="shared" si="63"/>
        <v>70</v>
      </c>
      <c r="V73" s="33">
        <f t="shared" si="50"/>
        <v>10</v>
      </c>
      <c r="W73" s="33">
        <v>0</v>
      </c>
      <c r="X73" s="33">
        <f t="shared" si="51"/>
        <v>741.48441103227344</v>
      </c>
      <c r="Y73" s="38">
        <f t="shared" si="52"/>
        <v>396.46149655707075</v>
      </c>
      <c r="AA73" s="71">
        <v>68</v>
      </c>
      <c r="AB73" s="33">
        <f t="shared" si="53"/>
        <v>0</v>
      </c>
      <c r="AC73" s="304">
        <f t="shared" si="54"/>
        <v>0</v>
      </c>
      <c r="AD73" s="100">
        <f t="shared" si="55"/>
        <v>0</v>
      </c>
      <c r="AE73" s="100">
        <f t="shared" si="56"/>
        <v>0</v>
      </c>
      <c r="AF73" s="193">
        <f t="shared" si="36"/>
        <v>20.039909681719664</v>
      </c>
      <c r="AG73" s="193">
        <f t="shared" si="37"/>
        <v>55.829961965183315</v>
      </c>
      <c r="AH73" s="193">
        <f t="shared" si="38"/>
        <v>3.4831572286304051</v>
      </c>
      <c r="AI73" s="198">
        <f t="shared" si="39"/>
        <v>79.353028875533383</v>
      </c>
      <c r="AK73" s="71">
        <v>68</v>
      </c>
      <c r="AL73" s="33">
        <f t="shared" si="57"/>
        <v>0</v>
      </c>
      <c r="AM73" s="33">
        <f t="shared" si="58"/>
        <v>0</v>
      </c>
      <c r="AN73" s="33">
        <f t="shared" si="59"/>
        <v>0</v>
      </c>
      <c r="AO73" s="33">
        <f t="shared" si="60"/>
        <v>0</v>
      </c>
      <c r="AP73" s="33">
        <f t="shared" si="61"/>
        <v>0</v>
      </c>
      <c r="AQ73" s="193">
        <f t="shared" si="41"/>
        <v>0</v>
      </c>
      <c r="AR73" s="193">
        <f t="shared" si="42"/>
        <v>0</v>
      </c>
      <c r="AS73" s="193">
        <f t="shared" si="43"/>
        <v>0</v>
      </c>
      <c r="AT73" s="193">
        <f t="shared" si="44"/>
        <v>0</v>
      </c>
      <c r="AU73" s="33"/>
      <c r="AV73" s="33"/>
      <c r="AW73" s="33"/>
      <c r="AX73" s="33"/>
      <c r="AY73" s="76"/>
    </row>
    <row r="74" spans="2:51">
      <c r="B74" s="40"/>
      <c r="C74" s="151"/>
      <c r="D74" s="136"/>
      <c r="E74" s="140"/>
      <c r="F74" s="42"/>
      <c r="G74" s="51"/>
      <c r="I74" s="55">
        <v>69</v>
      </c>
      <c r="J74" s="33">
        <f t="shared" si="64"/>
        <v>22.890000000000025</v>
      </c>
      <c r="K74" s="33">
        <f t="shared" si="65"/>
        <v>7.3271500818935387</v>
      </c>
      <c r="L74" s="33">
        <f t="shared" si="66"/>
        <v>70</v>
      </c>
      <c r="M74" s="33">
        <f t="shared" si="67"/>
        <v>10</v>
      </c>
      <c r="N74" s="33">
        <f t="shared" si="47"/>
        <v>0</v>
      </c>
      <c r="O74" s="34">
        <f t="shared" si="48"/>
        <v>345.96153639263122</v>
      </c>
      <c r="P74" s="55">
        <v>69</v>
      </c>
      <c r="Q74" s="33">
        <f t="shared" si="62"/>
        <v>17.875</v>
      </c>
      <c r="R74" s="33">
        <f t="shared" si="68"/>
        <v>486.52499999999998</v>
      </c>
      <c r="S74" s="33">
        <f t="shared" si="69"/>
        <v>214.071</v>
      </c>
      <c r="T74" s="33">
        <f t="shared" si="49"/>
        <v>52.824205082708431</v>
      </c>
      <c r="U74" s="33">
        <f t="shared" si="63"/>
        <v>70</v>
      </c>
      <c r="V74" s="33">
        <f t="shared" si="50"/>
        <v>10</v>
      </c>
      <c r="W74" s="33">
        <v>0</v>
      </c>
      <c r="X74" s="33">
        <f t="shared" si="51"/>
        <v>758.17581551905062</v>
      </c>
      <c r="Y74" s="38">
        <f t="shared" si="52"/>
        <v>412.2142791264194</v>
      </c>
      <c r="AA74" s="71">
        <v>69</v>
      </c>
      <c r="AB74" s="33">
        <f t="shared" si="53"/>
        <v>0</v>
      </c>
      <c r="AC74" s="304">
        <f t="shared" si="54"/>
        <v>0</v>
      </c>
      <c r="AD74" s="100">
        <f t="shared" si="55"/>
        <v>0</v>
      </c>
      <c r="AE74" s="100">
        <f t="shared" si="56"/>
        <v>0</v>
      </c>
      <c r="AF74" s="193">
        <f t="shared" si="36"/>
        <v>19.646939275999113</v>
      </c>
      <c r="AG74" s="193">
        <f t="shared" si="37"/>
        <v>54.30328871927528</v>
      </c>
      <c r="AH74" s="193">
        <f t="shared" si="38"/>
        <v>2.4629640963035011</v>
      </c>
      <c r="AI74" s="198">
        <f t="shared" si="39"/>
        <v>76.413192091577884</v>
      </c>
      <c r="AK74" s="71">
        <v>69</v>
      </c>
      <c r="AL74" s="33">
        <f t="shared" si="57"/>
        <v>0</v>
      </c>
      <c r="AM74" s="33">
        <f t="shared" si="58"/>
        <v>0</v>
      </c>
      <c r="AN74" s="33">
        <f t="shared" si="59"/>
        <v>0</v>
      </c>
      <c r="AO74" s="33">
        <f t="shared" si="60"/>
        <v>0</v>
      </c>
      <c r="AP74" s="33">
        <f t="shared" si="61"/>
        <v>0</v>
      </c>
      <c r="AQ74" s="193">
        <f t="shared" si="41"/>
        <v>0</v>
      </c>
      <c r="AR74" s="193">
        <f t="shared" si="42"/>
        <v>0</v>
      </c>
      <c r="AS74" s="193">
        <f t="shared" si="43"/>
        <v>0</v>
      </c>
      <c r="AT74" s="193">
        <f t="shared" si="44"/>
        <v>0</v>
      </c>
      <c r="AU74" s="33"/>
      <c r="AV74" s="33"/>
      <c r="AW74" s="33"/>
      <c r="AX74" s="33"/>
      <c r="AY74" s="76"/>
    </row>
    <row r="75" spans="2:51">
      <c r="B75" s="40"/>
      <c r="C75" s="151"/>
      <c r="D75" s="136"/>
      <c r="E75" s="140"/>
      <c r="F75" s="42"/>
      <c r="G75" s="51"/>
      <c r="I75" s="55">
        <v>70</v>
      </c>
      <c r="J75" s="33">
        <f t="shared" si="64"/>
        <v>23.310000000000027</v>
      </c>
      <c r="K75" s="33">
        <f t="shared" si="65"/>
        <v>7.4458180224483508</v>
      </c>
      <c r="L75" s="33">
        <f t="shared" si="66"/>
        <v>70</v>
      </c>
      <c r="M75" s="33">
        <f t="shared" si="67"/>
        <v>10</v>
      </c>
      <c r="N75" s="33">
        <f t="shared" si="47"/>
        <v>0</v>
      </c>
      <c r="O75" s="34">
        <f t="shared" si="48"/>
        <v>346.89971638909759</v>
      </c>
      <c r="P75" s="55">
        <v>70</v>
      </c>
      <c r="Q75" s="33">
        <f t="shared" si="62"/>
        <v>17.875</v>
      </c>
      <c r="R75" s="33">
        <f t="shared" si="68"/>
        <v>504.4</v>
      </c>
      <c r="S75" s="33">
        <f t="shared" si="69"/>
        <v>221.93599999999998</v>
      </c>
      <c r="T75" s="33">
        <f t="shared" si="49"/>
        <v>54.535450950960957</v>
      </c>
      <c r="U75" s="33">
        <f t="shared" si="63"/>
        <v>70</v>
      </c>
      <c r="V75" s="33">
        <f t="shared" si="50"/>
        <v>10</v>
      </c>
      <c r="W75" s="33">
        <v>0</v>
      </c>
      <c r="X75" s="33">
        <f t="shared" si="51"/>
        <v>774.85444373959035</v>
      </c>
      <c r="Y75" s="38">
        <f t="shared" si="52"/>
        <v>427.95472735049276</v>
      </c>
      <c r="AA75" s="71">
        <v>70</v>
      </c>
      <c r="AB75" s="33">
        <f t="shared" si="53"/>
        <v>0</v>
      </c>
      <c r="AC75" s="304">
        <f t="shared" si="54"/>
        <v>0</v>
      </c>
      <c r="AD75" s="100">
        <f t="shared" si="55"/>
        <v>0</v>
      </c>
      <c r="AE75" s="100">
        <f t="shared" si="56"/>
        <v>0</v>
      </c>
      <c r="AF75" s="193">
        <f t="shared" si="36"/>
        <v>19.261674780246462</v>
      </c>
      <c r="AG75" s="193">
        <f t="shared" si="37"/>
        <v>52.818362433560857</v>
      </c>
      <c r="AH75" s="193">
        <f t="shared" si="38"/>
        <v>1.7415786143152026</v>
      </c>
      <c r="AI75" s="198">
        <f t="shared" si="39"/>
        <v>73.821615828122518</v>
      </c>
      <c r="AK75" s="71">
        <v>70</v>
      </c>
      <c r="AL75" s="33">
        <f t="shared" si="57"/>
        <v>0</v>
      </c>
      <c r="AM75" s="33">
        <f t="shared" si="58"/>
        <v>0</v>
      </c>
      <c r="AN75" s="33">
        <f t="shared" si="59"/>
        <v>0</v>
      </c>
      <c r="AO75" s="33">
        <f t="shared" si="60"/>
        <v>0</v>
      </c>
      <c r="AP75" s="33">
        <f t="shared" si="61"/>
        <v>0</v>
      </c>
      <c r="AQ75" s="193">
        <f t="shared" si="41"/>
        <v>0</v>
      </c>
      <c r="AR75" s="193">
        <f t="shared" si="42"/>
        <v>0</v>
      </c>
      <c r="AS75" s="193">
        <f t="shared" si="43"/>
        <v>0</v>
      </c>
      <c r="AT75" s="193">
        <f t="shared" si="44"/>
        <v>0</v>
      </c>
      <c r="AU75" s="33"/>
      <c r="AV75" s="33"/>
      <c r="AW75" s="33"/>
      <c r="AX75" s="33"/>
      <c r="AY75" s="76"/>
    </row>
    <row r="76" spans="2:51">
      <c r="B76" s="40"/>
      <c r="C76" s="151"/>
      <c r="D76" s="136"/>
      <c r="E76" s="140"/>
      <c r="F76" s="42"/>
      <c r="G76" s="51"/>
      <c r="I76" s="55">
        <v>71</v>
      </c>
      <c r="J76" s="33">
        <f t="shared" si="64"/>
        <v>23.730000000000029</v>
      </c>
      <c r="K76" s="33">
        <f t="shared" si="65"/>
        <v>7.5642373276371462</v>
      </c>
      <c r="L76" s="33">
        <f t="shared" si="66"/>
        <v>70</v>
      </c>
      <c r="M76" s="33">
        <f t="shared" si="67"/>
        <v>10</v>
      </c>
      <c r="N76" s="33">
        <f t="shared" si="47"/>
        <v>0</v>
      </c>
      <c r="O76" s="34">
        <f t="shared" si="48"/>
        <v>347.83746334563472</v>
      </c>
      <c r="P76" s="55">
        <v>71</v>
      </c>
      <c r="Q76" s="33">
        <f t="shared" si="62"/>
        <v>-39</v>
      </c>
      <c r="R76" s="33">
        <f t="shared" si="68"/>
        <v>465.4</v>
      </c>
      <c r="S76" s="33">
        <f t="shared" si="69"/>
        <v>204.77599999999998</v>
      </c>
      <c r="T76" s="33">
        <f t="shared" si="49"/>
        <v>50.792341993342049</v>
      </c>
      <c r="U76" s="33">
        <f t="shared" si="63"/>
        <v>70</v>
      </c>
      <c r="V76" s="33">
        <f t="shared" si="50"/>
        <v>10</v>
      </c>
      <c r="W76" s="33">
        <v>0</v>
      </c>
      <c r="X76" s="33">
        <f t="shared" si="51"/>
        <v>738.44819563840394</v>
      </c>
      <c r="Y76" s="38">
        <f t="shared" si="52"/>
        <v>390.61073229276923</v>
      </c>
      <c r="AA76" s="71">
        <v>71</v>
      </c>
      <c r="AB76" s="33">
        <f t="shared" si="53"/>
        <v>30</v>
      </c>
      <c r="AC76" s="304">
        <f t="shared" si="54"/>
        <v>0.25</v>
      </c>
      <c r="AD76" s="100">
        <f t="shared" si="55"/>
        <v>0.28000000000000003</v>
      </c>
      <c r="AE76" s="100">
        <f t="shared" si="56"/>
        <v>0.22</v>
      </c>
      <c r="AF76" s="193">
        <f t="shared" si="36"/>
        <v>24.574926600103009</v>
      </c>
      <c r="AG76" s="193">
        <f t="shared" si="37"/>
        <v>57.722822048739012</v>
      </c>
      <c r="AH76" s="193">
        <f t="shared" si="38"/>
        <v>5.5058854177736647</v>
      </c>
      <c r="AI76" s="198">
        <f t="shared" si="39"/>
        <v>87.803634066615686</v>
      </c>
      <c r="AK76" s="71">
        <v>71</v>
      </c>
      <c r="AL76" s="33">
        <f t="shared" si="57"/>
        <v>30</v>
      </c>
      <c r="AM76" s="33">
        <f t="shared" si="58"/>
        <v>0.5</v>
      </c>
      <c r="AN76" s="33">
        <f t="shared" si="59"/>
        <v>0.28000000000000003</v>
      </c>
      <c r="AO76" s="33">
        <f t="shared" si="60"/>
        <v>0.22</v>
      </c>
      <c r="AP76" s="33">
        <f t="shared" si="61"/>
        <v>0</v>
      </c>
      <c r="AQ76" s="193">
        <f t="shared" si="41"/>
        <v>15</v>
      </c>
      <c r="AR76" s="193">
        <f t="shared" si="42"/>
        <v>8.4</v>
      </c>
      <c r="AS76" s="193">
        <f t="shared" si="43"/>
        <v>6.6</v>
      </c>
      <c r="AT76" s="193">
        <f t="shared" si="44"/>
        <v>0</v>
      </c>
      <c r="AU76" s="33"/>
      <c r="AV76" s="33"/>
      <c r="AW76" s="33"/>
      <c r="AX76" s="33"/>
      <c r="AY76" s="76"/>
    </row>
    <row r="77" spans="2:51">
      <c r="B77" s="40"/>
      <c r="C77" s="151"/>
      <c r="D77" s="136"/>
      <c r="E77" s="140"/>
      <c r="F77" s="42"/>
      <c r="G77" s="51"/>
      <c r="I77" s="55">
        <v>72</v>
      </c>
      <c r="J77" s="33">
        <f t="shared" si="64"/>
        <v>24.150000000000031</v>
      </c>
      <c r="K77" s="33">
        <f t="shared" si="65"/>
        <v>7.6824129057781763</v>
      </c>
      <c r="L77" s="33">
        <f t="shared" si="66"/>
        <v>70</v>
      </c>
      <c r="M77" s="33">
        <f t="shared" si="67"/>
        <v>10</v>
      </c>
      <c r="N77" s="33">
        <f t="shared" si="47"/>
        <v>0</v>
      </c>
      <c r="O77" s="34">
        <f t="shared" si="48"/>
        <v>348.77478581089707</v>
      </c>
      <c r="P77" s="55">
        <v>72</v>
      </c>
      <c r="Q77" s="33">
        <f t="shared" si="62"/>
        <v>16.249999999999986</v>
      </c>
      <c r="R77" s="33">
        <f t="shared" si="68"/>
        <v>481.65</v>
      </c>
      <c r="S77" s="33">
        <f t="shared" si="69"/>
        <v>211.92599999999999</v>
      </c>
      <c r="T77" s="33">
        <f t="shared" si="49"/>
        <v>52.356241262970116</v>
      </c>
      <c r="U77" s="33">
        <f t="shared" si="63"/>
        <v>70</v>
      </c>
      <c r="V77" s="33">
        <f t="shared" si="50"/>
        <v>10</v>
      </c>
      <c r="W77" s="33">
        <v>0</v>
      </c>
      <c r="X77" s="33">
        <f t="shared" si="51"/>
        <v>753.6249035330062</v>
      </c>
      <c r="Y77" s="38">
        <f t="shared" si="52"/>
        <v>404.85011772210913</v>
      </c>
      <c r="AA77" s="71">
        <v>72</v>
      </c>
      <c r="AB77" s="33">
        <f t="shared" si="53"/>
        <v>0</v>
      </c>
      <c r="AC77" s="304">
        <f t="shared" si="54"/>
        <v>0</v>
      </c>
      <c r="AD77" s="100">
        <f t="shared" si="55"/>
        <v>0</v>
      </c>
      <c r="AE77" s="100">
        <f t="shared" si="56"/>
        <v>0</v>
      </c>
      <c r="AF77" s="193">
        <f t="shared" si="36"/>
        <v>24.093027278700152</v>
      </c>
      <c r="AG77" s="193">
        <f t="shared" si="37"/>
        <v>56.144388444304958</v>
      </c>
      <c r="AH77" s="193">
        <f t="shared" si="38"/>
        <v>3.8932489153438858</v>
      </c>
      <c r="AI77" s="198">
        <f t="shared" si="39"/>
        <v>84.130664638349003</v>
      </c>
      <c r="AK77" s="71">
        <v>72</v>
      </c>
      <c r="AL77" s="33">
        <f t="shared" si="57"/>
        <v>0</v>
      </c>
      <c r="AM77" s="33">
        <f t="shared" si="58"/>
        <v>0</v>
      </c>
      <c r="AN77" s="33">
        <f t="shared" si="59"/>
        <v>0</v>
      </c>
      <c r="AO77" s="33">
        <f t="shared" si="60"/>
        <v>0</v>
      </c>
      <c r="AP77" s="33">
        <f t="shared" si="61"/>
        <v>0</v>
      </c>
      <c r="AQ77" s="193">
        <f t="shared" si="41"/>
        <v>0</v>
      </c>
      <c r="AR77" s="193">
        <f t="shared" si="42"/>
        <v>0</v>
      </c>
      <c r="AS77" s="193">
        <f t="shared" si="43"/>
        <v>0</v>
      </c>
      <c r="AT77" s="193">
        <f t="shared" si="44"/>
        <v>0</v>
      </c>
      <c r="AU77" s="33"/>
      <c r="AV77" s="33"/>
      <c r="AW77" s="33"/>
      <c r="AX77" s="33"/>
      <c r="AY77" s="76"/>
    </row>
    <row r="78" spans="2:51">
      <c r="B78" s="43"/>
      <c r="C78" s="152"/>
      <c r="D78" s="153"/>
      <c r="E78" s="140"/>
      <c r="F78" s="42"/>
      <c r="G78" s="51"/>
      <c r="I78" s="55">
        <v>73</v>
      </c>
      <c r="J78" s="33">
        <f t="shared" si="64"/>
        <v>24.570000000000032</v>
      </c>
      <c r="K78" s="33">
        <f t="shared" si="65"/>
        <v>7.8003494846849346</v>
      </c>
      <c r="L78" s="33">
        <f t="shared" si="66"/>
        <v>70</v>
      </c>
      <c r="M78" s="33">
        <f t="shared" si="67"/>
        <v>10</v>
      </c>
      <c r="N78" s="33">
        <f t="shared" si="47"/>
        <v>0</v>
      </c>
      <c r="O78" s="34">
        <f t="shared" si="48"/>
        <v>349.71169201915967</v>
      </c>
      <c r="P78" s="55">
        <v>73</v>
      </c>
      <c r="Q78" s="33">
        <f t="shared" si="62"/>
        <v>16.249999999999986</v>
      </c>
      <c r="R78" s="33">
        <f t="shared" si="68"/>
        <v>497.9</v>
      </c>
      <c r="S78" s="33">
        <f t="shared" si="69"/>
        <v>219.07599999999999</v>
      </c>
      <c r="T78" s="33">
        <f t="shared" si="49"/>
        <v>53.914009718892245</v>
      </c>
      <c r="U78" s="33">
        <f t="shared" si="63"/>
        <v>70</v>
      </c>
      <c r="V78" s="33">
        <f t="shared" si="50"/>
        <v>10</v>
      </c>
      <c r="W78" s="33">
        <v>0</v>
      </c>
      <c r="X78" s="33">
        <f t="shared" si="51"/>
        <v>768.79093359373735</v>
      </c>
      <c r="Y78" s="38">
        <f t="shared" si="52"/>
        <v>419.07924157457768</v>
      </c>
      <c r="AA78" s="71">
        <v>73</v>
      </c>
      <c r="AB78" s="33">
        <f t="shared" si="53"/>
        <v>0</v>
      </c>
      <c r="AC78" s="304">
        <f t="shared" si="54"/>
        <v>0</v>
      </c>
      <c r="AD78" s="100">
        <f t="shared" si="55"/>
        <v>0</v>
      </c>
      <c r="AE78" s="100">
        <f t="shared" si="56"/>
        <v>0</v>
      </c>
      <c r="AF78" s="193">
        <f t="shared" si="36"/>
        <v>23.620577709060441</v>
      </c>
      <c r="AG78" s="193">
        <f t="shared" si="37"/>
        <v>54.609117189790368</v>
      </c>
      <c r="AH78" s="193">
        <f t="shared" si="38"/>
        <v>2.7529427088868328</v>
      </c>
      <c r="AI78" s="198">
        <f t="shared" si="39"/>
        <v>80.982637607737644</v>
      </c>
      <c r="AK78" s="71">
        <v>73</v>
      </c>
      <c r="AL78" s="33">
        <f t="shared" si="57"/>
        <v>0</v>
      </c>
      <c r="AM78" s="33">
        <f t="shared" si="58"/>
        <v>0</v>
      </c>
      <c r="AN78" s="33">
        <f t="shared" si="59"/>
        <v>0</v>
      </c>
      <c r="AO78" s="33">
        <f t="shared" si="60"/>
        <v>0</v>
      </c>
      <c r="AP78" s="33">
        <f t="shared" si="61"/>
        <v>0</v>
      </c>
      <c r="AQ78" s="193">
        <f t="shared" si="41"/>
        <v>0</v>
      </c>
      <c r="AR78" s="193">
        <f t="shared" si="42"/>
        <v>0</v>
      </c>
      <c r="AS78" s="193">
        <f t="shared" si="43"/>
        <v>0</v>
      </c>
      <c r="AT78" s="193">
        <f t="shared" si="44"/>
        <v>0</v>
      </c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64"/>
        <v>24.990000000000034</v>
      </c>
      <c r="K79" s="33">
        <f t="shared" si="65"/>
        <v>7.9180516212743148</v>
      </c>
      <c r="L79" s="33">
        <f t="shared" si="66"/>
        <v>70</v>
      </c>
      <c r="M79" s="33">
        <f t="shared" si="67"/>
        <v>10</v>
      </c>
      <c r="N79" s="33">
        <f t="shared" si="47"/>
        <v>0</v>
      </c>
      <c r="O79" s="34">
        <f t="shared" si="48"/>
        <v>350.64818990705277</v>
      </c>
      <c r="P79" s="55">
        <v>74</v>
      </c>
      <c r="Q79" s="33">
        <f t="shared" si="62"/>
        <v>16.249999999999986</v>
      </c>
      <c r="R79" s="33">
        <f t="shared" si="68"/>
        <v>514.15</v>
      </c>
      <c r="S79" s="33">
        <f t="shared" si="69"/>
        <v>226.226</v>
      </c>
      <c r="T79" s="33">
        <f t="shared" si="49"/>
        <v>55.465870400254133</v>
      </c>
      <c r="U79" s="33">
        <f t="shared" si="63"/>
        <v>70</v>
      </c>
      <c r="V79" s="33">
        <f t="shared" si="50"/>
        <v>10</v>
      </c>
      <c r="W79" s="33">
        <v>0</v>
      </c>
      <c r="X79" s="33">
        <f t="shared" si="51"/>
        <v>783.94667428044249</v>
      </c>
      <c r="Y79" s="38">
        <f t="shared" si="52"/>
        <v>433.29848437338973</v>
      </c>
      <c r="AA79" s="71">
        <v>74</v>
      </c>
      <c r="AB79" s="33">
        <f t="shared" si="53"/>
        <v>0</v>
      </c>
      <c r="AC79" s="304">
        <f t="shared" si="54"/>
        <v>0</v>
      </c>
      <c r="AD79" s="100">
        <f t="shared" si="55"/>
        <v>0</v>
      </c>
      <c r="AE79" s="100">
        <f t="shared" si="56"/>
        <v>0</v>
      </c>
      <c r="AF79" s="193">
        <f t="shared" si="36"/>
        <v>23.157392587315584</v>
      </c>
      <c r="AG79" s="193">
        <f t="shared" si="37"/>
        <v>53.115828008466885</v>
      </c>
      <c r="AH79" s="193">
        <f t="shared" si="38"/>
        <v>1.9466244576719431</v>
      </c>
      <c r="AI79" s="198">
        <f t="shared" si="39"/>
        <v>78.219845053454421</v>
      </c>
      <c r="AK79" s="71">
        <v>74</v>
      </c>
      <c r="AL79" s="33">
        <f t="shared" si="57"/>
        <v>0</v>
      </c>
      <c r="AM79" s="33">
        <f t="shared" si="58"/>
        <v>0</v>
      </c>
      <c r="AN79" s="33">
        <f t="shared" si="59"/>
        <v>0</v>
      </c>
      <c r="AO79" s="33">
        <f t="shared" si="60"/>
        <v>0</v>
      </c>
      <c r="AP79" s="33">
        <f t="shared" si="61"/>
        <v>0</v>
      </c>
      <c r="AQ79" s="193">
        <f t="shared" si="41"/>
        <v>0</v>
      </c>
      <c r="AR79" s="193">
        <f t="shared" si="42"/>
        <v>0</v>
      </c>
      <c r="AS79" s="193">
        <f t="shared" si="43"/>
        <v>0</v>
      </c>
      <c r="AT79" s="193">
        <f t="shared" si="44"/>
        <v>0</v>
      </c>
      <c r="AU79" s="33"/>
      <c r="AV79" s="33"/>
      <c r="AW79" s="33"/>
      <c r="AX79" s="33"/>
      <c r="AY79" s="76"/>
    </row>
    <row r="80" spans="2:51">
      <c r="B80" s="357" t="s">
        <v>259</v>
      </c>
      <c r="C80" s="358"/>
      <c r="D80" s="358"/>
      <c r="E80" s="358"/>
      <c r="F80" s="358"/>
      <c r="G80" s="359"/>
      <c r="H80" s="23"/>
      <c r="I80" s="55">
        <v>75</v>
      </c>
      <c r="J80" s="33">
        <f t="shared" si="64"/>
        <v>25.410000000000036</v>
      </c>
      <c r="K80" s="33">
        <f t="shared" si="65"/>
        <v>8.0355237105104518</v>
      </c>
      <c r="L80" s="33">
        <f t="shared" si="66"/>
        <v>70</v>
      </c>
      <c r="M80" s="33">
        <f t="shared" si="67"/>
        <v>10</v>
      </c>
      <c r="N80" s="33">
        <f t="shared" si="47"/>
        <v>0</v>
      </c>
      <c r="O80" s="34">
        <f t="shared" si="48"/>
        <v>351.58428712913906</v>
      </c>
      <c r="P80" s="55">
        <v>75</v>
      </c>
      <c r="Q80" s="33">
        <f t="shared" si="62"/>
        <v>16.249999999999986</v>
      </c>
      <c r="R80" s="33">
        <f t="shared" si="68"/>
        <v>530.4</v>
      </c>
      <c r="S80" s="33">
        <f t="shared" si="69"/>
        <v>233.376</v>
      </c>
      <c r="T80" s="33">
        <f t="shared" si="49"/>
        <v>57.012031446990107</v>
      </c>
      <c r="U80" s="33">
        <f t="shared" si="63"/>
        <v>70</v>
      </c>
      <c r="V80" s="33">
        <f t="shared" si="50"/>
        <v>10</v>
      </c>
      <c r="W80" s="33">
        <v>0</v>
      </c>
      <c r="X80" s="33">
        <f t="shared" si="51"/>
        <v>799.09248810350766</v>
      </c>
      <c r="Y80" s="38">
        <f t="shared" si="52"/>
        <v>447.50820097436861</v>
      </c>
      <c r="AA80" s="71">
        <v>75</v>
      </c>
      <c r="AB80" s="33">
        <f t="shared" si="53"/>
        <v>0</v>
      </c>
      <c r="AC80" s="304">
        <f t="shared" si="54"/>
        <v>0</v>
      </c>
      <c r="AD80" s="100">
        <f t="shared" si="55"/>
        <v>0</v>
      </c>
      <c r="AE80" s="100">
        <f t="shared" si="56"/>
        <v>0</v>
      </c>
      <c r="AF80" s="193">
        <f t="shared" si="36"/>
        <v>22.703290243293115</v>
      </c>
      <c r="AG80" s="193">
        <f t="shared" si="37"/>
        <v>51.663372898335361</v>
      </c>
      <c r="AH80" s="193">
        <f t="shared" si="38"/>
        <v>1.3764713544434166</v>
      </c>
      <c r="AI80" s="198">
        <f t="shared" si="39"/>
        <v>75.743134496071889</v>
      </c>
      <c r="AK80" s="71">
        <v>75</v>
      </c>
      <c r="AL80" s="33">
        <f t="shared" si="57"/>
        <v>0</v>
      </c>
      <c r="AM80" s="33">
        <f t="shared" si="58"/>
        <v>0</v>
      </c>
      <c r="AN80" s="33">
        <f t="shared" si="59"/>
        <v>0</v>
      </c>
      <c r="AO80" s="33">
        <f t="shared" si="60"/>
        <v>0</v>
      </c>
      <c r="AP80" s="33">
        <f t="shared" si="61"/>
        <v>0</v>
      </c>
      <c r="AQ80" s="193">
        <f t="shared" si="41"/>
        <v>0</v>
      </c>
      <c r="AR80" s="193">
        <f t="shared" si="42"/>
        <v>0</v>
      </c>
      <c r="AS80" s="193">
        <f t="shared" si="43"/>
        <v>0</v>
      </c>
      <c r="AT80" s="193">
        <f t="shared" si="44"/>
        <v>0</v>
      </c>
      <c r="AU80" s="33"/>
      <c r="AV80" s="33"/>
      <c r="AW80" s="33"/>
      <c r="AX80" s="33"/>
      <c r="AY80" s="76"/>
    </row>
    <row r="81" spans="2:51">
      <c r="B81" s="155" t="s">
        <v>76</v>
      </c>
      <c r="C81" s="131" t="s">
        <v>156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7"/>
      <c r="I81" s="55">
        <v>76</v>
      </c>
      <c r="J81" s="33">
        <f t="shared" si="64"/>
        <v>25.830000000000037</v>
      </c>
      <c r="K81" s="33">
        <f t="shared" si="65"/>
        <v>8.1527699937405416</v>
      </c>
      <c r="L81" s="33">
        <f t="shared" si="66"/>
        <v>70</v>
      </c>
      <c r="M81" s="33">
        <f t="shared" si="67"/>
        <v>10</v>
      </c>
      <c r="N81" s="33">
        <f t="shared" si="47"/>
        <v>0</v>
      </c>
      <c r="O81" s="34">
        <f t="shared" si="48"/>
        <v>352.51999107243154</v>
      </c>
      <c r="P81" s="55">
        <v>76</v>
      </c>
      <c r="Q81" s="33">
        <f t="shared" si="62"/>
        <v>-35.099999999999966</v>
      </c>
      <c r="R81" s="33">
        <f t="shared" si="68"/>
        <v>495.3</v>
      </c>
      <c r="S81" s="33">
        <f t="shared" si="69"/>
        <v>217.93200000000002</v>
      </c>
      <c r="T81" s="33">
        <f t="shared" si="49"/>
        <v>53.665169377903354</v>
      </c>
      <c r="U81" s="33">
        <f t="shared" si="63"/>
        <v>70</v>
      </c>
      <c r="V81" s="33">
        <f t="shared" si="50"/>
        <v>10</v>
      </c>
      <c r="W81" s="33">
        <v>0</v>
      </c>
      <c r="X81" s="33">
        <f t="shared" si="51"/>
        <v>766.3650699998484</v>
      </c>
      <c r="Y81" s="38">
        <f t="shared" si="52"/>
        <v>413.84507892741686</v>
      </c>
      <c r="AA81" s="71">
        <v>76</v>
      </c>
      <c r="AB81" s="33">
        <f t="shared" si="53"/>
        <v>27</v>
      </c>
      <c r="AC81" s="304">
        <f t="shared" si="54"/>
        <v>0.25</v>
      </c>
      <c r="AD81" s="100">
        <f t="shared" si="55"/>
        <v>0.28000000000000003</v>
      </c>
      <c r="AE81" s="100">
        <f t="shared" si="56"/>
        <v>0.22</v>
      </c>
      <c r="AF81" s="193">
        <f t="shared" si="36"/>
        <v>27.379957931713911</v>
      </c>
      <c r="AG81" s="193">
        <f t="shared" si="37"/>
        <v>55.964537711740434</v>
      </c>
      <c r="AH81" s="193">
        <f t="shared" si="38"/>
        <v>4.8202752614956941</v>
      </c>
      <c r="AI81" s="198">
        <f t="shared" si="39"/>
        <v>88.164770904950032</v>
      </c>
      <c r="AK81" s="71">
        <v>76</v>
      </c>
      <c r="AL81" s="33">
        <f t="shared" si="57"/>
        <v>27</v>
      </c>
      <c r="AM81" s="33">
        <f t="shared" si="58"/>
        <v>0.5</v>
      </c>
      <c r="AN81" s="33">
        <f t="shared" si="59"/>
        <v>0.28000000000000003</v>
      </c>
      <c r="AO81" s="33">
        <f t="shared" si="60"/>
        <v>0.22</v>
      </c>
      <c r="AP81" s="33">
        <f t="shared" si="61"/>
        <v>0</v>
      </c>
      <c r="AQ81" s="193">
        <f t="shared" si="41"/>
        <v>13.5</v>
      </c>
      <c r="AR81" s="193">
        <f t="shared" si="42"/>
        <v>7.5600000000000005</v>
      </c>
      <c r="AS81" s="193">
        <f t="shared" si="43"/>
        <v>5.94</v>
      </c>
      <c r="AT81" s="193">
        <f t="shared" si="44"/>
        <v>0</v>
      </c>
      <c r="AU81" s="33"/>
      <c r="AV81" s="33"/>
      <c r="AW81" s="33"/>
      <c r="AX81" s="33"/>
      <c r="AY81" s="76"/>
    </row>
    <row r="82" spans="2:51">
      <c r="B82" s="169">
        <f>IF(C25&lt;=$F$18,C25+1,"-")</f>
        <v>16</v>
      </c>
      <c r="C82" s="144">
        <f>D25-D26</f>
        <v>0</v>
      </c>
      <c r="D82" s="145">
        <v>0</v>
      </c>
      <c r="E82" s="170">
        <f>IF(G82+D82&lt;&gt;1,(1-(G82+D82))*56%,0)</f>
        <v>0.56000000000000005</v>
      </c>
      <c r="F82" s="170">
        <f>IF(G82+D82&lt;&gt;1,(1-(G82+D82))*44%,0)</f>
        <v>0.44</v>
      </c>
      <c r="G82" s="149"/>
      <c r="H82" s="58">
        <f t="shared" ref="H82:H93" si="70">IF(C82=0,0,IF(SUM(D82:G82)&lt;&gt;1,"erreur",))</f>
        <v>0</v>
      </c>
      <c r="I82" s="55">
        <v>77</v>
      </c>
      <c r="J82" s="33">
        <f t="shared" si="64"/>
        <v>26.250000000000039</v>
      </c>
      <c r="K82" s="33">
        <f t="shared" si="65"/>
        <v>8.2697945664731147</v>
      </c>
      <c r="L82" s="33">
        <f t="shared" si="66"/>
        <v>70</v>
      </c>
      <c r="M82" s="33">
        <f t="shared" si="67"/>
        <v>10</v>
      </c>
      <c r="N82" s="33">
        <f t="shared" si="47"/>
        <v>0</v>
      </c>
      <c r="O82" s="34">
        <f t="shared" si="48"/>
        <v>353.45530886994078</v>
      </c>
      <c r="P82" s="55">
        <v>77</v>
      </c>
      <c r="Q82" s="33">
        <f t="shared" si="62"/>
        <v>14.625000000000014</v>
      </c>
      <c r="R82" s="33">
        <f t="shared" si="68"/>
        <v>509.92500000000001</v>
      </c>
      <c r="S82" s="33">
        <f t="shared" si="69"/>
        <v>224.36700000000002</v>
      </c>
      <c r="T82" s="33">
        <f t="shared" si="49"/>
        <v>55.062943090135803</v>
      </c>
      <c r="U82" s="33">
        <f t="shared" si="63"/>
        <v>70</v>
      </c>
      <c r="V82" s="33">
        <f t="shared" si="50"/>
        <v>10</v>
      </c>
      <c r="W82" s="33">
        <v>0</v>
      </c>
      <c r="X82" s="33">
        <f t="shared" si="51"/>
        <v>780.00715088198649</v>
      </c>
      <c r="Y82" s="38">
        <f t="shared" si="52"/>
        <v>426.55184201204571</v>
      </c>
      <c r="AA82" s="71">
        <v>77</v>
      </c>
      <c r="AB82" s="33">
        <f t="shared" si="53"/>
        <v>0</v>
      </c>
      <c r="AC82" s="304">
        <f t="shared" si="54"/>
        <v>0</v>
      </c>
      <c r="AD82" s="100">
        <f t="shared" si="55"/>
        <v>0</v>
      </c>
      <c r="AE82" s="100">
        <f t="shared" si="56"/>
        <v>0</v>
      </c>
      <c r="AF82" s="193">
        <f t="shared" si="36"/>
        <v>26.84305365679834</v>
      </c>
      <c r="AG82" s="193">
        <f t="shared" si="37"/>
        <v>54.434184484965762</v>
      </c>
      <c r="AH82" s="193">
        <f t="shared" si="38"/>
        <v>3.4084493245893643</v>
      </c>
      <c r="AI82" s="198">
        <f t="shared" si="39"/>
        <v>84.685687466353471</v>
      </c>
      <c r="AK82" s="71">
        <v>77</v>
      </c>
      <c r="AL82" s="33">
        <f t="shared" si="57"/>
        <v>0</v>
      </c>
      <c r="AM82" s="33">
        <f t="shared" si="58"/>
        <v>0</v>
      </c>
      <c r="AN82" s="33">
        <f t="shared" si="59"/>
        <v>0</v>
      </c>
      <c r="AO82" s="33">
        <f t="shared" si="60"/>
        <v>0</v>
      </c>
      <c r="AP82" s="33">
        <f t="shared" si="61"/>
        <v>0</v>
      </c>
      <c r="AQ82" s="193">
        <f t="shared" si="41"/>
        <v>0</v>
      </c>
      <c r="AR82" s="193">
        <f t="shared" si="42"/>
        <v>0</v>
      </c>
      <c r="AS82" s="193">
        <f t="shared" si="43"/>
        <v>0</v>
      </c>
      <c r="AT82" s="193">
        <f t="shared" si="44"/>
        <v>0</v>
      </c>
      <c r="AU82" s="33"/>
      <c r="AV82" s="33"/>
      <c r="AW82" s="33"/>
      <c r="AX82" s="33"/>
      <c r="AY82" s="76"/>
    </row>
    <row r="83" spans="2:51">
      <c r="B83" s="171">
        <f>IF(C27&lt;=$F$18,C27+1,"-")</f>
        <v>21</v>
      </c>
      <c r="C83" s="147">
        <f>D27-D28</f>
        <v>0</v>
      </c>
      <c r="D83" s="148">
        <v>0</v>
      </c>
      <c r="E83" s="128">
        <f t="shared" ref="E83:E93" si="71">IF(G83+D83&lt;&gt;1,(1-(G83+D83))*56%,0)</f>
        <v>0.56000000000000005</v>
      </c>
      <c r="F83" s="128">
        <f t="shared" ref="F83:F93" si="72">IF(G83+D83&lt;&gt;1,(1-(G83+D83))*44%,0)</f>
        <v>0.44</v>
      </c>
      <c r="G83" s="149"/>
      <c r="H83" s="58">
        <f t="shared" si="70"/>
        <v>0</v>
      </c>
      <c r="I83" s="55">
        <v>78</v>
      </c>
      <c r="J83" s="33">
        <f t="shared" si="64"/>
        <v>26.670000000000041</v>
      </c>
      <c r="K83" s="33">
        <f t="shared" si="65"/>
        <v>8.3866013856443349</v>
      </c>
      <c r="L83" s="33">
        <f t="shared" si="66"/>
        <v>70</v>
      </c>
      <c r="M83" s="33">
        <f t="shared" si="67"/>
        <v>10</v>
      </c>
      <c r="N83" s="33">
        <f t="shared" si="47"/>
        <v>0</v>
      </c>
      <c r="O83" s="34">
        <f t="shared" si="48"/>
        <v>354.3902474133306</v>
      </c>
      <c r="P83" s="55">
        <v>78</v>
      </c>
      <c r="Q83" s="33">
        <f t="shared" si="62"/>
        <v>14.625000000000014</v>
      </c>
      <c r="R83" s="33">
        <f t="shared" si="68"/>
        <v>524.55000000000007</v>
      </c>
      <c r="S83" s="33">
        <f t="shared" si="69"/>
        <v>230.80200000000002</v>
      </c>
      <c r="T83" s="33">
        <f t="shared" si="49"/>
        <v>56.456057535276258</v>
      </c>
      <c r="U83" s="33">
        <f t="shared" si="63"/>
        <v>70</v>
      </c>
      <c r="V83" s="33">
        <f t="shared" si="50"/>
        <v>10</v>
      </c>
      <c r="W83" s="33">
        <v>0</v>
      </c>
      <c r="X83" s="33">
        <f t="shared" si="51"/>
        <v>793.6411168739395</v>
      </c>
      <c r="Y83" s="38">
        <f t="shared" si="52"/>
        <v>439.2508694606089</v>
      </c>
      <c r="AA83" s="71">
        <v>78</v>
      </c>
      <c r="AB83" s="33">
        <f t="shared" si="53"/>
        <v>0</v>
      </c>
      <c r="AC83" s="304">
        <f t="shared" si="54"/>
        <v>0</v>
      </c>
      <c r="AD83" s="100">
        <f t="shared" si="55"/>
        <v>0</v>
      </c>
      <c r="AE83" s="100">
        <f t="shared" si="56"/>
        <v>0</v>
      </c>
      <c r="AF83" s="193">
        <f t="shared" si="36"/>
        <v>26.316677747234589</v>
      </c>
      <c r="AG83" s="193">
        <f t="shared" si="37"/>
        <v>52.945678847655024</v>
      </c>
      <c r="AH83" s="193">
        <f t="shared" si="38"/>
        <v>2.4101376307478475</v>
      </c>
      <c r="AI83" s="198">
        <f t="shared" si="39"/>
        <v>81.67249422563745</v>
      </c>
      <c r="AK83" s="71">
        <v>78</v>
      </c>
      <c r="AL83" s="33">
        <f t="shared" si="57"/>
        <v>0</v>
      </c>
      <c r="AM83" s="33">
        <f t="shared" si="58"/>
        <v>0</v>
      </c>
      <c r="AN83" s="33">
        <f t="shared" si="59"/>
        <v>0</v>
      </c>
      <c r="AO83" s="33">
        <f t="shared" si="60"/>
        <v>0</v>
      </c>
      <c r="AP83" s="33">
        <f t="shared" si="61"/>
        <v>0</v>
      </c>
      <c r="AQ83" s="193">
        <f t="shared" si="41"/>
        <v>0</v>
      </c>
      <c r="AR83" s="193">
        <f t="shared" si="42"/>
        <v>0</v>
      </c>
      <c r="AS83" s="193">
        <f t="shared" si="43"/>
        <v>0</v>
      </c>
      <c r="AT83" s="193">
        <f t="shared" si="44"/>
        <v>0</v>
      </c>
      <c r="AU83" s="33"/>
      <c r="AV83" s="33"/>
      <c r="AW83" s="33"/>
      <c r="AX83" s="33"/>
      <c r="AY83" s="76"/>
    </row>
    <row r="84" spans="2:51">
      <c r="B84" s="186">
        <f>IF(C29&lt;=$F$18,C29+1,"-")</f>
        <v>26</v>
      </c>
      <c r="C84" s="147">
        <f>D29-D30</f>
        <v>33</v>
      </c>
      <c r="D84" s="148">
        <v>0</v>
      </c>
      <c r="E84" s="128">
        <f t="shared" si="71"/>
        <v>0.56000000000000005</v>
      </c>
      <c r="F84" s="128">
        <f t="shared" si="72"/>
        <v>0.44</v>
      </c>
      <c r="G84" s="149"/>
      <c r="H84" s="58">
        <f t="shared" si="70"/>
        <v>0</v>
      </c>
      <c r="I84" s="55">
        <v>79</v>
      </c>
      <c r="J84" s="33">
        <f t="shared" si="64"/>
        <v>27.090000000000042</v>
      </c>
      <c r="K84" s="33">
        <f t="shared" si="65"/>
        <v>8.5031942764136481</v>
      </c>
      <c r="L84" s="33">
        <f t="shared" si="66"/>
        <v>70</v>
      </c>
      <c r="M84" s="33">
        <f t="shared" si="67"/>
        <v>10</v>
      </c>
      <c r="N84" s="33">
        <f t="shared" si="47"/>
        <v>0</v>
      </c>
      <c r="O84" s="34">
        <f t="shared" si="48"/>
        <v>355.32481336475388</v>
      </c>
      <c r="P84" s="55">
        <v>79</v>
      </c>
      <c r="Q84" s="33">
        <f t="shared" si="62"/>
        <v>14.625000000000014</v>
      </c>
      <c r="R84" s="33">
        <f t="shared" si="68"/>
        <v>539.17500000000007</v>
      </c>
      <c r="S84" s="33">
        <f t="shared" si="69"/>
        <v>237.23700000000002</v>
      </c>
      <c r="T84" s="33">
        <f t="shared" si="49"/>
        <v>57.844657542443883</v>
      </c>
      <c r="U84" s="33">
        <f t="shared" si="63"/>
        <v>70</v>
      </c>
      <c r="V84" s="33">
        <f t="shared" si="50"/>
        <v>10</v>
      </c>
      <c r="W84" s="33">
        <v>0</v>
      </c>
      <c r="X84" s="33">
        <f t="shared" si="51"/>
        <v>807.2672202197565</v>
      </c>
      <c r="Y84" s="38">
        <f t="shared" si="52"/>
        <v>451.94240685500262</v>
      </c>
      <c r="AA84" s="71">
        <v>79</v>
      </c>
      <c r="AB84" s="33">
        <f t="shared" si="53"/>
        <v>0</v>
      </c>
      <c r="AC84" s="304">
        <f t="shared" si="54"/>
        <v>0</v>
      </c>
      <c r="AD84" s="100">
        <f t="shared" si="55"/>
        <v>0</v>
      </c>
      <c r="AE84" s="100">
        <f t="shared" si="56"/>
        <v>0</v>
      </c>
      <c r="AF84" s="193">
        <f t="shared" si="36"/>
        <v>25.800623748199783</v>
      </c>
      <c r="AG84" s="193">
        <f t="shared" si="37"/>
        <v>51.497876475273657</v>
      </c>
      <c r="AH84" s="193">
        <f t="shared" si="38"/>
        <v>1.7042246622946824</v>
      </c>
      <c r="AI84" s="198">
        <f t="shared" si="39"/>
        <v>79.002724885768117</v>
      </c>
      <c r="AK84" s="71">
        <v>79</v>
      </c>
      <c r="AL84" s="33">
        <f t="shared" si="57"/>
        <v>0</v>
      </c>
      <c r="AM84" s="33">
        <f t="shared" si="58"/>
        <v>0</v>
      </c>
      <c r="AN84" s="33">
        <f t="shared" si="59"/>
        <v>0</v>
      </c>
      <c r="AO84" s="33">
        <f t="shared" si="60"/>
        <v>0</v>
      </c>
      <c r="AP84" s="33">
        <f t="shared" si="61"/>
        <v>0</v>
      </c>
      <c r="AQ84" s="193">
        <f t="shared" si="41"/>
        <v>0</v>
      </c>
      <c r="AR84" s="193">
        <f t="shared" si="42"/>
        <v>0</v>
      </c>
      <c r="AS84" s="193">
        <f t="shared" si="43"/>
        <v>0</v>
      </c>
      <c r="AT84" s="193">
        <f t="shared" si="44"/>
        <v>0</v>
      </c>
      <c r="AU84" s="33"/>
      <c r="AV84" s="33"/>
      <c r="AW84" s="33"/>
      <c r="AX84" s="33"/>
      <c r="AY84" s="76"/>
    </row>
    <row r="85" spans="2:51">
      <c r="B85" s="171">
        <f>IF(C31&lt;=$F$18,C31+1,"-")</f>
        <v>31</v>
      </c>
      <c r="C85" s="147">
        <f>D31-D32</f>
        <v>35</v>
      </c>
      <c r="D85" s="148">
        <v>0.1</v>
      </c>
      <c r="E85" s="128">
        <f t="shared" si="71"/>
        <v>0.50400000000000011</v>
      </c>
      <c r="F85" s="128">
        <f t="shared" si="72"/>
        <v>0.39600000000000002</v>
      </c>
      <c r="G85" s="149"/>
      <c r="H85" s="58">
        <f t="shared" si="70"/>
        <v>0</v>
      </c>
      <c r="I85" s="55">
        <v>80</v>
      </c>
      <c r="J85" s="33">
        <f t="shared" si="64"/>
        <v>27.510000000000044</v>
      </c>
      <c r="K85" s="33">
        <f t="shared" si="65"/>
        <v>8.6195769385260075</v>
      </c>
      <c r="L85" s="33">
        <f t="shared" si="66"/>
        <v>70</v>
      </c>
      <c r="M85" s="33">
        <f t="shared" si="67"/>
        <v>10</v>
      </c>
      <c r="N85" s="33">
        <f t="shared" si="47"/>
        <v>0</v>
      </c>
      <c r="O85" s="34">
        <f t="shared" si="48"/>
        <v>356.25901316793284</v>
      </c>
      <c r="P85" s="55">
        <v>80</v>
      </c>
      <c r="Q85" s="33">
        <f t="shared" si="62"/>
        <v>14.625000000000014</v>
      </c>
      <c r="R85" s="33">
        <f t="shared" si="68"/>
        <v>553.80000000000007</v>
      </c>
      <c r="S85" s="33">
        <f t="shared" si="69"/>
        <v>243.67200000000003</v>
      </c>
      <c r="T85" s="33">
        <f t="shared" si="49"/>
        <v>59.228879636606202</v>
      </c>
      <c r="U85" s="33">
        <f t="shared" si="63"/>
        <v>70</v>
      </c>
      <c r="V85" s="33">
        <f t="shared" si="50"/>
        <v>10</v>
      </c>
      <c r="W85" s="33">
        <v>0</v>
      </c>
      <c r="X85" s="33">
        <f t="shared" si="51"/>
        <v>820.88569870042249</v>
      </c>
      <c r="Y85" s="38">
        <f t="shared" si="52"/>
        <v>464.62668553248966</v>
      </c>
      <c r="AA85" s="71">
        <v>80</v>
      </c>
      <c r="AB85" s="33">
        <f t="shared" si="53"/>
        <v>426</v>
      </c>
      <c r="AC85" s="304">
        <f t="shared" si="54"/>
        <v>0.45</v>
      </c>
      <c r="AD85" s="100">
        <f t="shared" si="55"/>
        <v>5.5999999999999994E-2</v>
      </c>
      <c r="AE85" s="100">
        <f t="shared" si="56"/>
        <v>4.3999999999999991E-2</v>
      </c>
      <c r="AF85" s="193">
        <f t="shared" si="36"/>
        <v>170.7556655469628</v>
      </c>
      <c r="AG85" s="193">
        <f t="shared" si="37"/>
        <v>68.120200993300841</v>
      </c>
      <c r="AH85" s="193">
        <f t="shared" si="38"/>
        <v>13.344374385100156</v>
      </c>
      <c r="AI85" s="198">
        <f t="shared" si="39"/>
        <v>252.22024092536381</v>
      </c>
      <c r="AK85" s="71">
        <v>80</v>
      </c>
      <c r="AL85" s="33">
        <f t="shared" si="57"/>
        <v>426</v>
      </c>
      <c r="AM85" s="33">
        <f t="shared" si="58"/>
        <v>0.9</v>
      </c>
      <c r="AN85" s="33">
        <f t="shared" si="59"/>
        <v>5.5999999999999994E-2</v>
      </c>
      <c r="AO85" s="33">
        <f t="shared" si="60"/>
        <v>4.3999999999999991E-2</v>
      </c>
      <c r="AP85" s="33">
        <f t="shared" si="61"/>
        <v>0</v>
      </c>
      <c r="AQ85" s="193">
        <f t="shared" si="41"/>
        <v>383.40000000000003</v>
      </c>
      <c r="AR85" s="193">
        <f t="shared" si="42"/>
        <v>23.855999999999998</v>
      </c>
      <c r="AS85" s="193">
        <f t="shared" si="43"/>
        <v>18.743999999999996</v>
      </c>
      <c r="AT85" s="193">
        <f t="shared" si="44"/>
        <v>0</v>
      </c>
      <c r="AU85" s="33"/>
      <c r="AV85" s="33"/>
      <c r="AW85" s="33"/>
      <c r="AX85" s="33"/>
      <c r="AY85" s="76"/>
    </row>
    <row r="86" spans="2:51">
      <c r="B86" s="171">
        <f>IF(C33&lt;=$F$18,C33+1,"-")</f>
        <v>36</v>
      </c>
      <c r="C86" s="147">
        <f>D33-D34</f>
        <v>35</v>
      </c>
      <c r="D86" s="148">
        <v>0.1</v>
      </c>
      <c r="E86" s="128">
        <f t="shared" si="71"/>
        <v>0.50400000000000011</v>
      </c>
      <c r="F86" s="128">
        <f t="shared" si="72"/>
        <v>0.39600000000000002</v>
      </c>
      <c r="G86" s="149"/>
      <c r="H86" s="58">
        <f t="shared" si="70"/>
        <v>0</v>
      </c>
      <c r="I86" s="55">
        <v>81</v>
      </c>
      <c r="J86" s="33">
        <f t="shared" si="64"/>
        <v>0</v>
      </c>
      <c r="K86" s="33">
        <f t="shared" si="65"/>
        <v>0</v>
      </c>
      <c r="L86" s="33">
        <f t="shared" si="66"/>
        <v>0</v>
      </c>
      <c r="M86" s="33">
        <f t="shared" si="67"/>
        <v>0</v>
      </c>
      <c r="N86" s="33">
        <f t="shared" si="47"/>
        <v>0</v>
      </c>
      <c r="O86" s="34">
        <f t="shared" si="48"/>
        <v>0</v>
      </c>
      <c r="P86" s="55">
        <v>81</v>
      </c>
      <c r="Q86" s="33">
        <f t="shared" si="62"/>
        <v>0</v>
      </c>
      <c r="R86" s="33">
        <f t="shared" si="68"/>
        <v>0</v>
      </c>
      <c r="S86" s="33">
        <f t="shared" si="69"/>
        <v>0</v>
      </c>
      <c r="T86" s="33">
        <f t="shared" si="49"/>
        <v>0</v>
      </c>
      <c r="U86" s="33">
        <f t="shared" si="63"/>
        <v>0</v>
      </c>
      <c r="V86" s="33">
        <f t="shared" si="50"/>
        <v>0</v>
      </c>
      <c r="W86" s="33">
        <v>0</v>
      </c>
      <c r="X86" s="33">
        <f t="shared" si="51"/>
        <v>0</v>
      </c>
      <c r="Y86" s="38">
        <f t="shared" si="52"/>
        <v>0</v>
      </c>
      <c r="AA86" s="71">
        <v>81</v>
      </c>
      <c r="AB86" s="33">
        <f t="shared" si="53"/>
        <v>0</v>
      </c>
      <c r="AC86" s="304">
        <f t="shared" si="54"/>
        <v>0</v>
      </c>
      <c r="AD86" s="100">
        <f t="shared" si="55"/>
        <v>0</v>
      </c>
      <c r="AE86" s="100">
        <f t="shared" si="56"/>
        <v>0</v>
      </c>
      <c r="AF86" s="193">
        <f t="shared" si="36"/>
        <v>0</v>
      </c>
      <c r="AG86" s="193">
        <f t="shared" si="37"/>
        <v>0</v>
      </c>
      <c r="AH86" s="193">
        <f t="shared" si="38"/>
        <v>0</v>
      </c>
      <c r="AI86" s="198">
        <f t="shared" si="39"/>
        <v>0</v>
      </c>
      <c r="AK86" s="71">
        <v>81</v>
      </c>
      <c r="AL86" s="33">
        <f t="shared" si="57"/>
        <v>0</v>
      </c>
      <c r="AM86" s="33">
        <f t="shared" si="58"/>
        <v>0</v>
      </c>
      <c r="AN86" s="33">
        <f t="shared" si="59"/>
        <v>0</v>
      </c>
      <c r="AO86" s="33">
        <f t="shared" si="60"/>
        <v>0</v>
      </c>
      <c r="AP86" s="33">
        <f t="shared" si="61"/>
        <v>0</v>
      </c>
      <c r="AQ86" s="193">
        <f t="shared" si="41"/>
        <v>0</v>
      </c>
      <c r="AR86" s="193">
        <f t="shared" si="42"/>
        <v>0</v>
      </c>
      <c r="AS86" s="193">
        <f t="shared" si="43"/>
        <v>0</v>
      </c>
      <c r="AT86" s="193">
        <f t="shared" si="44"/>
        <v>0</v>
      </c>
      <c r="AU86" s="33"/>
      <c r="AV86" s="33"/>
      <c r="AW86" s="33"/>
      <c r="AX86" s="33"/>
      <c r="AY86" s="76"/>
    </row>
    <row r="87" spans="2:51">
      <c r="B87" s="171">
        <f>IF(C35&lt;=$F$18,C35+1,"-")</f>
        <v>41</v>
      </c>
      <c r="C87" s="147">
        <f>D35-D36</f>
        <v>35</v>
      </c>
      <c r="D87" s="148">
        <v>0.2</v>
      </c>
      <c r="E87" s="128">
        <f t="shared" si="71"/>
        <v>0.44800000000000006</v>
      </c>
      <c r="F87" s="128">
        <f t="shared" si="72"/>
        <v>0.35200000000000004</v>
      </c>
      <c r="G87" s="149"/>
      <c r="H87" s="58">
        <f t="shared" si="70"/>
        <v>0</v>
      </c>
      <c r="I87" s="55">
        <v>82</v>
      </c>
      <c r="J87" s="33">
        <f t="shared" si="64"/>
        <v>0</v>
      </c>
      <c r="K87" s="33">
        <f t="shared" si="65"/>
        <v>0</v>
      </c>
      <c r="L87" s="33">
        <f t="shared" si="66"/>
        <v>0</v>
      </c>
      <c r="M87" s="33">
        <f t="shared" si="67"/>
        <v>0</v>
      </c>
      <c r="N87" s="33">
        <f t="shared" si="47"/>
        <v>0</v>
      </c>
      <c r="O87" s="34">
        <f t="shared" si="48"/>
        <v>0</v>
      </c>
      <c r="P87" s="55">
        <v>82</v>
      </c>
      <c r="Q87" s="33">
        <f t="shared" si="62"/>
        <v>0</v>
      </c>
      <c r="R87" s="33">
        <f t="shared" si="68"/>
        <v>0</v>
      </c>
      <c r="S87" s="33">
        <f t="shared" si="69"/>
        <v>0</v>
      </c>
      <c r="T87" s="33">
        <f t="shared" si="49"/>
        <v>0</v>
      </c>
      <c r="U87" s="33">
        <f t="shared" si="63"/>
        <v>0</v>
      </c>
      <c r="V87" s="33">
        <f t="shared" si="50"/>
        <v>0</v>
      </c>
      <c r="W87" s="33">
        <v>0</v>
      </c>
      <c r="X87" s="33">
        <f t="shared" si="51"/>
        <v>0</v>
      </c>
      <c r="Y87" s="38">
        <f t="shared" si="52"/>
        <v>0</v>
      </c>
      <c r="AA87" s="71">
        <v>82</v>
      </c>
      <c r="AB87" s="33">
        <f t="shared" si="53"/>
        <v>0</v>
      </c>
      <c r="AC87" s="304">
        <f t="shared" si="54"/>
        <v>0</v>
      </c>
      <c r="AD87" s="100">
        <f t="shared" si="55"/>
        <v>0</v>
      </c>
      <c r="AE87" s="100">
        <f t="shared" si="56"/>
        <v>0</v>
      </c>
      <c r="AF87" s="193">
        <f t="shared" si="36"/>
        <v>0</v>
      </c>
      <c r="AG87" s="193">
        <f t="shared" si="37"/>
        <v>0</v>
      </c>
      <c r="AH87" s="193">
        <f t="shared" si="38"/>
        <v>0</v>
      </c>
      <c r="AI87" s="198">
        <f t="shared" si="39"/>
        <v>0</v>
      </c>
      <c r="AK87" s="71">
        <v>82</v>
      </c>
      <c r="AL87" s="33">
        <f t="shared" si="57"/>
        <v>0</v>
      </c>
      <c r="AM87" s="33">
        <f t="shared" si="58"/>
        <v>0</v>
      </c>
      <c r="AN87" s="33">
        <f t="shared" si="59"/>
        <v>0</v>
      </c>
      <c r="AO87" s="33">
        <f t="shared" si="60"/>
        <v>0</v>
      </c>
      <c r="AP87" s="33">
        <f t="shared" si="61"/>
        <v>0</v>
      </c>
      <c r="AQ87" s="193">
        <f t="shared" si="41"/>
        <v>0</v>
      </c>
      <c r="AR87" s="193">
        <f t="shared" si="42"/>
        <v>0</v>
      </c>
      <c r="AS87" s="193">
        <f t="shared" si="43"/>
        <v>0</v>
      </c>
      <c r="AT87" s="193">
        <f t="shared" si="44"/>
        <v>0</v>
      </c>
      <c r="AU87" s="33"/>
      <c r="AV87" s="33"/>
      <c r="AW87" s="33"/>
      <c r="AX87" s="33"/>
      <c r="AY87" s="76"/>
    </row>
    <row r="88" spans="2:51">
      <c r="B88" s="171">
        <f>IF(C37&lt;=$F$18,C37+1,"-")</f>
        <v>46</v>
      </c>
      <c r="C88" s="147">
        <f>D37-D38</f>
        <v>35</v>
      </c>
      <c r="D88" s="148">
        <v>0.2</v>
      </c>
      <c r="E88" s="128">
        <f t="shared" si="71"/>
        <v>0.44800000000000006</v>
      </c>
      <c r="F88" s="128">
        <f t="shared" si="72"/>
        <v>0.35200000000000004</v>
      </c>
      <c r="G88" s="149"/>
      <c r="H88" s="58">
        <f t="shared" si="70"/>
        <v>0</v>
      </c>
      <c r="I88" s="55">
        <v>83</v>
      </c>
      <c r="J88" s="33">
        <f t="shared" si="64"/>
        <v>0</v>
      </c>
      <c r="K88" s="33">
        <f t="shared" si="65"/>
        <v>0</v>
      </c>
      <c r="L88" s="33">
        <f t="shared" si="66"/>
        <v>0</v>
      </c>
      <c r="M88" s="33">
        <f t="shared" si="67"/>
        <v>0</v>
      </c>
      <c r="N88" s="33">
        <f t="shared" si="47"/>
        <v>0</v>
      </c>
      <c r="O88" s="34">
        <f t="shared" si="48"/>
        <v>0</v>
      </c>
      <c r="P88" s="55">
        <v>83</v>
      </c>
      <c r="Q88" s="33">
        <f t="shared" si="62"/>
        <v>0</v>
      </c>
      <c r="R88" s="33">
        <f t="shared" si="68"/>
        <v>0</v>
      </c>
      <c r="S88" s="33">
        <f t="shared" si="69"/>
        <v>0</v>
      </c>
      <c r="T88" s="33">
        <f t="shared" si="49"/>
        <v>0</v>
      </c>
      <c r="U88" s="33">
        <f t="shared" si="63"/>
        <v>0</v>
      </c>
      <c r="V88" s="33">
        <f t="shared" si="50"/>
        <v>0</v>
      </c>
      <c r="W88" s="33">
        <v>0</v>
      </c>
      <c r="X88" s="33">
        <f t="shared" si="51"/>
        <v>0</v>
      </c>
      <c r="Y88" s="38">
        <f t="shared" si="52"/>
        <v>0</v>
      </c>
      <c r="AA88" s="71">
        <v>83</v>
      </c>
      <c r="AB88" s="33">
        <f t="shared" si="53"/>
        <v>0</v>
      </c>
      <c r="AC88" s="304">
        <f t="shared" si="54"/>
        <v>0</v>
      </c>
      <c r="AD88" s="100">
        <f t="shared" si="55"/>
        <v>0</v>
      </c>
      <c r="AE88" s="100">
        <f t="shared" si="56"/>
        <v>0</v>
      </c>
      <c r="AF88" s="193">
        <f t="shared" si="36"/>
        <v>0</v>
      </c>
      <c r="AG88" s="193">
        <f t="shared" si="37"/>
        <v>0</v>
      </c>
      <c r="AH88" s="193">
        <f t="shared" si="38"/>
        <v>0</v>
      </c>
      <c r="AI88" s="198">
        <f t="shared" si="39"/>
        <v>0</v>
      </c>
      <c r="AK88" s="71">
        <v>83</v>
      </c>
      <c r="AL88" s="33">
        <f t="shared" si="57"/>
        <v>0</v>
      </c>
      <c r="AM88" s="33">
        <f t="shared" si="58"/>
        <v>0</v>
      </c>
      <c r="AN88" s="33">
        <f t="shared" si="59"/>
        <v>0</v>
      </c>
      <c r="AO88" s="33">
        <f t="shared" si="60"/>
        <v>0</v>
      </c>
      <c r="AP88" s="33">
        <f t="shared" si="61"/>
        <v>0</v>
      </c>
      <c r="AQ88" s="193">
        <f t="shared" si="41"/>
        <v>0</v>
      </c>
      <c r="AR88" s="193">
        <f t="shared" si="42"/>
        <v>0</v>
      </c>
      <c r="AS88" s="193">
        <f t="shared" si="43"/>
        <v>0</v>
      </c>
      <c r="AT88" s="193">
        <f t="shared" si="44"/>
        <v>0</v>
      </c>
      <c r="AU88" s="33"/>
      <c r="AV88" s="33"/>
      <c r="AW88" s="33"/>
      <c r="AX88" s="33"/>
      <c r="AY88" s="76"/>
    </row>
    <row r="89" spans="2:51">
      <c r="B89" s="171">
        <f>IF(C39&lt;=$F$18,C39+1,"-")</f>
        <v>51</v>
      </c>
      <c r="C89" s="147">
        <f>D39-D40</f>
        <v>35</v>
      </c>
      <c r="D89" s="148">
        <v>0.3</v>
      </c>
      <c r="E89" s="128">
        <f t="shared" si="71"/>
        <v>0.39200000000000002</v>
      </c>
      <c r="F89" s="128">
        <f t="shared" si="72"/>
        <v>0.308</v>
      </c>
      <c r="G89" s="149"/>
      <c r="H89" s="58">
        <f t="shared" si="70"/>
        <v>0</v>
      </c>
      <c r="I89" s="55">
        <v>84</v>
      </c>
      <c r="J89" s="33">
        <f t="shared" si="64"/>
        <v>0</v>
      </c>
      <c r="K89" s="33">
        <f t="shared" si="65"/>
        <v>0</v>
      </c>
      <c r="L89" s="33">
        <f t="shared" si="66"/>
        <v>0</v>
      </c>
      <c r="M89" s="33">
        <f t="shared" si="67"/>
        <v>0</v>
      </c>
      <c r="N89" s="33">
        <f t="shared" si="47"/>
        <v>0</v>
      </c>
      <c r="O89" s="34">
        <f t="shared" si="48"/>
        <v>0</v>
      </c>
      <c r="P89" s="55">
        <v>84</v>
      </c>
      <c r="Q89" s="33">
        <f t="shared" si="62"/>
        <v>0</v>
      </c>
      <c r="R89" s="33">
        <f t="shared" si="68"/>
        <v>0</v>
      </c>
      <c r="S89" s="33">
        <f t="shared" si="69"/>
        <v>0</v>
      </c>
      <c r="T89" s="33">
        <f t="shared" si="49"/>
        <v>0</v>
      </c>
      <c r="U89" s="33">
        <f t="shared" si="63"/>
        <v>0</v>
      </c>
      <c r="V89" s="33">
        <f t="shared" si="50"/>
        <v>0</v>
      </c>
      <c r="W89" s="33">
        <v>0</v>
      </c>
      <c r="X89" s="33">
        <f t="shared" si="51"/>
        <v>0</v>
      </c>
      <c r="Y89" s="38">
        <f t="shared" si="52"/>
        <v>0</v>
      </c>
      <c r="AA89" s="71">
        <v>84</v>
      </c>
      <c r="AB89" s="33">
        <f t="shared" si="53"/>
        <v>0</v>
      </c>
      <c r="AC89" s="304">
        <f t="shared" si="54"/>
        <v>0</v>
      </c>
      <c r="AD89" s="100">
        <f t="shared" si="55"/>
        <v>0</v>
      </c>
      <c r="AE89" s="100">
        <f t="shared" si="56"/>
        <v>0</v>
      </c>
      <c r="AF89" s="193">
        <f t="shared" si="36"/>
        <v>0</v>
      </c>
      <c r="AG89" s="193">
        <f t="shared" si="37"/>
        <v>0</v>
      </c>
      <c r="AH89" s="193">
        <f t="shared" si="38"/>
        <v>0</v>
      </c>
      <c r="AI89" s="198">
        <f t="shared" si="39"/>
        <v>0</v>
      </c>
      <c r="AK89" s="71">
        <v>84</v>
      </c>
      <c r="AL89" s="33">
        <f t="shared" si="57"/>
        <v>0</v>
      </c>
      <c r="AM89" s="33">
        <f t="shared" si="58"/>
        <v>0</v>
      </c>
      <c r="AN89" s="33">
        <f t="shared" si="59"/>
        <v>0</v>
      </c>
      <c r="AO89" s="33">
        <f t="shared" si="60"/>
        <v>0</v>
      </c>
      <c r="AP89" s="33">
        <f t="shared" si="61"/>
        <v>0</v>
      </c>
      <c r="AQ89" s="193">
        <f t="shared" si="41"/>
        <v>0</v>
      </c>
      <c r="AR89" s="193">
        <f t="shared" si="42"/>
        <v>0</v>
      </c>
      <c r="AS89" s="193">
        <f t="shared" si="43"/>
        <v>0</v>
      </c>
      <c r="AT89" s="193">
        <f t="shared" si="44"/>
        <v>0</v>
      </c>
      <c r="AU89" s="33"/>
      <c r="AV89" s="33"/>
      <c r="AW89" s="33"/>
      <c r="AX89" s="33"/>
      <c r="AY89" s="76"/>
    </row>
    <row r="90" spans="2:51">
      <c r="B90" s="171">
        <f>IF(C41&lt;=$F$18,C41+1,"-")</f>
        <v>56</v>
      </c>
      <c r="C90" s="147">
        <f>D41-D42</f>
        <v>35</v>
      </c>
      <c r="D90" s="148">
        <v>0.3</v>
      </c>
      <c r="E90" s="128">
        <f t="shared" si="71"/>
        <v>0.39200000000000002</v>
      </c>
      <c r="F90" s="128">
        <f t="shared" si="72"/>
        <v>0.308</v>
      </c>
      <c r="G90" s="149"/>
      <c r="H90" s="58">
        <f t="shared" si="70"/>
        <v>0</v>
      </c>
      <c r="I90" s="55">
        <v>85</v>
      </c>
      <c r="J90" s="33">
        <f t="shared" si="64"/>
        <v>0</v>
      </c>
      <c r="K90" s="33">
        <f t="shared" si="65"/>
        <v>0</v>
      </c>
      <c r="L90" s="33">
        <f t="shared" si="66"/>
        <v>0</v>
      </c>
      <c r="M90" s="33">
        <f t="shared" si="67"/>
        <v>0</v>
      </c>
      <c r="N90" s="33">
        <f t="shared" si="47"/>
        <v>0</v>
      </c>
      <c r="O90" s="34">
        <f t="shared" si="48"/>
        <v>0</v>
      </c>
      <c r="P90" s="55">
        <v>85</v>
      </c>
      <c r="Q90" s="33">
        <f t="shared" si="62"/>
        <v>0</v>
      </c>
      <c r="R90" s="33">
        <f t="shared" si="68"/>
        <v>0</v>
      </c>
      <c r="S90" s="33">
        <f t="shared" si="69"/>
        <v>0</v>
      </c>
      <c r="T90" s="33">
        <f t="shared" si="49"/>
        <v>0</v>
      </c>
      <c r="U90" s="33">
        <f t="shared" si="63"/>
        <v>0</v>
      </c>
      <c r="V90" s="33">
        <f t="shared" si="50"/>
        <v>0</v>
      </c>
      <c r="W90" s="33">
        <v>0</v>
      </c>
      <c r="X90" s="33">
        <f t="shared" si="51"/>
        <v>0</v>
      </c>
      <c r="Y90" s="38">
        <f t="shared" si="52"/>
        <v>0</v>
      </c>
      <c r="AA90" s="71">
        <v>85</v>
      </c>
      <c r="AB90" s="33">
        <f t="shared" si="53"/>
        <v>0</v>
      </c>
      <c r="AC90" s="304">
        <f t="shared" si="54"/>
        <v>0</v>
      </c>
      <c r="AD90" s="100">
        <f t="shared" si="55"/>
        <v>0</v>
      </c>
      <c r="AE90" s="100">
        <f t="shared" si="56"/>
        <v>0</v>
      </c>
      <c r="AF90" s="193">
        <f t="shared" si="36"/>
        <v>0</v>
      </c>
      <c r="AG90" s="193">
        <f t="shared" si="37"/>
        <v>0</v>
      </c>
      <c r="AH90" s="193">
        <f t="shared" si="38"/>
        <v>0</v>
      </c>
      <c r="AI90" s="198">
        <f t="shared" si="39"/>
        <v>0</v>
      </c>
      <c r="AK90" s="71">
        <v>85</v>
      </c>
      <c r="AL90" s="33">
        <f t="shared" si="57"/>
        <v>0</v>
      </c>
      <c r="AM90" s="33">
        <f t="shared" si="58"/>
        <v>0</v>
      </c>
      <c r="AN90" s="33">
        <f t="shared" si="59"/>
        <v>0</v>
      </c>
      <c r="AO90" s="33">
        <f t="shared" si="60"/>
        <v>0</v>
      </c>
      <c r="AP90" s="33">
        <f t="shared" si="61"/>
        <v>0</v>
      </c>
      <c r="AQ90" s="193">
        <f t="shared" si="41"/>
        <v>0</v>
      </c>
      <c r="AR90" s="193">
        <f t="shared" si="42"/>
        <v>0</v>
      </c>
      <c r="AS90" s="193">
        <f t="shared" si="43"/>
        <v>0</v>
      </c>
      <c r="AT90" s="193">
        <f t="shared" si="44"/>
        <v>0</v>
      </c>
      <c r="AU90" s="33"/>
      <c r="AV90" s="33"/>
      <c r="AW90" s="33"/>
      <c r="AX90" s="33"/>
      <c r="AY90" s="76"/>
    </row>
    <row r="91" spans="2:51">
      <c r="B91" s="171">
        <f>IF(C43&lt;=$F$18,C43+1,"-")</f>
        <v>61</v>
      </c>
      <c r="C91" s="147">
        <f>D43-D44</f>
        <v>35</v>
      </c>
      <c r="D91" s="148">
        <v>0.4</v>
      </c>
      <c r="E91" s="128">
        <f t="shared" si="71"/>
        <v>0.33600000000000002</v>
      </c>
      <c r="F91" s="128">
        <f t="shared" si="72"/>
        <v>0.26400000000000001</v>
      </c>
      <c r="G91" s="149"/>
      <c r="H91" s="58">
        <f t="shared" si="70"/>
        <v>0</v>
      </c>
      <c r="I91" s="55">
        <v>86</v>
      </c>
      <c r="J91" s="33">
        <f t="shared" si="64"/>
        <v>0</v>
      </c>
      <c r="K91" s="33">
        <f t="shared" si="65"/>
        <v>0</v>
      </c>
      <c r="L91" s="33">
        <f t="shared" si="66"/>
        <v>0</v>
      </c>
      <c r="M91" s="33">
        <f t="shared" si="67"/>
        <v>0</v>
      </c>
      <c r="N91" s="33">
        <f t="shared" si="47"/>
        <v>0</v>
      </c>
      <c r="O91" s="34">
        <f t="shared" si="48"/>
        <v>0</v>
      </c>
      <c r="P91" s="55">
        <v>86</v>
      </c>
      <c r="Q91" s="33">
        <f t="shared" si="62"/>
        <v>0</v>
      </c>
      <c r="R91" s="33">
        <f t="shared" si="68"/>
        <v>0</v>
      </c>
      <c r="S91" s="33">
        <f t="shared" si="69"/>
        <v>0</v>
      </c>
      <c r="T91" s="33">
        <f t="shared" si="49"/>
        <v>0</v>
      </c>
      <c r="U91" s="33">
        <f t="shared" si="63"/>
        <v>0</v>
      </c>
      <c r="V91" s="33">
        <f t="shared" si="50"/>
        <v>0</v>
      </c>
      <c r="W91" s="33">
        <v>0</v>
      </c>
      <c r="X91" s="33">
        <f t="shared" si="51"/>
        <v>0</v>
      </c>
      <c r="Y91" s="38">
        <f t="shared" si="52"/>
        <v>0</v>
      </c>
      <c r="AA91" s="71">
        <v>86</v>
      </c>
      <c r="AB91" s="33">
        <f t="shared" si="53"/>
        <v>0</v>
      </c>
      <c r="AC91" s="304">
        <f t="shared" si="54"/>
        <v>0</v>
      </c>
      <c r="AD91" s="100">
        <f t="shared" si="55"/>
        <v>0</v>
      </c>
      <c r="AE91" s="100">
        <f t="shared" si="56"/>
        <v>0</v>
      </c>
      <c r="AF91" s="193">
        <f t="shared" ref="AF91:AF154" si="73">IF(OR(AA91&lt;=$F$18,AA91&lt;=30),EXP(-LN(2)/$D$104)*AF90+((1-EXP(-LN(2)/$D$104))/(LN(2)/$D$104))*$AB91*AC91*0.475*$F$19*44/12,)</f>
        <v>0</v>
      </c>
      <c r="AG91" s="193">
        <f t="shared" ref="AG91:AG154" si="74">IF(OR(AA91&lt;=$F$18,AA91&lt;=30),EXP(-LN(2)/$D$106)*AG90+((1-EXP(-LN(2)/$D$106))/(LN(2)/$D$106))*$AB91*AD91*0.475*$F$19*44/12,)</f>
        <v>0</v>
      </c>
      <c r="AH91" s="193">
        <f t="shared" ref="AH91:AH154" si="75">IF(OR(AA91&lt;=$F$18,AA91&lt;=30),EXP(-LN(2)/$D$105)*AH90+((1-EXP(-LN(2)/$D$105))/(LN(2)/$D$105))*$AB91*AE91*0.475*$F$19*44/12,)</f>
        <v>0</v>
      </c>
      <c r="AI91" s="198">
        <f t="shared" ref="AI91:AI154" si="76">IF(OR(AA91&lt;=$F$18,AA91&lt;=30),SUM(AF91:AH91),)</f>
        <v>0</v>
      </c>
      <c r="AK91" s="71">
        <v>86</v>
      </c>
      <c r="AL91" s="33">
        <f t="shared" si="57"/>
        <v>0</v>
      </c>
      <c r="AM91" s="33">
        <f t="shared" si="58"/>
        <v>0</v>
      </c>
      <c r="AN91" s="33">
        <f t="shared" si="59"/>
        <v>0</v>
      </c>
      <c r="AO91" s="33">
        <f t="shared" si="60"/>
        <v>0</v>
      </c>
      <c r="AP91" s="33">
        <f t="shared" si="61"/>
        <v>0</v>
      </c>
      <c r="AQ91" s="193">
        <f t="shared" si="41"/>
        <v>0</v>
      </c>
      <c r="AR91" s="193">
        <f t="shared" si="42"/>
        <v>0</v>
      </c>
      <c r="AS91" s="193">
        <f t="shared" si="43"/>
        <v>0</v>
      </c>
      <c r="AT91" s="193">
        <f t="shared" si="44"/>
        <v>0</v>
      </c>
      <c r="AU91" s="33"/>
      <c r="AV91" s="33"/>
      <c r="AW91" s="33"/>
      <c r="AX91" s="33"/>
      <c r="AY91" s="76"/>
    </row>
    <row r="92" spans="2:51">
      <c r="B92" s="171">
        <f>IF(C45&lt;=$F$18,C45+1,"-")</f>
        <v>66</v>
      </c>
      <c r="C92" s="147">
        <f>D45-D46</f>
        <v>33</v>
      </c>
      <c r="D92" s="148">
        <v>0.4</v>
      </c>
      <c r="E92" s="128">
        <f t="shared" si="71"/>
        <v>0.33600000000000002</v>
      </c>
      <c r="F92" s="128">
        <f t="shared" si="72"/>
        <v>0.26400000000000001</v>
      </c>
      <c r="G92" s="149"/>
      <c r="H92" s="58">
        <f t="shared" si="70"/>
        <v>0</v>
      </c>
      <c r="I92" s="55">
        <v>87</v>
      </c>
      <c r="J92" s="33">
        <f t="shared" si="64"/>
        <v>0</v>
      </c>
      <c r="K92" s="33">
        <f t="shared" si="65"/>
        <v>0</v>
      </c>
      <c r="L92" s="33">
        <f t="shared" si="66"/>
        <v>0</v>
      </c>
      <c r="M92" s="33">
        <f t="shared" si="67"/>
        <v>0</v>
      </c>
      <c r="N92" s="33">
        <f t="shared" si="47"/>
        <v>0</v>
      </c>
      <c r="O92" s="34">
        <f t="shared" si="48"/>
        <v>0</v>
      </c>
      <c r="P92" s="55">
        <v>87</v>
      </c>
      <c r="Q92" s="33">
        <f t="shared" si="62"/>
        <v>0</v>
      </c>
      <c r="R92" s="33">
        <f t="shared" si="68"/>
        <v>0</v>
      </c>
      <c r="S92" s="33">
        <f t="shared" si="69"/>
        <v>0</v>
      </c>
      <c r="T92" s="33">
        <f t="shared" si="49"/>
        <v>0</v>
      </c>
      <c r="U92" s="33">
        <f t="shared" si="63"/>
        <v>0</v>
      </c>
      <c r="V92" s="33">
        <f t="shared" si="50"/>
        <v>0</v>
      </c>
      <c r="W92" s="33">
        <v>0</v>
      </c>
      <c r="X92" s="33">
        <f t="shared" si="51"/>
        <v>0</v>
      </c>
      <c r="Y92" s="38">
        <f t="shared" si="52"/>
        <v>0</v>
      </c>
      <c r="AA92" s="71">
        <v>87</v>
      </c>
      <c r="AB92" s="33">
        <f t="shared" si="53"/>
        <v>0</v>
      </c>
      <c r="AC92" s="304">
        <f t="shared" si="54"/>
        <v>0</v>
      </c>
      <c r="AD92" s="100">
        <f t="shared" si="55"/>
        <v>0</v>
      </c>
      <c r="AE92" s="100">
        <f t="shared" si="56"/>
        <v>0</v>
      </c>
      <c r="AF92" s="193">
        <f t="shared" si="73"/>
        <v>0</v>
      </c>
      <c r="AG92" s="193">
        <f t="shared" si="74"/>
        <v>0</v>
      </c>
      <c r="AH92" s="193">
        <f t="shared" si="75"/>
        <v>0</v>
      </c>
      <c r="AI92" s="198">
        <f t="shared" si="76"/>
        <v>0</v>
      </c>
      <c r="AK92" s="71">
        <v>87</v>
      </c>
      <c r="AL92" s="33">
        <f t="shared" si="57"/>
        <v>0</v>
      </c>
      <c r="AM92" s="33">
        <f t="shared" si="58"/>
        <v>0</v>
      </c>
      <c r="AN92" s="33">
        <f t="shared" si="59"/>
        <v>0</v>
      </c>
      <c r="AO92" s="33">
        <f t="shared" si="60"/>
        <v>0</v>
      </c>
      <c r="AP92" s="33">
        <f t="shared" si="61"/>
        <v>0</v>
      </c>
      <c r="AQ92" s="193">
        <f t="shared" si="41"/>
        <v>0</v>
      </c>
      <c r="AR92" s="193">
        <f t="shared" si="42"/>
        <v>0</v>
      </c>
      <c r="AS92" s="193">
        <f t="shared" si="43"/>
        <v>0</v>
      </c>
      <c r="AT92" s="193">
        <f t="shared" si="44"/>
        <v>0</v>
      </c>
      <c r="AU92" s="33"/>
      <c r="AV92" s="33"/>
      <c r="AW92" s="33"/>
      <c r="AX92" s="33"/>
      <c r="AY92" s="76"/>
    </row>
    <row r="93" spans="2:51">
      <c r="B93" s="171">
        <f>IF(C47&lt;=$F$18,C47+1,"-")</f>
        <v>71</v>
      </c>
      <c r="C93" s="147">
        <f>D47-D48</f>
        <v>30</v>
      </c>
      <c r="D93" s="148">
        <v>0.5</v>
      </c>
      <c r="E93" s="128">
        <f t="shared" si="71"/>
        <v>0.28000000000000003</v>
      </c>
      <c r="F93" s="128">
        <f t="shared" si="72"/>
        <v>0.22</v>
      </c>
      <c r="G93" s="149"/>
      <c r="H93" s="58">
        <f t="shared" si="70"/>
        <v>0</v>
      </c>
      <c r="I93" s="55">
        <v>88</v>
      </c>
      <c r="J93" s="33">
        <f t="shared" si="64"/>
        <v>0</v>
      </c>
      <c r="K93" s="33">
        <f t="shared" si="65"/>
        <v>0</v>
      </c>
      <c r="L93" s="33">
        <f t="shared" si="66"/>
        <v>0</v>
      </c>
      <c r="M93" s="33">
        <f t="shared" si="67"/>
        <v>0</v>
      </c>
      <c r="N93" s="33">
        <f t="shared" si="47"/>
        <v>0</v>
      </c>
      <c r="O93" s="34">
        <f t="shared" si="48"/>
        <v>0</v>
      </c>
      <c r="P93" s="55">
        <v>88</v>
      </c>
      <c r="Q93" s="33">
        <f t="shared" si="62"/>
        <v>0</v>
      </c>
      <c r="R93" s="33">
        <f t="shared" si="68"/>
        <v>0</v>
      </c>
      <c r="S93" s="33">
        <f t="shared" si="69"/>
        <v>0</v>
      </c>
      <c r="T93" s="33">
        <f t="shared" si="49"/>
        <v>0</v>
      </c>
      <c r="U93" s="33">
        <f t="shared" si="63"/>
        <v>0</v>
      </c>
      <c r="V93" s="33">
        <f t="shared" si="50"/>
        <v>0</v>
      </c>
      <c r="W93" s="33">
        <v>0</v>
      </c>
      <c r="X93" s="33">
        <f t="shared" si="51"/>
        <v>0</v>
      </c>
      <c r="Y93" s="38">
        <f t="shared" si="52"/>
        <v>0</v>
      </c>
      <c r="AA93" s="71">
        <v>88</v>
      </c>
      <c r="AB93" s="33">
        <f t="shared" si="53"/>
        <v>0</v>
      </c>
      <c r="AC93" s="304">
        <f t="shared" si="54"/>
        <v>0</v>
      </c>
      <c r="AD93" s="100">
        <f t="shared" si="55"/>
        <v>0</v>
      </c>
      <c r="AE93" s="100">
        <f t="shared" si="56"/>
        <v>0</v>
      </c>
      <c r="AF93" s="193">
        <f t="shared" si="73"/>
        <v>0</v>
      </c>
      <c r="AG93" s="193">
        <f t="shared" si="74"/>
        <v>0</v>
      </c>
      <c r="AH93" s="193">
        <f t="shared" si="75"/>
        <v>0</v>
      </c>
      <c r="AI93" s="198">
        <f t="shared" si="76"/>
        <v>0</v>
      </c>
      <c r="AK93" s="71">
        <v>88</v>
      </c>
      <c r="AL93" s="33">
        <f t="shared" si="57"/>
        <v>0</v>
      </c>
      <c r="AM93" s="33">
        <f t="shared" si="58"/>
        <v>0</v>
      </c>
      <c r="AN93" s="33">
        <f t="shared" si="59"/>
        <v>0</v>
      </c>
      <c r="AO93" s="33">
        <f t="shared" si="60"/>
        <v>0</v>
      </c>
      <c r="AP93" s="33">
        <f t="shared" si="61"/>
        <v>0</v>
      </c>
      <c r="AQ93" s="193">
        <f t="shared" si="41"/>
        <v>0</v>
      </c>
      <c r="AR93" s="193">
        <f t="shared" si="42"/>
        <v>0</v>
      </c>
      <c r="AS93" s="193">
        <f t="shared" si="43"/>
        <v>0</v>
      </c>
      <c r="AT93" s="193">
        <f t="shared" si="44"/>
        <v>0</v>
      </c>
      <c r="AU93" s="33"/>
      <c r="AV93" s="33"/>
      <c r="AW93" s="33"/>
      <c r="AX93" s="33"/>
      <c r="AY93" s="76"/>
    </row>
    <row r="94" spans="2:51">
      <c r="B94" s="171">
        <f>IF(C49&lt;=$F$18,C49+1,"-")</f>
        <v>76</v>
      </c>
      <c r="C94" s="147">
        <f>D49-D50</f>
        <v>27</v>
      </c>
      <c r="D94" s="148">
        <v>0.5</v>
      </c>
      <c r="E94" s="128">
        <f>IF(G94+D94&lt;&gt;1,(1-(G94+D94))*56%,0)</f>
        <v>0.28000000000000003</v>
      </c>
      <c r="F94" s="128">
        <f>IF(G94+D94&lt;&gt;1,(1-(G94+D94))*44%,0)</f>
        <v>0.22</v>
      </c>
      <c r="G94" s="149"/>
      <c r="H94" s="58">
        <f>IF(C94=0,0,IF(SUM(D94:G94)&lt;&gt;1,"erreur",))</f>
        <v>0</v>
      </c>
      <c r="I94" s="55">
        <v>89</v>
      </c>
      <c r="J94" s="33">
        <f t="shared" si="64"/>
        <v>0</v>
      </c>
      <c r="K94" s="33">
        <f t="shared" si="65"/>
        <v>0</v>
      </c>
      <c r="L94" s="33">
        <f t="shared" si="66"/>
        <v>0</v>
      </c>
      <c r="M94" s="33">
        <f t="shared" si="67"/>
        <v>0</v>
      </c>
      <c r="N94" s="33">
        <f t="shared" si="47"/>
        <v>0</v>
      </c>
      <c r="O94" s="34">
        <f t="shared" si="48"/>
        <v>0</v>
      </c>
      <c r="P94" s="55">
        <v>89</v>
      </c>
      <c r="Q94" s="33">
        <f t="shared" si="62"/>
        <v>0</v>
      </c>
      <c r="R94" s="33">
        <f t="shared" si="68"/>
        <v>0</v>
      </c>
      <c r="S94" s="33">
        <f t="shared" si="69"/>
        <v>0</v>
      </c>
      <c r="T94" s="33">
        <f t="shared" si="49"/>
        <v>0</v>
      </c>
      <c r="U94" s="33">
        <f t="shared" si="63"/>
        <v>0</v>
      </c>
      <c r="V94" s="33">
        <f t="shared" si="50"/>
        <v>0</v>
      </c>
      <c r="W94" s="33">
        <v>0</v>
      </c>
      <c r="X94" s="33">
        <f t="shared" si="51"/>
        <v>0</v>
      </c>
      <c r="Y94" s="38">
        <f t="shared" si="52"/>
        <v>0</v>
      </c>
      <c r="AA94" s="71">
        <v>89</v>
      </c>
      <c r="AB94" s="33">
        <f t="shared" si="53"/>
        <v>0</v>
      </c>
      <c r="AC94" s="304">
        <f t="shared" si="54"/>
        <v>0</v>
      </c>
      <c r="AD94" s="100">
        <f t="shared" si="55"/>
        <v>0</v>
      </c>
      <c r="AE94" s="100">
        <f t="shared" si="56"/>
        <v>0</v>
      </c>
      <c r="AF94" s="193">
        <f t="shared" si="73"/>
        <v>0</v>
      </c>
      <c r="AG94" s="193">
        <f t="shared" si="74"/>
        <v>0</v>
      </c>
      <c r="AH94" s="193">
        <f t="shared" si="75"/>
        <v>0</v>
      </c>
      <c r="AI94" s="198">
        <f t="shared" si="76"/>
        <v>0</v>
      </c>
      <c r="AK94" s="71">
        <v>89</v>
      </c>
      <c r="AL94" s="33">
        <f t="shared" si="57"/>
        <v>0</v>
      </c>
      <c r="AM94" s="33">
        <f t="shared" si="58"/>
        <v>0</v>
      </c>
      <c r="AN94" s="33">
        <f t="shared" si="59"/>
        <v>0</v>
      </c>
      <c r="AO94" s="33">
        <f t="shared" si="60"/>
        <v>0</v>
      </c>
      <c r="AP94" s="33">
        <f t="shared" si="61"/>
        <v>0</v>
      </c>
      <c r="AQ94" s="193">
        <f t="shared" si="41"/>
        <v>0</v>
      </c>
      <c r="AR94" s="193">
        <f t="shared" si="42"/>
        <v>0</v>
      </c>
      <c r="AS94" s="193">
        <f t="shared" si="43"/>
        <v>0</v>
      </c>
      <c r="AT94" s="193">
        <f t="shared" si="44"/>
        <v>0</v>
      </c>
      <c r="AU94" s="33"/>
      <c r="AV94" s="33"/>
      <c r="AW94" s="33"/>
      <c r="AX94" s="33"/>
      <c r="AY94" s="76"/>
    </row>
    <row r="95" spans="2:51">
      <c r="B95" s="183">
        <f>F18</f>
        <v>80</v>
      </c>
      <c r="C95" s="180">
        <f>VLOOKUP(B95,C25:D78,2)</f>
        <v>426</v>
      </c>
      <c r="D95" s="335">
        <v>0.9</v>
      </c>
      <c r="E95" s="337">
        <f>IF(G95+D95&lt;&gt;1,(1-(G95+D95))*56%,0)</f>
        <v>5.5999999999999994E-2</v>
      </c>
      <c r="F95" s="337">
        <f>IF(G95+D95&lt;&gt;1,(1-(G95+D95))*44%,0)</f>
        <v>4.3999999999999991E-2</v>
      </c>
      <c r="G95" s="150"/>
      <c r="H95" s="58">
        <f>IF(C95=0,0,IF(SUM(D95:G95)&lt;&gt;1,"erreur",))</f>
        <v>0</v>
      </c>
      <c r="I95" s="55">
        <v>90</v>
      </c>
      <c r="J95" s="33">
        <f t="shared" si="64"/>
        <v>0</v>
      </c>
      <c r="K95" s="33">
        <f t="shared" si="65"/>
        <v>0</v>
      </c>
      <c r="L95" s="33">
        <f t="shared" si="66"/>
        <v>0</v>
      </c>
      <c r="M95" s="33">
        <f t="shared" si="67"/>
        <v>0</v>
      </c>
      <c r="N95" s="33">
        <f t="shared" si="47"/>
        <v>0</v>
      </c>
      <c r="O95" s="34">
        <f t="shared" si="48"/>
        <v>0</v>
      </c>
      <c r="P95" s="55">
        <v>90</v>
      </c>
      <c r="Q95" s="33">
        <f t="shared" si="62"/>
        <v>0</v>
      </c>
      <c r="R95" s="33">
        <f t="shared" si="68"/>
        <v>0</v>
      </c>
      <c r="S95" s="33">
        <f t="shared" si="69"/>
        <v>0</v>
      </c>
      <c r="T95" s="33">
        <f t="shared" si="49"/>
        <v>0</v>
      </c>
      <c r="U95" s="33">
        <f t="shared" si="63"/>
        <v>0</v>
      </c>
      <c r="V95" s="33">
        <f t="shared" si="50"/>
        <v>0</v>
      </c>
      <c r="W95" s="33">
        <v>0</v>
      </c>
      <c r="X95" s="33">
        <f t="shared" si="51"/>
        <v>0</v>
      </c>
      <c r="Y95" s="38">
        <f t="shared" si="52"/>
        <v>0</v>
      </c>
      <c r="AA95" s="71">
        <v>90</v>
      </c>
      <c r="AB95" s="33">
        <f t="shared" si="53"/>
        <v>0</v>
      </c>
      <c r="AC95" s="304">
        <f t="shared" si="54"/>
        <v>0</v>
      </c>
      <c r="AD95" s="100">
        <f t="shared" si="55"/>
        <v>0</v>
      </c>
      <c r="AE95" s="100">
        <f t="shared" si="56"/>
        <v>0</v>
      </c>
      <c r="AF95" s="193">
        <f t="shared" si="73"/>
        <v>0</v>
      </c>
      <c r="AG95" s="193">
        <f t="shared" si="74"/>
        <v>0</v>
      </c>
      <c r="AH95" s="193">
        <f t="shared" si="75"/>
        <v>0</v>
      </c>
      <c r="AI95" s="198">
        <f t="shared" si="76"/>
        <v>0</v>
      </c>
      <c r="AK95" s="71">
        <v>90</v>
      </c>
      <c r="AL95" s="33">
        <f t="shared" si="57"/>
        <v>0</v>
      </c>
      <c r="AM95" s="33">
        <f t="shared" si="58"/>
        <v>0</v>
      </c>
      <c r="AN95" s="33">
        <f t="shared" si="59"/>
        <v>0</v>
      </c>
      <c r="AO95" s="33">
        <f t="shared" si="60"/>
        <v>0</v>
      </c>
      <c r="AP95" s="33">
        <f t="shared" si="61"/>
        <v>0</v>
      </c>
      <c r="AQ95" s="193">
        <f t="shared" si="41"/>
        <v>0</v>
      </c>
      <c r="AR95" s="193">
        <f t="shared" si="42"/>
        <v>0</v>
      </c>
      <c r="AS95" s="193">
        <f t="shared" si="43"/>
        <v>0</v>
      </c>
      <c r="AT95" s="193">
        <f t="shared" si="44"/>
        <v>0</v>
      </c>
      <c r="AU95" s="33"/>
      <c r="AV95" s="33"/>
      <c r="AW95" s="33"/>
      <c r="AX95" s="33"/>
      <c r="AY95" s="76"/>
    </row>
    <row r="96" spans="2:51">
      <c r="I96" s="55">
        <v>91</v>
      </c>
      <c r="J96" s="33">
        <f t="shared" si="64"/>
        <v>0</v>
      </c>
      <c r="K96" s="33">
        <f t="shared" si="65"/>
        <v>0</v>
      </c>
      <c r="L96" s="33">
        <f t="shared" si="66"/>
        <v>0</v>
      </c>
      <c r="M96" s="33">
        <f t="shared" si="67"/>
        <v>0</v>
      </c>
      <c r="N96" s="33">
        <f t="shared" si="47"/>
        <v>0</v>
      </c>
      <c r="O96" s="34">
        <f t="shared" si="48"/>
        <v>0</v>
      </c>
      <c r="P96" s="55">
        <v>91</v>
      </c>
      <c r="Q96" s="33">
        <f t="shared" si="62"/>
        <v>0</v>
      </c>
      <c r="R96" s="33">
        <f t="shared" si="68"/>
        <v>0</v>
      </c>
      <c r="S96" s="33">
        <f t="shared" si="69"/>
        <v>0</v>
      </c>
      <c r="T96" s="33">
        <f t="shared" si="49"/>
        <v>0</v>
      </c>
      <c r="U96" s="33">
        <f t="shared" si="63"/>
        <v>0</v>
      </c>
      <c r="V96" s="33">
        <f t="shared" si="50"/>
        <v>0</v>
      </c>
      <c r="W96" s="33">
        <v>0</v>
      </c>
      <c r="X96" s="33">
        <f t="shared" si="51"/>
        <v>0</v>
      </c>
      <c r="Y96" s="38">
        <f t="shared" si="52"/>
        <v>0</v>
      </c>
      <c r="AA96" s="71">
        <v>91</v>
      </c>
      <c r="AB96" s="33">
        <f t="shared" si="53"/>
        <v>0</v>
      </c>
      <c r="AC96" s="304">
        <f t="shared" si="54"/>
        <v>0</v>
      </c>
      <c r="AD96" s="100">
        <f t="shared" si="55"/>
        <v>0</v>
      </c>
      <c r="AE96" s="100">
        <f t="shared" si="56"/>
        <v>0</v>
      </c>
      <c r="AF96" s="193">
        <f t="shared" si="73"/>
        <v>0</v>
      </c>
      <c r="AG96" s="193">
        <f t="shared" si="74"/>
        <v>0</v>
      </c>
      <c r="AH96" s="193">
        <f t="shared" si="75"/>
        <v>0</v>
      </c>
      <c r="AI96" s="198">
        <f t="shared" si="76"/>
        <v>0</v>
      </c>
      <c r="AK96" s="71">
        <v>91</v>
      </c>
      <c r="AL96" s="33">
        <f t="shared" si="57"/>
        <v>0</v>
      </c>
      <c r="AM96" s="33">
        <f t="shared" si="58"/>
        <v>0</v>
      </c>
      <c r="AN96" s="33">
        <f t="shared" si="59"/>
        <v>0</v>
      </c>
      <c r="AO96" s="33">
        <f t="shared" si="60"/>
        <v>0</v>
      </c>
      <c r="AP96" s="33">
        <f t="shared" si="61"/>
        <v>0</v>
      </c>
      <c r="AQ96" s="193">
        <f t="shared" si="41"/>
        <v>0</v>
      </c>
      <c r="AR96" s="193">
        <f t="shared" si="42"/>
        <v>0</v>
      </c>
      <c r="AS96" s="193">
        <f t="shared" si="43"/>
        <v>0</v>
      </c>
      <c r="AT96" s="193">
        <f t="shared" si="44"/>
        <v>0</v>
      </c>
      <c r="AU96" s="33"/>
      <c r="AV96" s="33"/>
      <c r="AW96" s="33"/>
      <c r="AX96" s="33"/>
      <c r="AY96" s="76"/>
    </row>
    <row r="97" spans="2:51">
      <c r="C97" s="67" t="s">
        <v>154</v>
      </c>
      <c r="D97" t="s">
        <v>137</v>
      </c>
      <c r="E97" s="6"/>
      <c r="I97" s="55">
        <v>92</v>
      </c>
      <c r="J97" s="33">
        <f t="shared" si="64"/>
        <v>0</v>
      </c>
      <c r="K97" s="33">
        <f t="shared" si="65"/>
        <v>0</v>
      </c>
      <c r="L97" s="33">
        <f t="shared" si="66"/>
        <v>0</v>
      </c>
      <c r="M97" s="33">
        <f t="shared" si="67"/>
        <v>0</v>
      </c>
      <c r="N97" s="33">
        <f t="shared" si="47"/>
        <v>0</v>
      </c>
      <c r="O97" s="34">
        <f t="shared" si="48"/>
        <v>0</v>
      </c>
      <c r="P97" s="55">
        <v>92</v>
      </c>
      <c r="Q97" s="33">
        <f t="shared" si="62"/>
        <v>0</v>
      </c>
      <c r="R97" s="33">
        <f t="shared" si="68"/>
        <v>0</v>
      </c>
      <c r="S97" s="33">
        <f t="shared" si="69"/>
        <v>0</v>
      </c>
      <c r="T97" s="33">
        <f t="shared" si="49"/>
        <v>0</v>
      </c>
      <c r="U97" s="33">
        <f t="shared" si="63"/>
        <v>0</v>
      </c>
      <c r="V97" s="33">
        <f t="shared" si="50"/>
        <v>0</v>
      </c>
      <c r="W97" s="33">
        <v>0</v>
      </c>
      <c r="X97" s="33">
        <f t="shared" si="51"/>
        <v>0</v>
      </c>
      <c r="Y97" s="38">
        <f t="shared" si="52"/>
        <v>0</v>
      </c>
      <c r="AA97" s="71">
        <v>92</v>
      </c>
      <c r="AB97" s="33">
        <f t="shared" si="53"/>
        <v>0</v>
      </c>
      <c r="AC97" s="304">
        <f t="shared" si="54"/>
        <v>0</v>
      </c>
      <c r="AD97" s="100">
        <f t="shared" si="55"/>
        <v>0</v>
      </c>
      <c r="AE97" s="100">
        <f t="shared" si="56"/>
        <v>0</v>
      </c>
      <c r="AF97" s="193">
        <f t="shared" si="73"/>
        <v>0</v>
      </c>
      <c r="AG97" s="193">
        <f t="shared" si="74"/>
        <v>0</v>
      </c>
      <c r="AH97" s="193">
        <f t="shared" si="75"/>
        <v>0</v>
      </c>
      <c r="AI97" s="198">
        <f t="shared" si="76"/>
        <v>0</v>
      </c>
      <c r="AK97" s="71">
        <v>92</v>
      </c>
      <c r="AL97" s="33">
        <f t="shared" si="57"/>
        <v>0</v>
      </c>
      <c r="AM97" s="33">
        <f t="shared" si="58"/>
        <v>0</v>
      </c>
      <c r="AN97" s="33">
        <f t="shared" si="59"/>
        <v>0</v>
      </c>
      <c r="AO97" s="33">
        <f t="shared" si="60"/>
        <v>0</v>
      </c>
      <c r="AP97" s="33">
        <f t="shared" si="61"/>
        <v>0</v>
      </c>
      <c r="AQ97" s="193">
        <f t="shared" si="41"/>
        <v>0</v>
      </c>
      <c r="AR97" s="193">
        <f t="shared" si="42"/>
        <v>0</v>
      </c>
      <c r="AS97" s="193">
        <f t="shared" si="43"/>
        <v>0</v>
      </c>
      <c r="AT97" s="193">
        <f t="shared" si="44"/>
        <v>0</v>
      </c>
      <c r="AU97" s="33"/>
      <c r="AV97" s="33"/>
      <c r="AW97" s="33"/>
      <c r="AX97" s="33"/>
      <c r="AY97" s="76"/>
    </row>
    <row r="98" spans="2:51">
      <c r="B98" s="2" t="s">
        <v>0</v>
      </c>
      <c r="C98">
        <v>32</v>
      </c>
      <c r="D98">
        <v>0</v>
      </c>
      <c r="E98" s="6"/>
      <c r="I98" s="55">
        <v>93</v>
      </c>
      <c r="J98" s="33">
        <f t="shared" si="64"/>
        <v>0</v>
      </c>
      <c r="K98" s="33">
        <f t="shared" si="65"/>
        <v>0</v>
      </c>
      <c r="L98" s="33">
        <f t="shared" si="66"/>
        <v>0</v>
      </c>
      <c r="M98" s="33">
        <f t="shared" si="67"/>
        <v>0</v>
      </c>
      <c r="N98" s="33">
        <f t="shared" si="47"/>
        <v>0</v>
      </c>
      <c r="O98" s="34">
        <f t="shared" si="48"/>
        <v>0</v>
      </c>
      <c r="P98" s="55">
        <v>93</v>
      </c>
      <c r="Q98" s="33">
        <f t="shared" si="62"/>
        <v>0</v>
      </c>
      <c r="R98" s="33">
        <f t="shared" si="68"/>
        <v>0</v>
      </c>
      <c r="S98" s="33">
        <f t="shared" si="69"/>
        <v>0</v>
      </c>
      <c r="T98" s="33">
        <f t="shared" si="49"/>
        <v>0</v>
      </c>
      <c r="U98" s="33">
        <f t="shared" si="63"/>
        <v>0</v>
      </c>
      <c r="V98" s="33">
        <f t="shared" si="50"/>
        <v>0</v>
      </c>
      <c r="W98" s="33">
        <v>0</v>
      </c>
      <c r="X98" s="33">
        <f t="shared" si="51"/>
        <v>0</v>
      </c>
      <c r="Y98" s="38">
        <f t="shared" si="52"/>
        <v>0</v>
      </c>
      <c r="AA98" s="71">
        <v>93</v>
      </c>
      <c r="AB98" s="33">
        <f t="shared" si="53"/>
        <v>0</v>
      </c>
      <c r="AC98" s="304">
        <f t="shared" si="54"/>
        <v>0</v>
      </c>
      <c r="AD98" s="100">
        <f t="shared" si="55"/>
        <v>0</v>
      </c>
      <c r="AE98" s="100">
        <f t="shared" si="56"/>
        <v>0</v>
      </c>
      <c r="AF98" s="193">
        <f t="shared" si="73"/>
        <v>0</v>
      </c>
      <c r="AG98" s="193">
        <f t="shared" si="74"/>
        <v>0</v>
      </c>
      <c r="AH98" s="193">
        <f t="shared" si="75"/>
        <v>0</v>
      </c>
      <c r="AI98" s="198">
        <f t="shared" si="76"/>
        <v>0</v>
      </c>
      <c r="AK98" s="71">
        <v>93</v>
      </c>
      <c r="AL98" s="33">
        <f t="shared" si="57"/>
        <v>0</v>
      </c>
      <c r="AM98" s="33">
        <f t="shared" si="58"/>
        <v>0</v>
      </c>
      <c r="AN98" s="33">
        <f t="shared" si="59"/>
        <v>0</v>
      </c>
      <c r="AO98" s="33">
        <f t="shared" si="60"/>
        <v>0</v>
      </c>
      <c r="AP98" s="33">
        <f t="shared" si="61"/>
        <v>0</v>
      </c>
      <c r="AQ98" s="193">
        <f t="shared" si="41"/>
        <v>0</v>
      </c>
      <c r="AR98" s="193">
        <f t="shared" si="42"/>
        <v>0</v>
      </c>
      <c r="AS98" s="193">
        <f t="shared" si="43"/>
        <v>0</v>
      </c>
      <c r="AT98" s="193">
        <f t="shared" si="44"/>
        <v>0</v>
      </c>
      <c r="AU98" s="33"/>
      <c r="AV98" s="33"/>
      <c r="AW98" s="33"/>
      <c r="AX98" s="33"/>
      <c r="AY98" s="76"/>
    </row>
    <row r="99" spans="2:51">
      <c r="B99" s="2" t="s">
        <v>1</v>
      </c>
      <c r="C99">
        <v>45</v>
      </c>
      <c r="D99">
        <v>0</v>
      </c>
      <c r="E99" s="6"/>
      <c r="I99" s="55">
        <v>94</v>
      </c>
      <c r="J99" s="33">
        <f t="shared" si="64"/>
        <v>0</v>
      </c>
      <c r="K99" s="33">
        <f t="shared" si="65"/>
        <v>0</v>
      </c>
      <c r="L99" s="33">
        <f t="shared" si="66"/>
        <v>0</v>
      </c>
      <c r="M99" s="33">
        <f t="shared" si="67"/>
        <v>0</v>
      </c>
      <c r="N99" s="33">
        <f t="shared" si="47"/>
        <v>0</v>
      </c>
      <c r="O99" s="34">
        <f t="shared" si="48"/>
        <v>0</v>
      </c>
      <c r="P99" s="55">
        <v>94</v>
      </c>
      <c r="Q99" s="33">
        <f t="shared" si="62"/>
        <v>0</v>
      </c>
      <c r="R99" s="33">
        <f t="shared" si="68"/>
        <v>0</v>
      </c>
      <c r="S99" s="33">
        <f t="shared" si="69"/>
        <v>0</v>
      </c>
      <c r="T99" s="33">
        <f t="shared" si="49"/>
        <v>0</v>
      </c>
      <c r="U99" s="33">
        <f t="shared" si="63"/>
        <v>0</v>
      </c>
      <c r="V99" s="33">
        <f t="shared" si="50"/>
        <v>0</v>
      </c>
      <c r="W99" s="33">
        <v>0</v>
      </c>
      <c r="X99" s="33">
        <f t="shared" si="51"/>
        <v>0</v>
      </c>
      <c r="Y99" s="38">
        <f t="shared" si="52"/>
        <v>0</v>
      </c>
      <c r="AA99" s="71">
        <v>94</v>
      </c>
      <c r="AB99" s="33">
        <f t="shared" si="53"/>
        <v>0</v>
      </c>
      <c r="AC99" s="304">
        <f t="shared" si="54"/>
        <v>0</v>
      </c>
      <c r="AD99" s="100">
        <f t="shared" si="55"/>
        <v>0</v>
      </c>
      <c r="AE99" s="100">
        <f t="shared" si="56"/>
        <v>0</v>
      </c>
      <c r="AF99" s="193">
        <f t="shared" si="73"/>
        <v>0</v>
      </c>
      <c r="AG99" s="193">
        <f t="shared" si="74"/>
        <v>0</v>
      </c>
      <c r="AH99" s="193">
        <f t="shared" si="75"/>
        <v>0</v>
      </c>
      <c r="AI99" s="198">
        <f t="shared" si="76"/>
        <v>0</v>
      </c>
      <c r="AK99" s="71">
        <v>94</v>
      </c>
      <c r="AL99" s="33">
        <f t="shared" si="57"/>
        <v>0</v>
      </c>
      <c r="AM99" s="33">
        <f t="shared" si="58"/>
        <v>0</v>
      </c>
      <c r="AN99" s="33">
        <f t="shared" si="59"/>
        <v>0</v>
      </c>
      <c r="AO99" s="33">
        <f t="shared" si="60"/>
        <v>0</v>
      </c>
      <c r="AP99" s="33">
        <f t="shared" si="61"/>
        <v>0</v>
      </c>
      <c r="AQ99" s="193">
        <f t="shared" si="41"/>
        <v>0</v>
      </c>
      <c r="AR99" s="193">
        <f t="shared" si="42"/>
        <v>0</v>
      </c>
      <c r="AS99" s="193">
        <f t="shared" si="43"/>
        <v>0</v>
      </c>
      <c r="AT99" s="193">
        <f t="shared" si="44"/>
        <v>0</v>
      </c>
      <c r="AU99" s="33"/>
      <c r="AV99" s="33"/>
      <c r="AW99" s="33"/>
      <c r="AX99" s="33"/>
      <c r="AY99" s="76"/>
    </row>
    <row r="100" spans="2:51">
      <c r="B100" s="2" t="s">
        <v>2</v>
      </c>
      <c r="C100">
        <v>70</v>
      </c>
      <c r="D100">
        <v>0</v>
      </c>
      <c r="E100" s="6"/>
      <c r="I100" s="55">
        <v>95</v>
      </c>
      <c r="J100" s="33">
        <f t="shared" si="64"/>
        <v>0</v>
      </c>
      <c r="K100" s="33">
        <f t="shared" si="65"/>
        <v>0</v>
      </c>
      <c r="L100" s="33">
        <f t="shared" si="66"/>
        <v>0</v>
      </c>
      <c r="M100" s="33">
        <f t="shared" si="67"/>
        <v>0</v>
      </c>
      <c r="N100" s="33">
        <f t="shared" si="47"/>
        <v>0</v>
      </c>
      <c r="O100" s="34">
        <f t="shared" si="48"/>
        <v>0</v>
      </c>
      <c r="P100" s="55">
        <v>95</v>
      </c>
      <c r="Q100" s="33">
        <f t="shared" si="62"/>
        <v>0</v>
      </c>
      <c r="R100" s="33">
        <f t="shared" si="68"/>
        <v>0</v>
      </c>
      <c r="S100" s="33">
        <f t="shared" si="69"/>
        <v>0</v>
      </c>
      <c r="T100" s="33">
        <f t="shared" si="49"/>
        <v>0</v>
      </c>
      <c r="U100" s="33">
        <f t="shared" si="63"/>
        <v>0</v>
      </c>
      <c r="V100" s="33">
        <f t="shared" si="50"/>
        <v>0</v>
      </c>
      <c r="W100" s="33">
        <v>0</v>
      </c>
      <c r="X100" s="33">
        <f t="shared" si="51"/>
        <v>0</v>
      </c>
      <c r="Y100" s="38">
        <f t="shared" si="52"/>
        <v>0</v>
      </c>
      <c r="AA100" s="71">
        <v>95</v>
      </c>
      <c r="AB100" s="33">
        <f t="shared" si="53"/>
        <v>0</v>
      </c>
      <c r="AC100" s="304">
        <f t="shared" si="54"/>
        <v>0</v>
      </c>
      <c r="AD100" s="100">
        <f t="shared" si="55"/>
        <v>0</v>
      </c>
      <c r="AE100" s="100">
        <f t="shared" si="56"/>
        <v>0</v>
      </c>
      <c r="AF100" s="193">
        <f t="shared" si="73"/>
        <v>0</v>
      </c>
      <c r="AG100" s="193">
        <f t="shared" si="74"/>
        <v>0</v>
      </c>
      <c r="AH100" s="193">
        <f t="shared" si="75"/>
        <v>0</v>
      </c>
      <c r="AI100" s="198">
        <f t="shared" si="76"/>
        <v>0</v>
      </c>
      <c r="AK100" s="71">
        <v>95</v>
      </c>
      <c r="AL100" s="33">
        <f t="shared" si="57"/>
        <v>0</v>
      </c>
      <c r="AM100" s="33">
        <f t="shared" si="58"/>
        <v>0</v>
      </c>
      <c r="AN100" s="33">
        <f t="shared" si="59"/>
        <v>0</v>
      </c>
      <c r="AO100" s="33">
        <f t="shared" si="60"/>
        <v>0</v>
      </c>
      <c r="AP100" s="33">
        <f t="shared" si="61"/>
        <v>0</v>
      </c>
      <c r="AQ100" s="193">
        <f t="shared" ref="AQ100:AQ163" si="77">IF($AK100&lt;=$F$18,$AL100*AM100,)</f>
        <v>0</v>
      </c>
      <c r="AR100" s="193">
        <f t="shared" ref="AR100:AR163" si="78">IF($AK100&lt;=$F$18,$AL100*AN100,)</f>
        <v>0</v>
      </c>
      <c r="AS100" s="193">
        <f t="shared" ref="AS100:AS163" si="79">IF($AK100&lt;=$F$18,$AL100*AO100,)</f>
        <v>0</v>
      </c>
      <c r="AT100" s="193">
        <f t="shared" ref="AT100:AT163" si="80">IF($AK100&lt;=$F$18,$AL100*AP100,)</f>
        <v>0</v>
      </c>
      <c r="AU100" s="33"/>
      <c r="AV100" s="33"/>
      <c r="AW100" s="33"/>
      <c r="AX100" s="33"/>
      <c r="AY100" s="76"/>
    </row>
    <row r="101" spans="2:51">
      <c r="B101" s="2" t="s">
        <v>135</v>
      </c>
      <c r="C101">
        <v>70</v>
      </c>
      <c r="D101">
        <v>0</v>
      </c>
      <c r="E101" s="6"/>
      <c r="I101" s="55">
        <v>96</v>
      </c>
      <c r="J101" s="33">
        <f t="shared" si="64"/>
        <v>0</v>
      </c>
      <c r="K101" s="33">
        <f t="shared" si="65"/>
        <v>0</v>
      </c>
      <c r="L101" s="33">
        <f t="shared" si="66"/>
        <v>0</v>
      </c>
      <c r="M101" s="33">
        <f t="shared" si="67"/>
        <v>0</v>
      </c>
      <c r="N101" s="33">
        <f t="shared" si="47"/>
        <v>0</v>
      </c>
      <c r="O101" s="34">
        <f t="shared" si="48"/>
        <v>0</v>
      </c>
      <c r="P101" s="55">
        <v>96</v>
      </c>
      <c r="Q101" s="33">
        <f t="shared" si="62"/>
        <v>0</v>
      </c>
      <c r="R101" s="33">
        <f t="shared" si="68"/>
        <v>0</v>
      </c>
      <c r="S101" s="33">
        <f t="shared" si="69"/>
        <v>0</v>
      </c>
      <c r="T101" s="33">
        <f t="shared" si="49"/>
        <v>0</v>
      </c>
      <c r="U101" s="33">
        <f t="shared" si="63"/>
        <v>0</v>
      </c>
      <c r="V101" s="33">
        <f t="shared" si="50"/>
        <v>0</v>
      </c>
      <c r="W101" s="33">
        <v>0</v>
      </c>
      <c r="X101" s="33">
        <f t="shared" si="51"/>
        <v>0</v>
      </c>
      <c r="Y101" s="38">
        <f t="shared" si="52"/>
        <v>0</v>
      </c>
      <c r="AA101" s="71">
        <v>96</v>
      </c>
      <c r="AB101" s="33">
        <f t="shared" si="53"/>
        <v>0</v>
      </c>
      <c r="AC101" s="304">
        <f t="shared" si="54"/>
        <v>0</v>
      </c>
      <c r="AD101" s="100">
        <f t="shared" si="55"/>
        <v>0</v>
      </c>
      <c r="AE101" s="100">
        <f t="shared" si="56"/>
        <v>0</v>
      </c>
      <c r="AF101" s="193">
        <f t="shared" si="73"/>
        <v>0</v>
      </c>
      <c r="AG101" s="193">
        <f t="shared" si="74"/>
        <v>0</v>
      </c>
      <c r="AH101" s="193">
        <f t="shared" si="75"/>
        <v>0</v>
      </c>
      <c r="AI101" s="198">
        <f t="shared" si="76"/>
        <v>0</v>
      </c>
      <c r="AK101" s="71">
        <v>96</v>
      </c>
      <c r="AL101" s="33">
        <f t="shared" si="57"/>
        <v>0</v>
      </c>
      <c r="AM101" s="33">
        <f t="shared" si="58"/>
        <v>0</v>
      </c>
      <c r="AN101" s="33">
        <f t="shared" si="59"/>
        <v>0</v>
      </c>
      <c r="AO101" s="33">
        <f t="shared" si="60"/>
        <v>0</v>
      </c>
      <c r="AP101" s="33">
        <f t="shared" si="61"/>
        <v>0</v>
      </c>
      <c r="AQ101" s="193">
        <f t="shared" si="77"/>
        <v>0</v>
      </c>
      <c r="AR101" s="193">
        <f t="shared" si="78"/>
        <v>0</v>
      </c>
      <c r="AS101" s="193">
        <f t="shared" si="79"/>
        <v>0</v>
      </c>
      <c r="AT101" s="193">
        <f t="shared" si="80"/>
        <v>0</v>
      </c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64"/>
        <v>0</v>
      </c>
      <c r="K102" s="33">
        <f t="shared" si="65"/>
        <v>0</v>
      </c>
      <c r="L102" s="33">
        <f t="shared" si="66"/>
        <v>0</v>
      </c>
      <c r="M102" s="33">
        <f t="shared" si="67"/>
        <v>0</v>
      </c>
      <c r="N102" s="33">
        <f t="shared" si="47"/>
        <v>0</v>
      </c>
      <c r="O102" s="34">
        <f t="shared" si="48"/>
        <v>0</v>
      </c>
      <c r="P102" s="55">
        <v>97</v>
      </c>
      <c r="Q102" s="33">
        <f t="shared" si="62"/>
        <v>0</v>
      </c>
      <c r="R102" s="33">
        <f t="shared" si="68"/>
        <v>0</v>
      </c>
      <c r="S102" s="33">
        <f t="shared" si="69"/>
        <v>0</v>
      </c>
      <c r="T102" s="33">
        <f t="shared" si="49"/>
        <v>0</v>
      </c>
      <c r="U102" s="33">
        <f t="shared" si="63"/>
        <v>0</v>
      </c>
      <c r="V102" s="33">
        <f t="shared" si="50"/>
        <v>0</v>
      </c>
      <c r="W102" s="33">
        <v>0</v>
      </c>
      <c r="X102" s="33">
        <f t="shared" si="51"/>
        <v>0</v>
      </c>
      <c r="Y102" s="38">
        <f t="shared" si="52"/>
        <v>0</v>
      </c>
      <c r="AA102" s="71">
        <v>97</v>
      </c>
      <c r="AB102" s="33">
        <f t="shared" si="53"/>
        <v>0</v>
      </c>
      <c r="AC102" s="304">
        <f t="shared" si="54"/>
        <v>0</v>
      </c>
      <c r="AD102" s="100">
        <f t="shared" si="55"/>
        <v>0</v>
      </c>
      <c r="AE102" s="100">
        <f t="shared" si="56"/>
        <v>0</v>
      </c>
      <c r="AF102" s="193">
        <f t="shared" si="73"/>
        <v>0</v>
      </c>
      <c r="AG102" s="193">
        <f t="shared" si="74"/>
        <v>0</v>
      </c>
      <c r="AH102" s="193">
        <f t="shared" si="75"/>
        <v>0</v>
      </c>
      <c r="AI102" s="198">
        <f t="shared" si="76"/>
        <v>0</v>
      </c>
      <c r="AK102" s="71">
        <v>97</v>
      </c>
      <c r="AL102" s="33">
        <f t="shared" si="57"/>
        <v>0</v>
      </c>
      <c r="AM102" s="33">
        <f t="shared" si="58"/>
        <v>0</v>
      </c>
      <c r="AN102" s="33">
        <f t="shared" si="59"/>
        <v>0</v>
      </c>
      <c r="AO102" s="33">
        <f t="shared" si="60"/>
        <v>0</v>
      </c>
      <c r="AP102" s="33">
        <f t="shared" si="61"/>
        <v>0</v>
      </c>
      <c r="AQ102" s="193">
        <f t="shared" si="77"/>
        <v>0</v>
      </c>
      <c r="AR102" s="193">
        <f t="shared" si="78"/>
        <v>0</v>
      </c>
      <c r="AS102" s="193">
        <f t="shared" si="79"/>
        <v>0</v>
      </c>
      <c r="AT102" s="193">
        <f t="shared" si="80"/>
        <v>0</v>
      </c>
      <c r="AU102" s="33"/>
      <c r="AV102" s="33"/>
      <c r="AW102" s="33"/>
      <c r="AX102" s="33"/>
      <c r="AY102" s="76"/>
    </row>
    <row r="103" spans="2:51" ht="16">
      <c r="C103" s="25" t="s">
        <v>157</v>
      </c>
      <c r="D103" s="156" t="s">
        <v>158</v>
      </c>
      <c r="F103" s="189" t="s">
        <v>232</v>
      </c>
      <c r="I103" s="55">
        <v>98</v>
      </c>
      <c r="J103" s="33">
        <f t="shared" si="64"/>
        <v>0</v>
      </c>
      <c r="K103" s="33">
        <f t="shared" si="65"/>
        <v>0</v>
      </c>
      <c r="L103" s="33">
        <f t="shared" si="66"/>
        <v>0</v>
      </c>
      <c r="M103" s="33">
        <f t="shared" si="67"/>
        <v>0</v>
      </c>
      <c r="N103" s="33">
        <f t="shared" si="47"/>
        <v>0</v>
      </c>
      <c r="O103" s="34">
        <f t="shared" si="48"/>
        <v>0</v>
      </c>
      <c r="P103" s="55">
        <v>98</v>
      </c>
      <c r="Q103" s="33">
        <f t="shared" si="62"/>
        <v>0</v>
      </c>
      <c r="R103" s="33">
        <f t="shared" si="68"/>
        <v>0</v>
      </c>
      <c r="S103" s="33">
        <f t="shared" si="69"/>
        <v>0</v>
      </c>
      <c r="T103" s="33">
        <f t="shared" si="49"/>
        <v>0</v>
      </c>
      <c r="U103" s="33">
        <f t="shared" si="63"/>
        <v>0</v>
      </c>
      <c r="V103" s="33">
        <f t="shared" si="50"/>
        <v>0</v>
      </c>
      <c r="W103" s="33">
        <v>0</v>
      </c>
      <c r="X103" s="33">
        <f t="shared" si="51"/>
        <v>0</v>
      </c>
      <c r="Y103" s="38">
        <f t="shared" si="52"/>
        <v>0</v>
      </c>
      <c r="AA103" s="71">
        <v>98</v>
      </c>
      <c r="AB103" s="33">
        <f t="shared" si="53"/>
        <v>0</v>
      </c>
      <c r="AC103" s="304">
        <f t="shared" si="54"/>
        <v>0</v>
      </c>
      <c r="AD103" s="100">
        <f t="shared" si="55"/>
        <v>0</v>
      </c>
      <c r="AE103" s="100">
        <f t="shared" si="56"/>
        <v>0</v>
      </c>
      <c r="AF103" s="193">
        <f t="shared" si="73"/>
        <v>0</v>
      </c>
      <c r="AG103" s="193">
        <f t="shared" si="74"/>
        <v>0</v>
      </c>
      <c r="AH103" s="193">
        <f t="shared" si="75"/>
        <v>0</v>
      </c>
      <c r="AI103" s="198">
        <f t="shared" si="76"/>
        <v>0</v>
      </c>
      <c r="AK103" s="71">
        <v>98</v>
      </c>
      <c r="AL103" s="33">
        <f t="shared" si="57"/>
        <v>0</v>
      </c>
      <c r="AM103" s="33">
        <f t="shared" si="58"/>
        <v>0</v>
      </c>
      <c r="AN103" s="33">
        <f t="shared" si="59"/>
        <v>0</v>
      </c>
      <c r="AO103" s="33">
        <f t="shared" si="60"/>
        <v>0</v>
      </c>
      <c r="AP103" s="33">
        <f t="shared" si="61"/>
        <v>0</v>
      </c>
      <c r="AQ103" s="193">
        <f t="shared" si="77"/>
        <v>0</v>
      </c>
      <c r="AR103" s="193">
        <f t="shared" si="78"/>
        <v>0</v>
      </c>
      <c r="AS103" s="193">
        <f t="shared" si="79"/>
        <v>0</v>
      </c>
      <c r="AT103" s="193">
        <f t="shared" si="80"/>
        <v>0</v>
      </c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299" t="s">
        <v>228</v>
      </c>
      <c r="G104" s="24">
        <v>0.25</v>
      </c>
      <c r="I104" s="55">
        <v>99</v>
      </c>
      <c r="J104" s="33">
        <f t="shared" si="64"/>
        <v>0</v>
      </c>
      <c r="K104" s="33">
        <f t="shared" si="65"/>
        <v>0</v>
      </c>
      <c r="L104" s="33">
        <f t="shared" si="66"/>
        <v>0</v>
      </c>
      <c r="M104" s="33">
        <f t="shared" si="67"/>
        <v>0</v>
      </c>
      <c r="N104" s="33">
        <f t="shared" si="47"/>
        <v>0</v>
      </c>
      <c r="O104" s="34">
        <f t="shared" si="48"/>
        <v>0</v>
      </c>
      <c r="P104" s="55">
        <v>99</v>
      </c>
      <c r="Q104" s="33">
        <f t="shared" si="62"/>
        <v>0</v>
      </c>
      <c r="R104" s="33">
        <f t="shared" si="68"/>
        <v>0</v>
      </c>
      <c r="S104" s="33">
        <f t="shared" si="69"/>
        <v>0</v>
      </c>
      <c r="T104" s="33">
        <f t="shared" si="49"/>
        <v>0</v>
      </c>
      <c r="U104" s="33">
        <f t="shared" si="63"/>
        <v>0</v>
      </c>
      <c r="V104" s="33">
        <f t="shared" si="50"/>
        <v>0</v>
      </c>
      <c r="W104" s="33">
        <v>0</v>
      </c>
      <c r="X104" s="33">
        <f t="shared" si="51"/>
        <v>0</v>
      </c>
      <c r="Y104" s="38">
        <f t="shared" si="52"/>
        <v>0</v>
      </c>
      <c r="AA104" s="71">
        <v>99</v>
      </c>
      <c r="AB104" s="33">
        <f t="shared" si="53"/>
        <v>0</v>
      </c>
      <c r="AC104" s="304">
        <f t="shared" si="54"/>
        <v>0</v>
      </c>
      <c r="AD104" s="100">
        <f t="shared" si="55"/>
        <v>0</v>
      </c>
      <c r="AE104" s="100">
        <f t="shared" si="56"/>
        <v>0</v>
      </c>
      <c r="AF104" s="193">
        <f t="shared" si="73"/>
        <v>0</v>
      </c>
      <c r="AG104" s="193">
        <f t="shared" si="74"/>
        <v>0</v>
      </c>
      <c r="AH104" s="193">
        <f t="shared" si="75"/>
        <v>0</v>
      </c>
      <c r="AI104" s="198">
        <f t="shared" si="76"/>
        <v>0</v>
      </c>
      <c r="AK104" s="71">
        <v>99</v>
      </c>
      <c r="AL104" s="33">
        <f t="shared" si="57"/>
        <v>0</v>
      </c>
      <c r="AM104" s="33">
        <f t="shared" si="58"/>
        <v>0</v>
      </c>
      <c r="AN104" s="33">
        <f t="shared" si="59"/>
        <v>0</v>
      </c>
      <c r="AO104" s="33">
        <f t="shared" si="60"/>
        <v>0</v>
      </c>
      <c r="AP104" s="33">
        <f t="shared" si="61"/>
        <v>0</v>
      </c>
      <c r="AQ104" s="193">
        <f t="shared" si="77"/>
        <v>0</v>
      </c>
      <c r="AR104" s="193">
        <f t="shared" si="78"/>
        <v>0</v>
      </c>
      <c r="AS104" s="193">
        <f t="shared" si="79"/>
        <v>0</v>
      </c>
      <c r="AT104" s="193">
        <f t="shared" si="80"/>
        <v>0</v>
      </c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299" t="s">
        <v>230</v>
      </c>
      <c r="G105" s="24">
        <v>1.03</v>
      </c>
      <c r="I105" s="55">
        <v>100</v>
      </c>
      <c r="J105" s="33">
        <f t="shared" si="64"/>
        <v>0</v>
      </c>
      <c r="K105" s="33">
        <f t="shared" si="65"/>
        <v>0</v>
      </c>
      <c r="L105" s="33">
        <f t="shared" si="66"/>
        <v>0</v>
      </c>
      <c r="M105" s="33">
        <f t="shared" si="67"/>
        <v>0</v>
      </c>
      <c r="N105" s="33">
        <f t="shared" si="47"/>
        <v>0</v>
      </c>
      <c r="O105" s="34">
        <f t="shared" si="48"/>
        <v>0</v>
      </c>
      <c r="P105" s="55">
        <v>100</v>
      </c>
      <c r="Q105" s="33">
        <f t="shared" si="62"/>
        <v>0</v>
      </c>
      <c r="R105" s="33">
        <f t="shared" si="68"/>
        <v>0</v>
      </c>
      <c r="S105" s="33">
        <f t="shared" si="69"/>
        <v>0</v>
      </c>
      <c r="T105" s="33">
        <f t="shared" si="49"/>
        <v>0</v>
      </c>
      <c r="U105" s="33">
        <f t="shared" si="63"/>
        <v>0</v>
      </c>
      <c r="V105" s="33">
        <f t="shared" si="50"/>
        <v>0</v>
      </c>
      <c r="W105" s="33">
        <v>0</v>
      </c>
      <c r="X105" s="33">
        <f t="shared" si="51"/>
        <v>0</v>
      </c>
      <c r="Y105" s="38">
        <f t="shared" si="52"/>
        <v>0</v>
      </c>
      <c r="AA105" s="71">
        <v>100</v>
      </c>
      <c r="AB105" s="33">
        <f t="shared" si="53"/>
        <v>0</v>
      </c>
      <c r="AC105" s="304">
        <f t="shared" si="54"/>
        <v>0</v>
      </c>
      <c r="AD105" s="100">
        <f t="shared" si="55"/>
        <v>0</v>
      </c>
      <c r="AE105" s="100">
        <f t="shared" si="56"/>
        <v>0</v>
      </c>
      <c r="AF105" s="193">
        <f t="shared" si="73"/>
        <v>0</v>
      </c>
      <c r="AG105" s="193">
        <f t="shared" si="74"/>
        <v>0</v>
      </c>
      <c r="AH105" s="193">
        <f t="shared" si="75"/>
        <v>0</v>
      </c>
      <c r="AI105" s="198">
        <f t="shared" si="76"/>
        <v>0</v>
      </c>
      <c r="AK105" s="71">
        <v>100</v>
      </c>
      <c r="AL105" s="33">
        <f t="shared" si="57"/>
        <v>0</v>
      </c>
      <c r="AM105" s="33">
        <f t="shared" si="58"/>
        <v>0</v>
      </c>
      <c r="AN105" s="33">
        <f t="shared" si="59"/>
        <v>0</v>
      </c>
      <c r="AO105" s="33">
        <f t="shared" si="60"/>
        <v>0</v>
      </c>
      <c r="AP105" s="33">
        <f t="shared" si="61"/>
        <v>0</v>
      </c>
      <c r="AQ105" s="193">
        <f t="shared" si="77"/>
        <v>0</v>
      </c>
      <c r="AR105" s="193">
        <f t="shared" si="78"/>
        <v>0</v>
      </c>
      <c r="AS105" s="193">
        <f t="shared" si="79"/>
        <v>0</v>
      </c>
      <c r="AT105" s="193">
        <f t="shared" si="80"/>
        <v>0</v>
      </c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299" t="s">
        <v>231</v>
      </c>
      <c r="G106" s="24">
        <v>0.59</v>
      </c>
      <c r="I106" s="55">
        <v>101</v>
      </c>
      <c r="J106" s="33">
        <f t="shared" si="64"/>
        <v>0</v>
      </c>
      <c r="K106" s="33">
        <f t="shared" si="65"/>
        <v>0</v>
      </c>
      <c r="L106" s="33">
        <f t="shared" si="66"/>
        <v>0</v>
      </c>
      <c r="M106" s="33">
        <f t="shared" si="67"/>
        <v>0</v>
      </c>
      <c r="N106" s="33">
        <f t="shared" si="47"/>
        <v>0</v>
      </c>
      <c r="O106" s="34">
        <f t="shared" si="48"/>
        <v>0</v>
      </c>
      <c r="P106" s="55">
        <v>101</v>
      </c>
      <c r="Q106" s="33">
        <f t="shared" si="62"/>
        <v>0</v>
      </c>
      <c r="R106" s="33">
        <f t="shared" si="68"/>
        <v>0</v>
      </c>
      <c r="S106" s="33">
        <f t="shared" si="69"/>
        <v>0</v>
      </c>
      <c r="T106" s="33">
        <f t="shared" si="49"/>
        <v>0</v>
      </c>
      <c r="U106" s="33">
        <f t="shared" si="63"/>
        <v>0</v>
      </c>
      <c r="V106" s="33">
        <f t="shared" si="50"/>
        <v>0</v>
      </c>
      <c r="W106" s="33">
        <v>0</v>
      </c>
      <c r="X106" s="33">
        <f t="shared" si="51"/>
        <v>0</v>
      </c>
      <c r="Y106" s="38">
        <f t="shared" si="52"/>
        <v>0</v>
      </c>
      <c r="AA106" s="71">
        <v>101</v>
      </c>
      <c r="AB106" s="33">
        <f t="shared" si="53"/>
        <v>0</v>
      </c>
      <c r="AC106" s="304">
        <f t="shared" si="54"/>
        <v>0</v>
      </c>
      <c r="AD106" s="100">
        <f t="shared" si="55"/>
        <v>0</v>
      </c>
      <c r="AE106" s="100">
        <f t="shared" si="56"/>
        <v>0</v>
      </c>
      <c r="AF106" s="193">
        <f t="shared" si="73"/>
        <v>0</v>
      </c>
      <c r="AG106" s="193">
        <f t="shared" si="74"/>
        <v>0</v>
      </c>
      <c r="AH106" s="193">
        <f t="shared" si="75"/>
        <v>0</v>
      </c>
      <c r="AI106" s="198">
        <f t="shared" si="76"/>
        <v>0</v>
      </c>
      <c r="AK106" s="71">
        <v>101</v>
      </c>
      <c r="AL106" s="33">
        <f t="shared" si="57"/>
        <v>0</v>
      </c>
      <c r="AM106" s="33">
        <f t="shared" si="58"/>
        <v>0</v>
      </c>
      <c r="AN106" s="33">
        <f t="shared" si="59"/>
        <v>0</v>
      </c>
      <c r="AO106" s="33">
        <f t="shared" si="60"/>
        <v>0</v>
      </c>
      <c r="AP106" s="33">
        <f t="shared" si="61"/>
        <v>0</v>
      </c>
      <c r="AQ106" s="193">
        <f t="shared" si="77"/>
        <v>0</v>
      </c>
      <c r="AR106" s="193">
        <f t="shared" si="78"/>
        <v>0</v>
      </c>
      <c r="AS106" s="193">
        <f t="shared" si="79"/>
        <v>0</v>
      </c>
      <c r="AT106" s="193">
        <f t="shared" si="80"/>
        <v>0</v>
      </c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 s="340">
        <f>44%*D105+56%*D106</f>
        <v>14.880000000000003</v>
      </c>
      <c r="F107" s="299" t="s">
        <v>229</v>
      </c>
      <c r="G107" s="24">
        <v>0.43</v>
      </c>
      <c r="I107" s="55">
        <v>102</v>
      </c>
      <c r="J107" s="33">
        <f t="shared" si="64"/>
        <v>0</v>
      </c>
      <c r="K107" s="33">
        <f t="shared" si="65"/>
        <v>0</v>
      </c>
      <c r="L107" s="33">
        <f t="shared" si="66"/>
        <v>0</v>
      </c>
      <c r="M107" s="33">
        <f t="shared" si="67"/>
        <v>0</v>
      </c>
      <c r="N107" s="33">
        <f t="shared" si="47"/>
        <v>0</v>
      </c>
      <c r="O107" s="34">
        <f t="shared" si="48"/>
        <v>0</v>
      </c>
      <c r="P107" s="55">
        <v>102</v>
      </c>
      <c r="Q107" s="33">
        <f t="shared" si="62"/>
        <v>0</v>
      </c>
      <c r="R107" s="33">
        <f t="shared" si="68"/>
        <v>0</v>
      </c>
      <c r="S107" s="33">
        <f t="shared" si="69"/>
        <v>0</v>
      </c>
      <c r="T107" s="33">
        <f t="shared" si="49"/>
        <v>0</v>
      </c>
      <c r="U107" s="33">
        <f t="shared" si="63"/>
        <v>0</v>
      </c>
      <c r="V107" s="33">
        <f t="shared" si="50"/>
        <v>0</v>
      </c>
      <c r="W107" s="33">
        <v>0</v>
      </c>
      <c r="X107" s="33">
        <f t="shared" si="51"/>
        <v>0</v>
      </c>
      <c r="Y107" s="38">
        <f t="shared" si="52"/>
        <v>0</v>
      </c>
      <c r="AA107" s="71">
        <v>102</v>
      </c>
      <c r="AB107" s="33">
        <f t="shared" si="53"/>
        <v>0</v>
      </c>
      <c r="AC107" s="304">
        <f t="shared" si="54"/>
        <v>0</v>
      </c>
      <c r="AD107" s="100">
        <f t="shared" si="55"/>
        <v>0</v>
      </c>
      <c r="AE107" s="100">
        <f t="shared" si="56"/>
        <v>0</v>
      </c>
      <c r="AF107" s="193">
        <f t="shared" si="73"/>
        <v>0</v>
      </c>
      <c r="AG107" s="193">
        <f t="shared" si="74"/>
        <v>0</v>
      </c>
      <c r="AH107" s="193">
        <f t="shared" si="75"/>
        <v>0</v>
      </c>
      <c r="AI107" s="198">
        <f t="shared" si="76"/>
        <v>0</v>
      </c>
      <c r="AK107" s="71">
        <v>102</v>
      </c>
      <c r="AL107" s="33">
        <f t="shared" si="57"/>
        <v>0</v>
      </c>
      <c r="AM107" s="33">
        <f t="shared" si="58"/>
        <v>0</v>
      </c>
      <c r="AN107" s="33">
        <f t="shared" si="59"/>
        <v>0</v>
      </c>
      <c r="AO107" s="33">
        <f t="shared" si="60"/>
        <v>0</v>
      </c>
      <c r="AP107" s="33">
        <f t="shared" si="61"/>
        <v>0</v>
      </c>
      <c r="AQ107" s="193">
        <f t="shared" si="77"/>
        <v>0</v>
      </c>
      <c r="AR107" s="193">
        <f t="shared" si="78"/>
        <v>0</v>
      </c>
      <c r="AS107" s="193">
        <f t="shared" si="79"/>
        <v>0</v>
      </c>
      <c r="AT107" s="193">
        <f t="shared" si="80"/>
        <v>0</v>
      </c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300" t="s">
        <v>233</v>
      </c>
      <c r="G108" s="301">
        <f>VLOOKUP(VLOOKUP(F17,C131:E195,3,FALSE),F104:G107,2,FALSE)</f>
        <v>0.43</v>
      </c>
      <c r="I108" s="55">
        <v>103</v>
      </c>
      <c r="J108" s="33">
        <f t="shared" si="64"/>
        <v>0</v>
      </c>
      <c r="K108" s="33">
        <f t="shared" si="65"/>
        <v>0</v>
      </c>
      <c r="L108" s="33">
        <f t="shared" si="66"/>
        <v>0</v>
      </c>
      <c r="M108" s="33">
        <f t="shared" si="67"/>
        <v>0</v>
      </c>
      <c r="N108" s="33">
        <f t="shared" si="47"/>
        <v>0</v>
      </c>
      <c r="O108" s="34">
        <f t="shared" si="48"/>
        <v>0</v>
      </c>
      <c r="P108" s="55">
        <v>103</v>
      </c>
      <c r="Q108" s="33">
        <f t="shared" si="62"/>
        <v>0</v>
      </c>
      <c r="R108" s="33">
        <f t="shared" si="68"/>
        <v>0</v>
      </c>
      <c r="S108" s="33">
        <f t="shared" si="69"/>
        <v>0</v>
      </c>
      <c r="T108" s="33">
        <f t="shared" si="49"/>
        <v>0</v>
      </c>
      <c r="U108" s="33">
        <f t="shared" si="63"/>
        <v>0</v>
      </c>
      <c r="V108" s="33">
        <f t="shared" si="50"/>
        <v>0</v>
      </c>
      <c r="W108" s="33">
        <v>0</v>
      </c>
      <c r="X108" s="33">
        <f t="shared" si="51"/>
        <v>0</v>
      </c>
      <c r="Y108" s="38">
        <f t="shared" si="52"/>
        <v>0</v>
      </c>
      <c r="AA108" s="71">
        <v>103</v>
      </c>
      <c r="AB108" s="33">
        <f t="shared" si="53"/>
        <v>0</v>
      </c>
      <c r="AC108" s="304">
        <f t="shared" si="54"/>
        <v>0</v>
      </c>
      <c r="AD108" s="100">
        <f t="shared" si="55"/>
        <v>0</v>
      </c>
      <c r="AE108" s="100">
        <f t="shared" si="56"/>
        <v>0</v>
      </c>
      <c r="AF108" s="193">
        <f t="shared" si="73"/>
        <v>0</v>
      </c>
      <c r="AG108" s="193">
        <f t="shared" si="74"/>
        <v>0</v>
      </c>
      <c r="AH108" s="193">
        <f t="shared" si="75"/>
        <v>0</v>
      </c>
      <c r="AI108" s="198">
        <f t="shared" si="76"/>
        <v>0</v>
      </c>
      <c r="AK108" s="71">
        <v>103</v>
      </c>
      <c r="AL108" s="33">
        <f t="shared" si="57"/>
        <v>0</v>
      </c>
      <c r="AM108" s="33">
        <f t="shared" si="58"/>
        <v>0</v>
      </c>
      <c r="AN108" s="33">
        <f t="shared" si="59"/>
        <v>0</v>
      </c>
      <c r="AO108" s="33">
        <f t="shared" si="60"/>
        <v>0</v>
      </c>
      <c r="AP108" s="33">
        <f t="shared" si="61"/>
        <v>0</v>
      </c>
      <c r="AQ108" s="193">
        <f t="shared" si="77"/>
        <v>0</v>
      </c>
      <c r="AR108" s="193">
        <f t="shared" si="78"/>
        <v>0</v>
      </c>
      <c r="AS108" s="193">
        <f t="shared" si="79"/>
        <v>0</v>
      </c>
      <c r="AT108" s="193">
        <f t="shared" si="80"/>
        <v>0</v>
      </c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64"/>
        <v>0</v>
      </c>
      <c r="K109" s="33">
        <f t="shared" si="65"/>
        <v>0</v>
      </c>
      <c r="L109" s="33">
        <f t="shared" si="66"/>
        <v>0</v>
      </c>
      <c r="M109" s="33">
        <f t="shared" si="67"/>
        <v>0</v>
      </c>
      <c r="N109" s="33">
        <f t="shared" si="47"/>
        <v>0</v>
      </c>
      <c r="O109" s="34">
        <f t="shared" si="48"/>
        <v>0</v>
      </c>
      <c r="P109" s="55">
        <v>104</v>
      </c>
      <c r="Q109" s="33">
        <f t="shared" si="62"/>
        <v>0</v>
      </c>
      <c r="R109" s="33">
        <f t="shared" si="68"/>
        <v>0</v>
      </c>
      <c r="S109" s="33">
        <f t="shared" si="69"/>
        <v>0</v>
      </c>
      <c r="T109" s="33">
        <f t="shared" si="49"/>
        <v>0</v>
      </c>
      <c r="U109" s="33">
        <f t="shared" si="63"/>
        <v>0</v>
      </c>
      <c r="V109" s="33">
        <f t="shared" si="50"/>
        <v>0</v>
      </c>
      <c r="W109" s="33">
        <v>0</v>
      </c>
      <c r="X109" s="33">
        <f t="shared" si="51"/>
        <v>0</v>
      </c>
      <c r="Y109" s="38">
        <f t="shared" si="52"/>
        <v>0</v>
      </c>
      <c r="AA109" s="71">
        <v>104</v>
      </c>
      <c r="AB109" s="33">
        <f t="shared" si="53"/>
        <v>0</v>
      </c>
      <c r="AC109" s="304">
        <f t="shared" si="54"/>
        <v>0</v>
      </c>
      <c r="AD109" s="100">
        <f t="shared" si="55"/>
        <v>0</v>
      </c>
      <c r="AE109" s="100">
        <f t="shared" si="56"/>
        <v>0</v>
      </c>
      <c r="AF109" s="193">
        <f t="shared" si="73"/>
        <v>0</v>
      </c>
      <c r="AG109" s="193">
        <f t="shared" si="74"/>
        <v>0</v>
      </c>
      <c r="AH109" s="193">
        <f t="shared" si="75"/>
        <v>0</v>
      </c>
      <c r="AI109" s="198">
        <f t="shared" si="76"/>
        <v>0</v>
      </c>
      <c r="AK109" s="71">
        <v>104</v>
      </c>
      <c r="AL109" s="33">
        <f t="shared" si="57"/>
        <v>0</v>
      </c>
      <c r="AM109" s="33">
        <f t="shared" si="58"/>
        <v>0</v>
      </c>
      <c r="AN109" s="33">
        <f t="shared" si="59"/>
        <v>0</v>
      </c>
      <c r="AO109" s="33">
        <f t="shared" si="60"/>
        <v>0</v>
      </c>
      <c r="AP109" s="33">
        <f t="shared" si="61"/>
        <v>0</v>
      </c>
      <c r="AQ109" s="193">
        <f t="shared" si="77"/>
        <v>0</v>
      </c>
      <c r="AR109" s="193">
        <f t="shared" si="78"/>
        <v>0</v>
      </c>
      <c r="AS109" s="193">
        <f t="shared" si="79"/>
        <v>0</v>
      </c>
      <c r="AT109" s="193">
        <f t="shared" si="80"/>
        <v>0</v>
      </c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64"/>
        <v>0</v>
      </c>
      <c r="K110" s="33">
        <f t="shared" si="65"/>
        <v>0</v>
      </c>
      <c r="L110" s="33">
        <f t="shared" si="66"/>
        <v>0</v>
      </c>
      <c r="M110" s="33">
        <f t="shared" si="67"/>
        <v>0</v>
      </c>
      <c r="N110" s="33">
        <f t="shared" si="47"/>
        <v>0</v>
      </c>
      <c r="O110" s="34">
        <f t="shared" si="48"/>
        <v>0</v>
      </c>
      <c r="P110" s="55">
        <v>105</v>
      </c>
      <c r="Q110" s="33">
        <f t="shared" si="62"/>
        <v>0</v>
      </c>
      <c r="R110" s="33">
        <f t="shared" si="68"/>
        <v>0</v>
      </c>
      <c r="S110" s="33">
        <f t="shared" si="69"/>
        <v>0</v>
      </c>
      <c r="T110" s="33">
        <f t="shared" si="49"/>
        <v>0</v>
      </c>
      <c r="U110" s="33">
        <f t="shared" si="63"/>
        <v>0</v>
      </c>
      <c r="V110" s="33">
        <f t="shared" si="50"/>
        <v>0</v>
      </c>
      <c r="W110" s="33">
        <v>0</v>
      </c>
      <c r="X110" s="33">
        <f t="shared" si="51"/>
        <v>0</v>
      </c>
      <c r="Y110" s="38">
        <f t="shared" si="52"/>
        <v>0</v>
      </c>
      <c r="AA110" s="71">
        <v>105</v>
      </c>
      <c r="AB110" s="33">
        <f t="shared" si="53"/>
        <v>0</v>
      </c>
      <c r="AC110" s="304">
        <f t="shared" si="54"/>
        <v>0</v>
      </c>
      <c r="AD110" s="100">
        <f t="shared" si="55"/>
        <v>0</v>
      </c>
      <c r="AE110" s="100">
        <f t="shared" si="56"/>
        <v>0</v>
      </c>
      <c r="AF110" s="193">
        <f t="shared" si="73"/>
        <v>0</v>
      </c>
      <c r="AG110" s="193">
        <f t="shared" si="74"/>
        <v>0</v>
      </c>
      <c r="AH110" s="193">
        <f t="shared" si="75"/>
        <v>0</v>
      </c>
      <c r="AI110" s="198">
        <f t="shared" si="76"/>
        <v>0</v>
      </c>
      <c r="AK110" s="71">
        <v>105</v>
      </c>
      <c r="AL110" s="33">
        <f t="shared" si="57"/>
        <v>0</v>
      </c>
      <c r="AM110" s="33">
        <f t="shared" si="58"/>
        <v>0</v>
      </c>
      <c r="AN110" s="33">
        <f t="shared" si="59"/>
        <v>0</v>
      </c>
      <c r="AO110" s="33">
        <f t="shared" si="60"/>
        <v>0</v>
      </c>
      <c r="AP110" s="33">
        <f t="shared" si="61"/>
        <v>0</v>
      </c>
      <c r="AQ110" s="193">
        <f t="shared" si="77"/>
        <v>0</v>
      </c>
      <c r="AR110" s="193">
        <f t="shared" si="78"/>
        <v>0</v>
      </c>
      <c r="AS110" s="193">
        <f t="shared" si="79"/>
        <v>0</v>
      </c>
      <c r="AT110" s="193">
        <f t="shared" si="80"/>
        <v>0</v>
      </c>
      <c r="AU110" s="33"/>
      <c r="AV110" s="33"/>
      <c r="AW110" s="33"/>
      <c r="AX110" s="33"/>
      <c r="AY110" s="76"/>
    </row>
    <row r="111" spans="2:51">
      <c r="C111" s="156" t="s">
        <v>169</v>
      </c>
      <c r="D111" s="156"/>
      <c r="E111" s="156"/>
      <c r="I111" s="55">
        <v>106</v>
      </c>
      <c r="J111" s="33">
        <f t="shared" si="64"/>
        <v>0</v>
      </c>
      <c r="K111" s="33">
        <f t="shared" si="65"/>
        <v>0</v>
      </c>
      <c r="L111" s="33">
        <f t="shared" si="66"/>
        <v>0</v>
      </c>
      <c r="M111" s="33">
        <f t="shared" si="67"/>
        <v>0</v>
      </c>
      <c r="N111" s="33">
        <f t="shared" si="47"/>
        <v>0</v>
      </c>
      <c r="O111" s="34">
        <f t="shared" si="48"/>
        <v>0</v>
      </c>
      <c r="P111" s="55">
        <v>106</v>
      </c>
      <c r="Q111" s="33">
        <f t="shared" si="62"/>
        <v>0</v>
      </c>
      <c r="R111" s="33">
        <f t="shared" si="68"/>
        <v>0</v>
      </c>
      <c r="S111" s="33">
        <f t="shared" si="69"/>
        <v>0</v>
      </c>
      <c r="T111" s="33">
        <f t="shared" si="49"/>
        <v>0</v>
      </c>
      <c r="U111" s="33">
        <f t="shared" si="63"/>
        <v>0</v>
      </c>
      <c r="V111" s="33">
        <f t="shared" si="50"/>
        <v>0</v>
      </c>
      <c r="W111" s="33">
        <v>0</v>
      </c>
      <c r="X111" s="33">
        <f t="shared" si="51"/>
        <v>0</v>
      </c>
      <c r="Y111" s="38">
        <f t="shared" si="52"/>
        <v>0</v>
      </c>
      <c r="AA111" s="71">
        <v>106</v>
      </c>
      <c r="AB111" s="33">
        <f t="shared" si="53"/>
        <v>0</v>
      </c>
      <c r="AC111" s="304">
        <f t="shared" si="54"/>
        <v>0</v>
      </c>
      <c r="AD111" s="100">
        <f t="shared" si="55"/>
        <v>0</v>
      </c>
      <c r="AE111" s="100">
        <f t="shared" si="56"/>
        <v>0</v>
      </c>
      <c r="AF111" s="193">
        <f t="shared" si="73"/>
        <v>0</v>
      </c>
      <c r="AG111" s="193">
        <f t="shared" si="74"/>
        <v>0</v>
      </c>
      <c r="AH111" s="193">
        <f t="shared" si="75"/>
        <v>0</v>
      </c>
      <c r="AI111" s="198">
        <f t="shared" si="76"/>
        <v>0</v>
      </c>
      <c r="AK111" s="71">
        <v>106</v>
      </c>
      <c r="AL111" s="33">
        <f t="shared" si="57"/>
        <v>0</v>
      </c>
      <c r="AM111" s="33">
        <f t="shared" si="58"/>
        <v>0</v>
      </c>
      <c r="AN111" s="33">
        <f t="shared" si="59"/>
        <v>0</v>
      </c>
      <c r="AO111" s="33">
        <f t="shared" si="60"/>
        <v>0</v>
      </c>
      <c r="AP111" s="33">
        <f t="shared" si="61"/>
        <v>0</v>
      </c>
      <c r="AQ111" s="193">
        <f t="shared" si="77"/>
        <v>0</v>
      </c>
      <c r="AR111" s="193">
        <f t="shared" si="78"/>
        <v>0</v>
      </c>
      <c r="AS111" s="193">
        <f t="shared" si="79"/>
        <v>0</v>
      </c>
      <c r="AT111" s="193">
        <f t="shared" si="80"/>
        <v>0</v>
      </c>
      <c r="AU111" s="33"/>
      <c r="AV111" s="33"/>
      <c r="AW111" s="33"/>
      <c r="AX111" s="33"/>
      <c r="AY111" s="76"/>
    </row>
    <row r="112" spans="2:51">
      <c r="C112" s="74" t="s">
        <v>145</v>
      </c>
      <c r="D112" s="74" t="s">
        <v>72</v>
      </c>
      <c r="E112" s="74" t="s">
        <v>166</v>
      </c>
      <c r="I112" s="55">
        <v>107</v>
      </c>
      <c r="J112" s="33">
        <f t="shared" si="64"/>
        <v>0</v>
      </c>
      <c r="K112" s="33">
        <f t="shared" si="65"/>
        <v>0</v>
      </c>
      <c r="L112" s="33">
        <f t="shared" si="66"/>
        <v>0</v>
      </c>
      <c r="M112" s="33">
        <f t="shared" si="67"/>
        <v>0</v>
      </c>
      <c r="N112" s="33">
        <f t="shared" si="47"/>
        <v>0</v>
      </c>
      <c r="O112" s="34">
        <f t="shared" si="48"/>
        <v>0</v>
      </c>
      <c r="P112" s="55">
        <v>107</v>
      </c>
      <c r="Q112" s="33">
        <f t="shared" si="62"/>
        <v>0</v>
      </c>
      <c r="R112" s="33">
        <f t="shared" si="68"/>
        <v>0</v>
      </c>
      <c r="S112" s="33">
        <f t="shared" si="69"/>
        <v>0</v>
      </c>
      <c r="T112" s="33">
        <f t="shared" si="49"/>
        <v>0</v>
      </c>
      <c r="U112" s="33">
        <f t="shared" si="63"/>
        <v>0</v>
      </c>
      <c r="V112" s="33">
        <f t="shared" si="50"/>
        <v>0</v>
      </c>
      <c r="W112" s="33">
        <v>0</v>
      </c>
      <c r="X112" s="33">
        <f t="shared" si="51"/>
        <v>0</v>
      </c>
      <c r="Y112" s="38">
        <f t="shared" si="52"/>
        <v>0</v>
      </c>
      <c r="AA112" s="71">
        <v>107</v>
      </c>
      <c r="AB112" s="33">
        <f t="shared" si="53"/>
        <v>0</v>
      </c>
      <c r="AC112" s="304">
        <f t="shared" si="54"/>
        <v>0</v>
      </c>
      <c r="AD112" s="100">
        <f t="shared" si="55"/>
        <v>0</v>
      </c>
      <c r="AE112" s="100">
        <f t="shared" si="56"/>
        <v>0</v>
      </c>
      <c r="AF112" s="193">
        <f t="shared" si="73"/>
        <v>0</v>
      </c>
      <c r="AG112" s="193">
        <f t="shared" si="74"/>
        <v>0</v>
      </c>
      <c r="AH112" s="193">
        <f t="shared" si="75"/>
        <v>0</v>
      </c>
      <c r="AI112" s="198">
        <f t="shared" si="76"/>
        <v>0</v>
      </c>
      <c r="AK112" s="71">
        <v>107</v>
      </c>
      <c r="AL112" s="33">
        <f t="shared" si="57"/>
        <v>0</v>
      </c>
      <c r="AM112" s="33">
        <f t="shared" si="58"/>
        <v>0</v>
      </c>
      <c r="AN112" s="33">
        <f t="shared" si="59"/>
        <v>0</v>
      </c>
      <c r="AO112" s="33">
        <f t="shared" si="60"/>
        <v>0</v>
      </c>
      <c r="AP112" s="33">
        <f t="shared" si="61"/>
        <v>0</v>
      </c>
      <c r="AQ112" s="193">
        <f t="shared" si="77"/>
        <v>0</v>
      </c>
      <c r="AR112" s="193">
        <f t="shared" si="78"/>
        <v>0</v>
      </c>
      <c r="AS112" s="193">
        <f t="shared" si="79"/>
        <v>0</v>
      </c>
      <c r="AT112" s="193">
        <f t="shared" si="80"/>
        <v>0</v>
      </c>
      <c r="AU112" s="33"/>
      <c r="AV112" s="33"/>
      <c r="AW112" s="33"/>
      <c r="AX112" s="33"/>
      <c r="AY112" s="76"/>
    </row>
    <row r="113" spans="2:51">
      <c r="B113" s="67" t="s">
        <v>167</v>
      </c>
      <c r="C113" s="79">
        <f>1/$F$18*SUM(X6:X205)</f>
        <v>530.31513138851039</v>
      </c>
      <c r="D113" s="79">
        <f>1/$F$10*SUM(O6:O205)</f>
        <v>317.21666452353406</v>
      </c>
      <c r="E113" s="78">
        <f>C113-D113</f>
        <v>213.09846686497633</v>
      </c>
      <c r="I113" s="55">
        <v>108</v>
      </c>
      <c r="J113" s="33">
        <f t="shared" si="64"/>
        <v>0</v>
      </c>
      <c r="K113" s="33">
        <f t="shared" si="65"/>
        <v>0</v>
      </c>
      <c r="L113" s="33">
        <f t="shared" si="66"/>
        <v>0</v>
      </c>
      <c r="M113" s="33">
        <f t="shared" si="67"/>
        <v>0</v>
      </c>
      <c r="N113" s="33">
        <f t="shared" si="47"/>
        <v>0</v>
      </c>
      <c r="O113" s="34">
        <f t="shared" si="48"/>
        <v>0</v>
      </c>
      <c r="P113" s="55">
        <v>108</v>
      </c>
      <c r="Q113" s="33">
        <f t="shared" si="62"/>
        <v>0</v>
      </c>
      <c r="R113" s="33">
        <f t="shared" si="68"/>
        <v>0</v>
      </c>
      <c r="S113" s="33">
        <f t="shared" si="69"/>
        <v>0</v>
      </c>
      <c r="T113" s="33">
        <f t="shared" si="49"/>
        <v>0</v>
      </c>
      <c r="U113" s="33">
        <f t="shared" si="63"/>
        <v>0</v>
      </c>
      <c r="V113" s="33">
        <f t="shared" si="50"/>
        <v>0</v>
      </c>
      <c r="W113" s="33">
        <v>0</v>
      </c>
      <c r="X113" s="33">
        <f t="shared" si="51"/>
        <v>0</v>
      </c>
      <c r="Y113" s="38">
        <f t="shared" si="52"/>
        <v>0</v>
      </c>
      <c r="AA113" s="71">
        <v>108</v>
      </c>
      <c r="AB113" s="33">
        <f t="shared" si="53"/>
        <v>0</v>
      </c>
      <c r="AC113" s="304">
        <f t="shared" si="54"/>
        <v>0</v>
      </c>
      <c r="AD113" s="100">
        <f t="shared" si="55"/>
        <v>0</v>
      </c>
      <c r="AE113" s="100">
        <f t="shared" si="56"/>
        <v>0</v>
      </c>
      <c r="AF113" s="193">
        <f t="shared" si="73"/>
        <v>0</v>
      </c>
      <c r="AG113" s="193">
        <f t="shared" si="74"/>
        <v>0</v>
      </c>
      <c r="AH113" s="193">
        <f t="shared" si="75"/>
        <v>0</v>
      </c>
      <c r="AI113" s="198">
        <f t="shared" si="76"/>
        <v>0</v>
      </c>
      <c r="AK113" s="71">
        <v>108</v>
      </c>
      <c r="AL113" s="33">
        <f t="shared" si="57"/>
        <v>0</v>
      </c>
      <c r="AM113" s="33">
        <f t="shared" si="58"/>
        <v>0</v>
      </c>
      <c r="AN113" s="33">
        <f t="shared" si="59"/>
        <v>0</v>
      </c>
      <c r="AO113" s="33">
        <f t="shared" si="60"/>
        <v>0</v>
      </c>
      <c r="AP113" s="33">
        <f t="shared" si="61"/>
        <v>0</v>
      </c>
      <c r="AQ113" s="193">
        <f t="shared" si="77"/>
        <v>0</v>
      </c>
      <c r="AR113" s="193">
        <f t="shared" si="78"/>
        <v>0</v>
      </c>
      <c r="AS113" s="193">
        <f t="shared" si="79"/>
        <v>0</v>
      </c>
      <c r="AT113" s="193">
        <f t="shared" si="80"/>
        <v>0</v>
      </c>
      <c r="AU113" s="33"/>
      <c r="AV113" s="33"/>
      <c r="AW113" s="33"/>
      <c r="AX113" s="33"/>
      <c r="AY113" s="76"/>
    </row>
    <row r="114" spans="2:51">
      <c r="B114" s="67" t="s">
        <v>168</v>
      </c>
      <c r="C114" s="79">
        <f>X35</f>
        <v>468.91567581484765</v>
      </c>
      <c r="D114" s="79">
        <f>O35</f>
        <v>308.87301463228226</v>
      </c>
      <c r="E114" s="78">
        <f>VLOOKUP(30,I5:Y205,17,FALSE)</f>
        <v>160.04266118256538</v>
      </c>
      <c r="I114" s="55">
        <v>109</v>
      </c>
      <c r="J114" s="33">
        <f t="shared" si="64"/>
        <v>0</v>
      </c>
      <c r="K114" s="33">
        <f t="shared" si="65"/>
        <v>0</v>
      </c>
      <c r="L114" s="33">
        <f t="shared" si="66"/>
        <v>0</v>
      </c>
      <c r="M114" s="33">
        <f t="shared" si="67"/>
        <v>0</v>
      </c>
      <c r="N114" s="33">
        <f t="shared" si="47"/>
        <v>0</v>
      </c>
      <c r="O114" s="34">
        <f t="shared" si="48"/>
        <v>0</v>
      </c>
      <c r="P114" s="55">
        <v>109</v>
      </c>
      <c r="Q114" s="33">
        <f t="shared" si="62"/>
        <v>0</v>
      </c>
      <c r="R114" s="33">
        <f t="shared" si="68"/>
        <v>0</v>
      </c>
      <c r="S114" s="33">
        <f t="shared" si="69"/>
        <v>0</v>
      </c>
      <c r="T114" s="33">
        <f t="shared" si="49"/>
        <v>0</v>
      </c>
      <c r="U114" s="33">
        <f t="shared" si="63"/>
        <v>0</v>
      </c>
      <c r="V114" s="33">
        <f t="shared" si="50"/>
        <v>0</v>
      </c>
      <c r="W114" s="33">
        <v>0</v>
      </c>
      <c r="X114" s="33">
        <f t="shared" si="51"/>
        <v>0</v>
      </c>
      <c r="Y114" s="38">
        <f t="shared" si="52"/>
        <v>0</v>
      </c>
      <c r="AA114" s="71">
        <v>109</v>
      </c>
      <c r="AB114" s="33">
        <f t="shared" si="53"/>
        <v>0</v>
      </c>
      <c r="AC114" s="304">
        <f t="shared" si="54"/>
        <v>0</v>
      </c>
      <c r="AD114" s="100">
        <f t="shared" si="55"/>
        <v>0</v>
      </c>
      <c r="AE114" s="100">
        <f t="shared" si="56"/>
        <v>0</v>
      </c>
      <c r="AF114" s="193">
        <f t="shared" si="73"/>
        <v>0</v>
      </c>
      <c r="AG114" s="193">
        <f t="shared" si="74"/>
        <v>0</v>
      </c>
      <c r="AH114" s="193">
        <f t="shared" si="75"/>
        <v>0</v>
      </c>
      <c r="AI114" s="198">
        <f t="shared" si="76"/>
        <v>0</v>
      </c>
      <c r="AK114" s="71">
        <v>109</v>
      </c>
      <c r="AL114" s="33">
        <f t="shared" si="57"/>
        <v>0</v>
      </c>
      <c r="AM114" s="33">
        <f t="shared" si="58"/>
        <v>0</v>
      </c>
      <c r="AN114" s="33">
        <f t="shared" si="59"/>
        <v>0</v>
      </c>
      <c r="AO114" s="33">
        <f t="shared" si="60"/>
        <v>0</v>
      </c>
      <c r="AP114" s="33">
        <f t="shared" si="61"/>
        <v>0</v>
      </c>
      <c r="AQ114" s="193">
        <f t="shared" si="77"/>
        <v>0</v>
      </c>
      <c r="AR114" s="193">
        <f t="shared" si="78"/>
        <v>0</v>
      </c>
      <c r="AS114" s="193">
        <f t="shared" si="79"/>
        <v>0</v>
      </c>
      <c r="AT114" s="193">
        <f t="shared" si="80"/>
        <v>0</v>
      </c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64"/>
        <v>0</v>
      </c>
      <c r="K115" s="33">
        <f t="shared" si="65"/>
        <v>0</v>
      </c>
      <c r="L115" s="33">
        <f t="shared" si="66"/>
        <v>0</v>
      </c>
      <c r="M115" s="33">
        <f t="shared" si="67"/>
        <v>0</v>
      </c>
      <c r="N115" s="33">
        <f t="shared" si="47"/>
        <v>0</v>
      </c>
      <c r="O115" s="34">
        <f t="shared" si="48"/>
        <v>0</v>
      </c>
      <c r="P115" s="55">
        <v>110</v>
      </c>
      <c r="Q115" s="33">
        <f t="shared" si="62"/>
        <v>0</v>
      </c>
      <c r="R115" s="33">
        <f t="shared" si="68"/>
        <v>0</v>
      </c>
      <c r="S115" s="33">
        <f t="shared" si="69"/>
        <v>0</v>
      </c>
      <c r="T115" s="33">
        <f t="shared" si="49"/>
        <v>0</v>
      </c>
      <c r="U115" s="33">
        <f t="shared" si="63"/>
        <v>0</v>
      </c>
      <c r="V115" s="33">
        <f t="shared" si="50"/>
        <v>0</v>
      </c>
      <c r="W115" s="33">
        <v>0</v>
      </c>
      <c r="X115" s="33">
        <f t="shared" si="51"/>
        <v>0</v>
      </c>
      <c r="Y115" s="38">
        <f t="shared" si="52"/>
        <v>0</v>
      </c>
      <c r="AA115" s="71">
        <v>110</v>
      </c>
      <c r="AB115" s="33">
        <f t="shared" si="53"/>
        <v>0</v>
      </c>
      <c r="AC115" s="304">
        <f t="shared" si="54"/>
        <v>0</v>
      </c>
      <c r="AD115" s="100">
        <f t="shared" si="55"/>
        <v>0</v>
      </c>
      <c r="AE115" s="100">
        <f t="shared" si="56"/>
        <v>0</v>
      </c>
      <c r="AF115" s="193">
        <f t="shared" si="73"/>
        <v>0</v>
      </c>
      <c r="AG115" s="193">
        <f t="shared" si="74"/>
        <v>0</v>
      </c>
      <c r="AH115" s="193">
        <f t="shared" si="75"/>
        <v>0</v>
      </c>
      <c r="AI115" s="198">
        <f t="shared" si="76"/>
        <v>0</v>
      </c>
      <c r="AK115" s="71">
        <v>110</v>
      </c>
      <c r="AL115" s="33">
        <f t="shared" si="57"/>
        <v>0</v>
      </c>
      <c r="AM115" s="33">
        <f t="shared" si="58"/>
        <v>0</v>
      </c>
      <c r="AN115" s="33">
        <f t="shared" si="59"/>
        <v>0</v>
      </c>
      <c r="AO115" s="33">
        <f t="shared" si="60"/>
        <v>0</v>
      </c>
      <c r="AP115" s="33">
        <f t="shared" si="61"/>
        <v>0</v>
      </c>
      <c r="AQ115" s="193">
        <f t="shared" si="77"/>
        <v>0</v>
      </c>
      <c r="AR115" s="193">
        <f t="shared" si="78"/>
        <v>0</v>
      </c>
      <c r="AS115" s="193">
        <f t="shared" si="79"/>
        <v>0</v>
      </c>
      <c r="AT115" s="193">
        <f t="shared" si="80"/>
        <v>0</v>
      </c>
      <c r="AU115" s="33"/>
      <c r="AV115" s="33"/>
      <c r="AW115" s="33"/>
      <c r="AX115" s="33"/>
      <c r="AY115" s="76"/>
    </row>
    <row r="116" spans="2:51">
      <c r="C116" s="134" t="s">
        <v>125</v>
      </c>
      <c r="D116" s="134"/>
      <c r="E116" s="134"/>
      <c r="I116" s="55">
        <v>111</v>
      </c>
      <c r="J116" s="33">
        <f t="shared" si="64"/>
        <v>0</v>
      </c>
      <c r="K116" s="33">
        <f t="shared" si="65"/>
        <v>0</v>
      </c>
      <c r="L116" s="33">
        <f t="shared" si="66"/>
        <v>0</v>
      </c>
      <c r="M116" s="33">
        <f t="shared" si="67"/>
        <v>0</v>
      </c>
      <c r="N116" s="33">
        <f t="shared" si="47"/>
        <v>0</v>
      </c>
      <c r="O116" s="34">
        <f t="shared" si="48"/>
        <v>0</v>
      </c>
      <c r="P116" s="55">
        <v>111</v>
      </c>
      <c r="Q116" s="33">
        <f t="shared" si="62"/>
        <v>0</v>
      </c>
      <c r="R116" s="33">
        <f t="shared" si="68"/>
        <v>0</v>
      </c>
      <c r="S116" s="33">
        <f t="shared" si="69"/>
        <v>0</v>
      </c>
      <c r="T116" s="33">
        <f t="shared" si="49"/>
        <v>0</v>
      </c>
      <c r="U116" s="33">
        <f t="shared" si="63"/>
        <v>0</v>
      </c>
      <c r="V116" s="33">
        <f t="shared" si="50"/>
        <v>0</v>
      </c>
      <c r="W116" s="33">
        <v>0</v>
      </c>
      <c r="X116" s="33">
        <f t="shared" si="51"/>
        <v>0</v>
      </c>
      <c r="Y116" s="38">
        <f t="shared" si="52"/>
        <v>0</v>
      </c>
      <c r="AA116" s="71">
        <v>111</v>
      </c>
      <c r="AB116" s="33">
        <f t="shared" si="53"/>
        <v>0</v>
      </c>
      <c r="AC116" s="304">
        <f t="shared" si="54"/>
        <v>0</v>
      </c>
      <c r="AD116" s="100">
        <f t="shared" si="55"/>
        <v>0</v>
      </c>
      <c r="AE116" s="100">
        <f t="shared" si="56"/>
        <v>0</v>
      </c>
      <c r="AF116" s="193">
        <f t="shared" si="73"/>
        <v>0</v>
      </c>
      <c r="AG116" s="193">
        <f t="shared" si="74"/>
        <v>0</v>
      </c>
      <c r="AH116" s="193">
        <f t="shared" si="75"/>
        <v>0</v>
      </c>
      <c r="AI116" s="198">
        <f t="shared" si="76"/>
        <v>0</v>
      </c>
      <c r="AK116" s="71">
        <v>111</v>
      </c>
      <c r="AL116" s="33">
        <f t="shared" si="57"/>
        <v>0</v>
      </c>
      <c r="AM116" s="33">
        <f t="shared" si="58"/>
        <v>0</v>
      </c>
      <c r="AN116" s="33">
        <f t="shared" si="59"/>
        <v>0</v>
      </c>
      <c r="AO116" s="33">
        <f t="shared" si="60"/>
        <v>0</v>
      </c>
      <c r="AP116" s="33">
        <f t="shared" si="61"/>
        <v>0</v>
      </c>
      <c r="AQ116" s="193">
        <f t="shared" si="77"/>
        <v>0</v>
      </c>
      <c r="AR116" s="193">
        <f t="shared" si="78"/>
        <v>0</v>
      </c>
      <c r="AS116" s="193">
        <f t="shared" si="79"/>
        <v>0</v>
      </c>
      <c r="AT116" s="193">
        <f t="shared" si="80"/>
        <v>0</v>
      </c>
      <c r="AU116" s="33"/>
      <c r="AV116" s="33"/>
      <c r="AW116" s="33"/>
      <c r="AX116" s="33"/>
      <c r="AY116" s="76"/>
    </row>
    <row r="117" spans="2:51">
      <c r="C117" s="134" t="s">
        <v>145</v>
      </c>
      <c r="D117" s="134" t="s">
        <v>72</v>
      </c>
      <c r="E117" s="81" t="s">
        <v>166</v>
      </c>
      <c r="I117" s="55">
        <v>112</v>
      </c>
      <c r="J117" s="33">
        <f t="shared" si="64"/>
        <v>0</v>
      </c>
      <c r="K117" s="33">
        <f t="shared" si="65"/>
        <v>0</v>
      </c>
      <c r="L117" s="33">
        <f t="shared" si="66"/>
        <v>0</v>
      </c>
      <c r="M117" s="33">
        <f t="shared" si="67"/>
        <v>0</v>
      </c>
      <c r="N117" s="33">
        <f t="shared" si="47"/>
        <v>0</v>
      </c>
      <c r="O117" s="34">
        <f t="shared" si="48"/>
        <v>0</v>
      </c>
      <c r="P117" s="55">
        <v>112</v>
      </c>
      <c r="Q117" s="33">
        <f t="shared" si="62"/>
        <v>0</v>
      </c>
      <c r="R117" s="33">
        <f t="shared" si="68"/>
        <v>0</v>
      </c>
      <c r="S117" s="33">
        <f t="shared" si="69"/>
        <v>0</v>
      </c>
      <c r="T117" s="33">
        <f t="shared" si="49"/>
        <v>0</v>
      </c>
      <c r="U117" s="33">
        <f t="shared" si="63"/>
        <v>0</v>
      </c>
      <c r="V117" s="33">
        <f t="shared" si="50"/>
        <v>0</v>
      </c>
      <c r="W117" s="33">
        <v>0</v>
      </c>
      <c r="X117" s="33">
        <f t="shared" si="51"/>
        <v>0</v>
      </c>
      <c r="Y117" s="38">
        <f t="shared" si="52"/>
        <v>0</v>
      </c>
      <c r="AA117" s="71">
        <v>112</v>
      </c>
      <c r="AB117" s="33">
        <f t="shared" si="53"/>
        <v>0</v>
      </c>
      <c r="AC117" s="304">
        <f t="shared" si="54"/>
        <v>0</v>
      </c>
      <c r="AD117" s="100">
        <f t="shared" si="55"/>
        <v>0</v>
      </c>
      <c r="AE117" s="100">
        <f t="shared" si="56"/>
        <v>0</v>
      </c>
      <c r="AF117" s="193">
        <f t="shared" si="73"/>
        <v>0</v>
      </c>
      <c r="AG117" s="193">
        <f t="shared" si="74"/>
        <v>0</v>
      </c>
      <c r="AH117" s="193">
        <f t="shared" si="75"/>
        <v>0</v>
      </c>
      <c r="AI117" s="198">
        <f t="shared" si="76"/>
        <v>0</v>
      </c>
      <c r="AK117" s="71">
        <v>112</v>
      </c>
      <c r="AL117" s="33">
        <f t="shared" si="57"/>
        <v>0</v>
      </c>
      <c r="AM117" s="33">
        <f t="shared" si="58"/>
        <v>0</v>
      </c>
      <c r="AN117" s="33">
        <f t="shared" si="59"/>
        <v>0</v>
      </c>
      <c r="AO117" s="33">
        <f t="shared" si="60"/>
        <v>0</v>
      </c>
      <c r="AP117" s="33">
        <f t="shared" si="61"/>
        <v>0</v>
      </c>
      <c r="AQ117" s="193">
        <f t="shared" si="77"/>
        <v>0</v>
      </c>
      <c r="AR117" s="193">
        <f t="shared" si="78"/>
        <v>0</v>
      </c>
      <c r="AS117" s="193">
        <f t="shared" si="79"/>
        <v>0</v>
      </c>
      <c r="AT117" s="193">
        <f t="shared" si="80"/>
        <v>0</v>
      </c>
      <c r="AU117" s="33"/>
      <c r="AV117" s="33"/>
      <c r="AW117" s="33"/>
      <c r="AX117" s="33"/>
      <c r="AY117" s="76"/>
    </row>
    <row r="118" spans="2:51">
      <c r="B118" s="67" t="s">
        <v>261</v>
      </c>
      <c r="C118" s="302">
        <f>1/30*SUM(AI6:AI35)</f>
        <v>3.0850268610947902</v>
      </c>
      <c r="D118" s="79">
        <v>0</v>
      </c>
      <c r="E118" s="78">
        <f>C118-D118</f>
        <v>3.0850268610947902</v>
      </c>
      <c r="I118" s="55">
        <v>113</v>
      </c>
      <c r="J118" s="33">
        <f t="shared" si="64"/>
        <v>0</v>
      </c>
      <c r="K118" s="33">
        <f t="shared" si="65"/>
        <v>0</v>
      </c>
      <c r="L118" s="33">
        <f t="shared" si="66"/>
        <v>0</v>
      </c>
      <c r="M118" s="33">
        <f t="shared" si="67"/>
        <v>0</v>
      </c>
      <c r="N118" s="33">
        <f t="shared" si="47"/>
        <v>0</v>
      </c>
      <c r="O118" s="34">
        <f t="shared" si="48"/>
        <v>0</v>
      </c>
      <c r="P118" s="55">
        <v>113</v>
      </c>
      <c r="Q118" s="33">
        <f t="shared" si="62"/>
        <v>0</v>
      </c>
      <c r="R118" s="33">
        <f t="shared" si="68"/>
        <v>0</v>
      </c>
      <c r="S118" s="33">
        <f t="shared" si="69"/>
        <v>0</v>
      </c>
      <c r="T118" s="33">
        <f t="shared" si="49"/>
        <v>0</v>
      </c>
      <c r="U118" s="33">
        <f t="shared" si="63"/>
        <v>0</v>
      </c>
      <c r="V118" s="33">
        <f t="shared" si="50"/>
        <v>0</v>
      </c>
      <c r="W118" s="33">
        <v>0</v>
      </c>
      <c r="X118" s="33">
        <f t="shared" si="51"/>
        <v>0</v>
      </c>
      <c r="Y118" s="38">
        <f t="shared" si="52"/>
        <v>0</v>
      </c>
      <c r="AA118" s="71">
        <v>113</v>
      </c>
      <c r="AB118" s="33">
        <f t="shared" si="53"/>
        <v>0</v>
      </c>
      <c r="AC118" s="304">
        <f t="shared" si="54"/>
        <v>0</v>
      </c>
      <c r="AD118" s="100">
        <f t="shared" si="55"/>
        <v>0</v>
      </c>
      <c r="AE118" s="100">
        <f t="shared" si="56"/>
        <v>0</v>
      </c>
      <c r="AF118" s="193">
        <f t="shared" si="73"/>
        <v>0</v>
      </c>
      <c r="AG118" s="193">
        <f t="shared" si="74"/>
        <v>0</v>
      </c>
      <c r="AH118" s="193">
        <f t="shared" si="75"/>
        <v>0</v>
      </c>
      <c r="AI118" s="198">
        <f t="shared" si="76"/>
        <v>0</v>
      </c>
      <c r="AK118" s="71">
        <v>113</v>
      </c>
      <c r="AL118" s="33">
        <f t="shared" si="57"/>
        <v>0</v>
      </c>
      <c r="AM118" s="33">
        <f t="shared" si="58"/>
        <v>0</v>
      </c>
      <c r="AN118" s="33">
        <f t="shared" si="59"/>
        <v>0</v>
      </c>
      <c r="AO118" s="33">
        <f t="shared" si="60"/>
        <v>0</v>
      </c>
      <c r="AP118" s="33">
        <f t="shared" si="61"/>
        <v>0</v>
      </c>
      <c r="AQ118" s="193">
        <f t="shared" si="77"/>
        <v>0</v>
      </c>
      <c r="AR118" s="193">
        <f t="shared" si="78"/>
        <v>0</v>
      </c>
      <c r="AS118" s="193">
        <f t="shared" si="79"/>
        <v>0</v>
      </c>
      <c r="AT118" s="193">
        <f t="shared" si="80"/>
        <v>0</v>
      </c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64"/>
        <v>0</v>
      </c>
      <c r="K119" s="33">
        <f t="shared" si="65"/>
        <v>0</v>
      </c>
      <c r="L119" s="33">
        <f t="shared" si="66"/>
        <v>0</v>
      </c>
      <c r="M119" s="33">
        <f t="shared" si="67"/>
        <v>0</v>
      </c>
      <c r="N119" s="33">
        <f t="shared" si="47"/>
        <v>0</v>
      </c>
      <c r="O119" s="34">
        <f t="shared" si="48"/>
        <v>0</v>
      </c>
      <c r="P119" s="55">
        <v>114</v>
      </c>
      <c r="Q119" s="33">
        <f t="shared" si="62"/>
        <v>0</v>
      </c>
      <c r="R119" s="33">
        <f t="shared" si="68"/>
        <v>0</v>
      </c>
      <c r="S119" s="33">
        <f t="shared" si="69"/>
        <v>0</v>
      </c>
      <c r="T119" s="33">
        <f t="shared" si="49"/>
        <v>0</v>
      </c>
      <c r="U119" s="33">
        <f t="shared" si="63"/>
        <v>0</v>
      </c>
      <c r="V119" s="33">
        <f t="shared" si="50"/>
        <v>0</v>
      </c>
      <c r="W119" s="33">
        <v>0</v>
      </c>
      <c r="X119" s="33">
        <f t="shared" si="51"/>
        <v>0</v>
      </c>
      <c r="Y119" s="38">
        <f t="shared" si="52"/>
        <v>0</v>
      </c>
      <c r="AA119" s="71">
        <v>114</v>
      </c>
      <c r="AB119" s="33">
        <f t="shared" si="53"/>
        <v>0</v>
      </c>
      <c r="AC119" s="304">
        <f t="shared" si="54"/>
        <v>0</v>
      </c>
      <c r="AD119" s="100">
        <f t="shared" si="55"/>
        <v>0</v>
      </c>
      <c r="AE119" s="100">
        <f t="shared" si="56"/>
        <v>0</v>
      </c>
      <c r="AF119" s="193">
        <f t="shared" si="73"/>
        <v>0</v>
      </c>
      <c r="AG119" s="193">
        <f t="shared" si="74"/>
        <v>0</v>
      </c>
      <c r="AH119" s="193">
        <f t="shared" si="75"/>
        <v>0</v>
      </c>
      <c r="AI119" s="198">
        <f t="shared" si="76"/>
        <v>0</v>
      </c>
      <c r="AK119" s="71">
        <v>114</v>
      </c>
      <c r="AL119" s="33">
        <f t="shared" si="57"/>
        <v>0</v>
      </c>
      <c r="AM119" s="33">
        <f t="shared" si="58"/>
        <v>0</v>
      </c>
      <c r="AN119" s="33">
        <f t="shared" si="59"/>
        <v>0</v>
      </c>
      <c r="AO119" s="33">
        <f t="shared" si="60"/>
        <v>0</v>
      </c>
      <c r="AP119" s="33">
        <f t="shared" si="61"/>
        <v>0</v>
      </c>
      <c r="AQ119" s="193">
        <f t="shared" si="77"/>
        <v>0</v>
      </c>
      <c r="AR119" s="193">
        <f t="shared" si="78"/>
        <v>0</v>
      </c>
      <c r="AS119" s="193">
        <f t="shared" si="79"/>
        <v>0</v>
      </c>
      <c r="AT119" s="193">
        <f t="shared" si="80"/>
        <v>0</v>
      </c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64"/>
        <v>0</v>
      </c>
      <c r="K120" s="33">
        <f t="shared" si="65"/>
        <v>0</v>
      </c>
      <c r="L120" s="33">
        <f t="shared" si="66"/>
        <v>0</v>
      </c>
      <c r="M120" s="33">
        <f t="shared" si="67"/>
        <v>0</v>
      </c>
      <c r="N120" s="33">
        <f t="shared" si="47"/>
        <v>0</v>
      </c>
      <c r="O120" s="34">
        <f t="shared" si="48"/>
        <v>0</v>
      </c>
      <c r="P120" s="55">
        <v>115</v>
      </c>
      <c r="Q120" s="33">
        <f t="shared" si="62"/>
        <v>0</v>
      </c>
      <c r="R120" s="33">
        <f t="shared" si="68"/>
        <v>0</v>
      </c>
      <c r="S120" s="33">
        <f t="shared" si="69"/>
        <v>0</v>
      </c>
      <c r="T120" s="33">
        <f t="shared" si="49"/>
        <v>0</v>
      </c>
      <c r="U120" s="33">
        <f t="shared" si="63"/>
        <v>0</v>
      </c>
      <c r="V120" s="33">
        <f t="shared" si="50"/>
        <v>0</v>
      </c>
      <c r="W120" s="33">
        <v>0</v>
      </c>
      <c r="X120" s="33">
        <f t="shared" si="51"/>
        <v>0</v>
      </c>
      <c r="Y120" s="38">
        <f t="shared" si="52"/>
        <v>0</v>
      </c>
      <c r="AA120" s="71">
        <v>115</v>
      </c>
      <c r="AB120" s="33">
        <f t="shared" si="53"/>
        <v>0</v>
      </c>
      <c r="AC120" s="304">
        <f t="shared" si="54"/>
        <v>0</v>
      </c>
      <c r="AD120" s="100">
        <f t="shared" si="55"/>
        <v>0</v>
      </c>
      <c r="AE120" s="100">
        <f t="shared" si="56"/>
        <v>0</v>
      </c>
      <c r="AF120" s="193">
        <f t="shared" si="73"/>
        <v>0</v>
      </c>
      <c r="AG120" s="193">
        <f t="shared" si="74"/>
        <v>0</v>
      </c>
      <c r="AH120" s="193">
        <f t="shared" si="75"/>
        <v>0</v>
      </c>
      <c r="AI120" s="198">
        <f t="shared" si="76"/>
        <v>0</v>
      </c>
      <c r="AK120" s="71">
        <v>115</v>
      </c>
      <c r="AL120" s="33">
        <f t="shared" si="57"/>
        <v>0</v>
      </c>
      <c r="AM120" s="33">
        <f t="shared" si="58"/>
        <v>0</v>
      </c>
      <c r="AN120" s="33">
        <f t="shared" si="59"/>
        <v>0</v>
      </c>
      <c r="AO120" s="33">
        <f t="shared" si="60"/>
        <v>0</v>
      </c>
      <c r="AP120" s="33">
        <f t="shared" si="61"/>
        <v>0</v>
      </c>
      <c r="AQ120" s="193">
        <f t="shared" si="77"/>
        <v>0</v>
      </c>
      <c r="AR120" s="193">
        <f t="shared" si="78"/>
        <v>0</v>
      </c>
      <c r="AS120" s="193">
        <f t="shared" si="79"/>
        <v>0</v>
      </c>
      <c r="AT120" s="193">
        <f t="shared" si="80"/>
        <v>0</v>
      </c>
      <c r="AU120" s="33"/>
      <c r="AV120" s="33"/>
      <c r="AW120" s="33"/>
      <c r="AX120" s="33"/>
      <c r="AY120" s="76"/>
    </row>
    <row r="121" spans="2:51">
      <c r="C121" s="134" t="s">
        <v>160</v>
      </c>
      <c r="D121" s="134"/>
      <c r="E121" s="134"/>
      <c r="I121" s="55">
        <v>116</v>
      </c>
      <c r="J121" s="33">
        <f t="shared" si="64"/>
        <v>0</v>
      </c>
      <c r="K121" s="33">
        <f t="shared" si="65"/>
        <v>0</v>
      </c>
      <c r="L121" s="33">
        <f t="shared" si="66"/>
        <v>0</v>
      </c>
      <c r="M121" s="33">
        <f t="shared" si="67"/>
        <v>0</v>
      </c>
      <c r="N121" s="33">
        <f t="shared" si="47"/>
        <v>0</v>
      </c>
      <c r="O121" s="34">
        <f t="shared" si="48"/>
        <v>0</v>
      </c>
      <c r="P121" s="55">
        <v>116</v>
      </c>
      <c r="Q121" s="33">
        <f t="shared" si="62"/>
        <v>0</v>
      </c>
      <c r="R121" s="33">
        <f t="shared" si="68"/>
        <v>0</v>
      </c>
      <c r="S121" s="33">
        <f t="shared" si="69"/>
        <v>0</v>
      </c>
      <c r="T121" s="33">
        <f t="shared" si="49"/>
        <v>0</v>
      </c>
      <c r="U121" s="33">
        <f t="shared" si="63"/>
        <v>0</v>
      </c>
      <c r="V121" s="33">
        <f t="shared" si="50"/>
        <v>0</v>
      </c>
      <c r="W121" s="33">
        <v>0</v>
      </c>
      <c r="X121" s="33">
        <f t="shared" si="51"/>
        <v>0</v>
      </c>
      <c r="Y121" s="38">
        <f t="shared" si="52"/>
        <v>0</v>
      </c>
      <c r="AA121" s="71">
        <v>116</v>
      </c>
      <c r="AB121" s="33">
        <f t="shared" si="53"/>
        <v>0</v>
      </c>
      <c r="AC121" s="304">
        <f t="shared" si="54"/>
        <v>0</v>
      </c>
      <c r="AD121" s="100">
        <f t="shared" si="55"/>
        <v>0</v>
      </c>
      <c r="AE121" s="100">
        <f t="shared" si="56"/>
        <v>0</v>
      </c>
      <c r="AF121" s="193">
        <f t="shared" si="73"/>
        <v>0</v>
      </c>
      <c r="AG121" s="193">
        <f t="shared" si="74"/>
        <v>0</v>
      </c>
      <c r="AH121" s="193">
        <f t="shared" si="75"/>
        <v>0</v>
      </c>
      <c r="AI121" s="198">
        <f t="shared" si="76"/>
        <v>0</v>
      </c>
      <c r="AK121" s="71">
        <v>116</v>
      </c>
      <c r="AL121" s="33">
        <f t="shared" si="57"/>
        <v>0</v>
      </c>
      <c r="AM121" s="33">
        <f t="shared" si="58"/>
        <v>0</v>
      </c>
      <c r="AN121" s="33">
        <f t="shared" si="59"/>
        <v>0</v>
      </c>
      <c r="AO121" s="33">
        <f t="shared" si="60"/>
        <v>0</v>
      </c>
      <c r="AP121" s="33">
        <f t="shared" si="61"/>
        <v>0</v>
      </c>
      <c r="AQ121" s="193">
        <f t="shared" si="77"/>
        <v>0</v>
      </c>
      <c r="AR121" s="193">
        <f t="shared" si="78"/>
        <v>0</v>
      </c>
      <c r="AS121" s="193">
        <f t="shared" si="79"/>
        <v>0</v>
      </c>
      <c r="AT121" s="193">
        <f t="shared" si="80"/>
        <v>0</v>
      </c>
      <c r="AU121" s="33"/>
      <c r="AV121" s="33"/>
      <c r="AW121" s="33"/>
      <c r="AX121" s="33"/>
      <c r="AY121" s="76"/>
    </row>
    <row r="122" spans="2:51">
      <c r="C122" s="134" t="s">
        <v>145</v>
      </c>
      <c r="D122" s="134" t="s">
        <v>72</v>
      </c>
      <c r="E122" s="81" t="s">
        <v>166</v>
      </c>
      <c r="I122" s="55">
        <v>117</v>
      </c>
      <c r="J122" s="33">
        <f t="shared" si="64"/>
        <v>0</v>
      </c>
      <c r="K122" s="33">
        <f t="shared" si="65"/>
        <v>0</v>
      </c>
      <c r="L122" s="33">
        <f t="shared" si="66"/>
        <v>0</v>
      </c>
      <c r="M122" s="33">
        <f t="shared" si="67"/>
        <v>0</v>
      </c>
      <c r="N122" s="33">
        <f t="shared" si="47"/>
        <v>0</v>
      </c>
      <c r="O122" s="34">
        <f t="shared" si="48"/>
        <v>0</v>
      </c>
      <c r="P122" s="55">
        <v>117</v>
      </c>
      <c r="Q122" s="33">
        <f t="shared" si="62"/>
        <v>0</v>
      </c>
      <c r="R122" s="33">
        <f t="shared" si="68"/>
        <v>0</v>
      </c>
      <c r="S122" s="33">
        <f t="shared" si="69"/>
        <v>0</v>
      </c>
      <c r="T122" s="33">
        <f t="shared" si="49"/>
        <v>0</v>
      </c>
      <c r="U122" s="33">
        <f t="shared" si="63"/>
        <v>0</v>
      </c>
      <c r="V122" s="33">
        <f t="shared" si="50"/>
        <v>0</v>
      </c>
      <c r="W122" s="33">
        <v>0</v>
      </c>
      <c r="X122" s="33">
        <f t="shared" si="51"/>
        <v>0</v>
      </c>
      <c r="Y122" s="38">
        <f t="shared" si="52"/>
        <v>0</v>
      </c>
      <c r="AA122" s="71">
        <v>117</v>
      </c>
      <c r="AB122" s="33">
        <f t="shared" si="53"/>
        <v>0</v>
      </c>
      <c r="AC122" s="304">
        <f t="shared" si="54"/>
        <v>0</v>
      </c>
      <c r="AD122" s="100">
        <f t="shared" si="55"/>
        <v>0</v>
      </c>
      <c r="AE122" s="100">
        <f t="shared" si="56"/>
        <v>0</v>
      </c>
      <c r="AF122" s="193">
        <f t="shared" si="73"/>
        <v>0</v>
      </c>
      <c r="AG122" s="193">
        <f t="shared" si="74"/>
        <v>0</v>
      </c>
      <c r="AH122" s="193">
        <f t="shared" si="75"/>
        <v>0</v>
      </c>
      <c r="AI122" s="198">
        <f t="shared" si="76"/>
        <v>0</v>
      </c>
      <c r="AK122" s="71">
        <v>117</v>
      </c>
      <c r="AL122" s="33">
        <f t="shared" si="57"/>
        <v>0</v>
      </c>
      <c r="AM122" s="33">
        <f t="shared" si="58"/>
        <v>0</v>
      </c>
      <c r="AN122" s="33">
        <f t="shared" si="59"/>
        <v>0</v>
      </c>
      <c r="AO122" s="33">
        <f t="shared" si="60"/>
        <v>0</v>
      </c>
      <c r="AP122" s="33">
        <f t="shared" si="61"/>
        <v>0</v>
      </c>
      <c r="AQ122" s="193">
        <f t="shared" si="77"/>
        <v>0</v>
      </c>
      <c r="AR122" s="193">
        <f t="shared" si="78"/>
        <v>0</v>
      </c>
      <c r="AS122" s="193">
        <f t="shared" si="79"/>
        <v>0</v>
      </c>
      <c r="AT122" s="193">
        <f t="shared" si="80"/>
        <v>0</v>
      </c>
      <c r="AU122" s="33"/>
      <c r="AV122" s="33"/>
      <c r="AW122" s="33"/>
      <c r="AX122" s="33"/>
      <c r="AY122" s="76"/>
    </row>
    <row r="123" spans="2:51">
      <c r="B123" s="67" t="s">
        <v>168</v>
      </c>
      <c r="C123" s="82">
        <f>AY35</f>
        <v>14.19</v>
      </c>
      <c r="D123" s="303">
        <f>IF(AND(D8=B101,F12=C194),J34*50%*G107,0)</f>
        <v>2.6187</v>
      </c>
      <c r="E123" s="78">
        <f>C123-D123</f>
        <v>11.571299999999999</v>
      </c>
      <c r="I123" s="55">
        <v>118</v>
      </c>
      <c r="J123" s="33">
        <f t="shared" si="64"/>
        <v>0</v>
      </c>
      <c r="K123" s="33">
        <f t="shared" si="65"/>
        <v>0</v>
      </c>
      <c r="L123" s="33">
        <f t="shared" si="66"/>
        <v>0</v>
      </c>
      <c r="M123" s="33">
        <f t="shared" si="67"/>
        <v>0</v>
      </c>
      <c r="N123" s="33">
        <f t="shared" si="47"/>
        <v>0</v>
      </c>
      <c r="O123" s="34">
        <f t="shared" si="48"/>
        <v>0</v>
      </c>
      <c r="P123" s="55">
        <v>118</v>
      </c>
      <c r="Q123" s="33">
        <f t="shared" si="62"/>
        <v>0</v>
      </c>
      <c r="R123" s="33">
        <f t="shared" si="68"/>
        <v>0</v>
      </c>
      <c r="S123" s="33">
        <f t="shared" si="69"/>
        <v>0</v>
      </c>
      <c r="T123" s="33">
        <f t="shared" si="49"/>
        <v>0</v>
      </c>
      <c r="U123" s="33">
        <f t="shared" si="63"/>
        <v>0</v>
      </c>
      <c r="V123" s="33">
        <f t="shared" si="50"/>
        <v>0</v>
      </c>
      <c r="W123" s="33">
        <v>0</v>
      </c>
      <c r="X123" s="33">
        <f t="shared" si="51"/>
        <v>0</v>
      </c>
      <c r="Y123" s="38">
        <f t="shared" si="52"/>
        <v>0</v>
      </c>
      <c r="AA123" s="71">
        <v>118</v>
      </c>
      <c r="AB123" s="33">
        <f t="shared" si="53"/>
        <v>0</v>
      </c>
      <c r="AC123" s="304">
        <f t="shared" si="54"/>
        <v>0</v>
      </c>
      <c r="AD123" s="100">
        <f t="shared" si="55"/>
        <v>0</v>
      </c>
      <c r="AE123" s="100">
        <f t="shared" si="56"/>
        <v>0</v>
      </c>
      <c r="AF123" s="193">
        <f t="shared" si="73"/>
        <v>0</v>
      </c>
      <c r="AG123" s="193">
        <f t="shared" si="74"/>
        <v>0</v>
      </c>
      <c r="AH123" s="193">
        <f t="shared" si="75"/>
        <v>0</v>
      </c>
      <c r="AI123" s="198">
        <f t="shared" si="76"/>
        <v>0</v>
      </c>
      <c r="AK123" s="71">
        <v>118</v>
      </c>
      <c r="AL123" s="33">
        <f t="shared" si="57"/>
        <v>0</v>
      </c>
      <c r="AM123" s="33">
        <f t="shared" si="58"/>
        <v>0</v>
      </c>
      <c r="AN123" s="33">
        <f t="shared" si="59"/>
        <v>0</v>
      </c>
      <c r="AO123" s="33">
        <f t="shared" si="60"/>
        <v>0</v>
      </c>
      <c r="AP123" s="33">
        <f t="shared" si="61"/>
        <v>0</v>
      </c>
      <c r="AQ123" s="193">
        <f t="shared" si="77"/>
        <v>0</v>
      </c>
      <c r="AR123" s="193">
        <f t="shared" si="78"/>
        <v>0</v>
      </c>
      <c r="AS123" s="193">
        <f t="shared" si="79"/>
        <v>0</v>
      </c>
      <c r="AT123" s="193">
        <f t="shared" si="80"/>
        <v>0</v>
      </c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64"/>
        <v>0</v>
      </c>
      <c r="K124" s="33">
        <f t="shared" si="65"/>
        <v>0</v>
      </c>
      <c r="L124" s="33">
        <f t="shared" si="66"/>
        <v>0</v>
      </c>
      <c r="M124" s="33">
        <f t="shared" si="67"/>
        <v>0</v>
      </c>
      <c r="N124" s="33">
        <f t="shared" si="47"/>
        <v>0</v>
      </c>
      <c r="O124" s="34">
        <f t="shared" si="48"/>
        <v>0</v>
      </c>
      <c r="P124" s="55">
        <v>119</v>
      </c>
      <c r="Q124" s="33">
        <f t="shared" si="62"/>
        <v>0</v>
      </c>
      <c r="R124" s="33">
        <f t="shared" si="68"/>
        <v>0</v>
      </c>
      <c r="S124" s="33">
        <f t="shared" si="69"/>
        <v>0</v>
      </c>
      <c r="T124" s="33">
        <f t="shared" si="49"/>
        <v>0</v>
      </c>
      <c r="U124" s="33">
        <f t="shared" si="63"/>
        <v>0</v>
      </c>
      <c r="V124" s="33">
        <f t="shared" si="50"/>
        <v>0</v>
      </c>
      <c r="W124" s="33">
        <v>0</v>
      </c>
      <c r="X124" s="33">
        <f t="shared" si="51"/>
        <v>0</v>
      </c>
      <c r="Y124" s="38">
        <f t="shared" si="52"/>
        <v>0</v>
      </c>
      <c r="AA124" s="71">
        <v>119</v>
      </c>
      <c r="AB124" s="33">
        <f t="shared" si="53"/>
        <v>0</v>
      </c>
      <c r="AC124" s="304">
        <f t="shared" si="54"/>
        <v>0</v>
      </c>
      <c r="AD124" s="100">
        <f t="shared" si="55"/>
        <v>0</v>
      </c>
      <c r="AE124" s="100">
        <f t="shared" si="56"/>
        <v>0</v>
      </c>
      <c r="AF124" s="193">
        <f t="shared" si="73"/>
        <v>0</v>
      </c>
      <c r="AG124" s="193">
        <f t="shared" si="74"/>
        <v>0</v>
      </c>
      <c r="AH124" s="193">
        <f t="shared" si="75"/>
        <v>0</v>
      </c>
      <c r="AI124" s="198">
        <f t="shared" si="76"/>
        <v>0</v>
      </c>
      <c r="AK124" s="71">
        <v>119</v>
      </c>
      <c r="AL124" s="33">
        <f t="shared" si="57"/>
        <v>0</v>
      </c>
      <c r="AM124" s="33">
        <f t="shared" si="58"/>
        <v>0</v>
      </c>
      <c r="AN124" s="33">
        <f t="shared" si="59"/>
        <v>0</v>
      </c>
      <c r="AO124" s="33">
        <f t="shared" si="60"/>
        <v>0</v>
      </c>
      <c r="AP124" s="33">
        <f t="shared" si="61"/>
        <v>0</v>
      </c>
      <c r="AQ124" s="193">
        <f t="shared" si="77"/>
        <v>0</v>
      </c>
      <c r="AR124" s="193">
        <f t="shared" si="78"/>
        <v>0</v>
      </c>
      <c r="AS124" s="193">
        <f t="shared" si="79"/>
        <v>0</v>
      </c>
      <c r="AT124" s="193">
        <f t="shared" si="80"/>
        <v>0</v>
      </c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64"/>
        <v>0</v>
      </c>
      <c r="K125" s="33">
        <f t="shared" si="65"/>
        <v>0</v>
      </c>
      <c r="L125" s="33">
        <f t="shared" si="66"/>
        <v>0</v>
      </c>
      <c r="M125" s="33">
        <f t="shared" si="67"/>
        <v>0</v>
      </c>
      <c r="N125" s="33">
        <f t="shared" si="47"/>
        <v>0</v>
      </c>
      <c r="O125" s="34">
        <f t="shared" si="48"/>
        <v>0</v>
      </c>
      <c r="P125" s="55">
        <v>120</v>
      </c>
      <c r="Q125" s="33">
        <f t="shared" si="62"/>
        <v>0</v>
      </c>
      <c r="R125" s="33">
        <f t="shared" si="68"/>
        <v>0</v>
      </c>
      <c r="S125" s="33">
        <f t="shared" si="69"/>
        <v>0</v>
      </c>
      <c r="T125" s="33">
        <f t="shared" si="49"/>
        <v>0</v>
      </c>
      <c r="U125" s="33">
        <f t="shared" si="63"/>
        <v>0</v>
      </c>
      <c r="V125" s="33">
        <f t="shared" si="50"/>
        <v>0</v>
      </c>
      <c r="W125" s="33">
        <v>0</v>
      </c>
      <c r="X125" s="33">
        <f t="shared" si="51"/>
        <v>0</v>
      </c>
      <c r="Y125" s="38">
        <f t="shared" si="52"/>
        <v>0</v>
      </c>
      <c r="AA125" s="71">
        <v>120</v>
      </c>
      <c r="AB125" s="33">
        <f t="shared" si="53"/>
        <v>0</v>
      </c>
      <c r="AC125" s="304">
        <f t="shared" si="54"/>
        <v>0</v>
      </c>
      <c r="AD125" s="100">
        <f t="shared" si="55"/>
        <v>0</v>
      </c>
      <c r="AE125" s="100">
        <f t="shared" si="56"/>
        <v>0</v>
      </c>
      <c r="AF125" s="193">
        <f t="shared" si="73"/>
        <v>0</v>
      </c>
      <c r="AG125" s="193">
        <f t="shared" si="74"/>
        <v>0</v>
      </c>
      <c r="AH125" s="193">
        <f t="shared" si="75"/>
        <v>0</v>
      </c>
      <c r="AI125" s="198">
        <f t="shared" si="76"/>
        <v>0</v>
      </c>
      <c r="AK125" s="71">
        <v>120</v>
      </c>
      <c r="AL125" s="33">
        <f t="shared" si="57"/>
        <v>0</v>
      </c>
      <c r="AM125" s="33">
        <f t="shared" si="58"/>
        <v>0</v>
      </c>
      <c r="AN125" s="33">
        <f t="shared" si="59"/>
        <v>0</v>
      </c>
      <c r="AO125" s="33">
        <f t="shared" si="60"/>
        <v>0</v>
      </c>
      <c r="AP125" s="33">
        <f t="shared" si="61"/>
        <v>0</v>
      </c>
      <c r="AQ125" s="193">
        <f t="shared" si="77"/>
        <v>0</v>
      </c>
      <c r="AR125" s="193">
        <f t="shared" si="78"/>
        <v>0</v>
      </c>
      <c r="AS125" s="193">
        <f t="shared" si="79"/>
        <v>0</v>
      </c>
      <c r="AT125" s="193">
        <f t="shared" si="80"/>
        <v>0</v>
      </c>
      <c r="AU125" s="33"/>
      <c r="AV125" s="33"/>
      <c r="AW125" s="33"/>
      <c r="AX125" s="33"/>
      <c r="AY125" s="76"/>
    </row>
    <row r="126" spans="2:51">
      <c r="C126" s="84" t="s">
        <v>129</v>
      </c>
      <c r="D126" s="84" t="s">
        <v>130</v>
      </c>
      <c r="E126" s="84" t="s">
        <v>160</v>
      </c>
      <c r="F126" s="156" t="s">
        <v>170</v>
      </c>
      <c r="I126" s="55">
        <v>121</v>
      </c>
      <c r="J126" s="33">
        <f t="shared" si="64"/>
        <v>0</v>
      </c>
      <c r="K126" s="33">
        <f t="shared" si="65"/>
        <v>0</v>
      </c>
      <c r="L126" s="33">
        <f t="shared" si="66"/>
        <v>0</v>
      </c>
      <c r="M126" s="33">
        <f t="shared" si="67"/>
        <v>0</v>
      </c>
      <c r="N126" s="33">
        <f t="shared" si="47"/>
        <v>0</v>
      </c>
      <c r="O126" s="34">
        <f t="shared" si="48"/>
        <v>0</v>
      </c>
      <c r="P126" s="55">
        <v>121</v>
      </c>
      <c r="Q126" s="33">
        <f t="shared" si="62"/>
        <v>0</v>
      </c>
      <c r="R126" s="33">
        <f t="shared" si="68"/>
        <v>0</v>
      </c>
      <c r="S126" s="33">
        <f t="shared" si="69"/>
        <v>0</v>
      </c>
      <c r="T126" s="33">
        <f t="shared" si="49"/>
        <v>0</v>
      </c>
      <c r="U126" s="33">
        <f t="shared" si="63"/>
        <v>0</v>
      </c>
      <c r="V126" s="33">
        <f t="shared" si="50"/>
        <v>0</v>
      </c>
      <c r="W126" s="33">
        <v>0</v>
      </c>
      <c r="X126" s="33">
        <f t="shared" si="51"/>
        <v>0</v>
      </c>
      <c r="Y126" s="38">
        <f t="shared" si="52"/>
        <v>0</v>
      </c>
      <c r="AA126" s="71">
        <v>121</v>
      </c>
      <c r="AB126" s="33">
        <f t="shared" si="53"/>
        <v>0</v>
      </c>
      <c r="AC126" s="304">
        <f t="shared" si="54"/>
        <v>0</v>
      </c>
      <c r="AD126" s="100">
        <f t="shared" si="55"/>
        <v>0</v>
      </c>
      <c r="AE126" s="100">
        <f t="shared" si="56"/>
        <v>0</v>
      </c>
      <c r="AF126" s="193">
        <f t="shared" si="73"/>
        <v>0</v>
      </c>
      <c r="AG126" s="193">
        <f t="shared" si="74"/>
        <v>0</v>
      </c>
      <c r="AH126" s="193">
        <f t="shared" si="75"/>
        <v>0</v>
      </c>
      <c r="AI126" s="198">
        <f t="shared" si="76"/>
        <v>0</v>
      </c>
      <c r="AK126" s="71">
        <v>121</v>
      </c>
      <c r="AL126" s="33">
        <f t="shared" si="57"/>
        <v>0</v>
      </c>
      <c r="AM126" s="33">
        <f t="shared" si="58"/>
        <v>0</v>
      </c>
      <c r="AN126" s="33">
        <f t="shared" si="59"/>
        <v>0</v>
      </c>
      <c r="AO126" s="33">
        <f t="shared" si="60"/>
        <v>0</v>
      </c>
      <c r="AP126" s="33">
        <f t="shared" si="61"/>
        <v>0</v>
      </c>
      <c r="AQ126" s="193">
        <f t="shared" si="77"/>
        <v>0</v>
      </c>
      <c r="AR126" s="193">
        <f t="shared" si="78"/>
        <v>0</v>
      </c>
      <c r="AS126" s="193">
        <f t="shared" si="79"/>
        <v>0</v>
      </c>
      <c r="AT126" s="193">
        <f t="shared" si="80"/>
        <v>0</v>
      </c>
      <c r="AU126" s="33"/>
      <c r="AV126" s="33"/>
      <c r="AW126" s="33"/>
      <c r="AX126" s="33"/>
      <c r="AY126" s="76"/>
    </row>
    <row r="127" spans="2:51">
      <c r="C127" s="82">
        <f>IF(F18&gt;30,MIN(E113:E114),E113)</f>
        <v>160.04266118256538</v>
      </c>
      <c r="D127" s="82">
        <f>MIN(E118:E119)</f>
        <v>3.0850268610947902</v>
      </c>
      <c r="E127" s="85">
        <f>E123</f>
        <v>11.571299999999999</v>
      </c>
      <c r="F127" s="86">
        <f>SUM(C127:E127)</f>
        <v>174.69898804366019</v>
      </c>
      <c r="I127" s="55">
        <v>122</v>
      </c>
      <c r="J127" s="33">
        <f t="shared" si="64"/>
        <v>0</v>
      </c>
      <c r="K127" s="33">
        <f t="shared" si="65"/>
        <v>0</v>
      </c>
      <c r="L127" s="33">
        <f t="shared" si="66"/>
        <v>0</v>
      </c>
      <c r="M127" s="33">
        <f t="shared" si="67"/>
        <v>0</v>
      </c>
      <c r="N127" s="33">
        <f t="shared" si="47"/>
        <v>0</v>
      </c>
      <c r="O127" s="34">
        <f t="shared" si="48"/>
        <v>0</v>
      </c>
      <c r="P127" s="55">
        <v>122</v>
      </c>
      <c r="Q127" s="33">
        <f t="shared" si="62"/>
        <v>0</v>
      </c>
      <c r="R127" s="33">
        <f t="shared" si="68"/>
        <v>0</v>
      </c>
      <c r="S127" s="33">
        <f t="shared" si="69"/>
        <v>0</v>
      </c>
      <c r="T127" s="33">
        <f t="shared" si="49"/>
        <v>0</v>
      </c>
      <c r="U127" s="33">
        <f t="shared" si="63"/>
        <v>0</v>
      </c>
      <c r="V127" s="33">
        <f t="shared" si="50"/>
        <v>0</v>
      </c>
      <c r="W127" s="33">
        <v>0</v>
      </c>
      <c r="X127" s="33">
        <f t="shared" si="51"/>
        <v>0</v>
      </c>
      <c r="Y127" s="38">
        <f t="shared" si="52"/>
        <v>0</v>
      </c>
      <c r="AA127" s="71">
        <v>122</v>
      </c>
      <c r="AB127" s="33">
        <f t="shared" si="53"/>
        <v>0</v>
      </c>
      <c r="AC127" s="304">
        <f t="shared" si="54"/>
        <v>0</v>
      </c>
      <c r="AD127" s="100">
        <f t="shared" si="55"/>
        <v>0</v>
      </c>
      <c r="AE127" s="100">
        <f t="shared" si="56"/>
        <v>0</v>
      </c>
      <c r="AF127" s="193">
        <f t="shared" si="73"/>
        <v>0</v>
      </c>
      <c r="AG127" s="193">
        <f t="shared" si="74"/>
        <v>0</v>
      </c>
      <c r="AH127" s="193">
        <f t="shared" si="75"/>
        <v>0</v>
      </c>
      <c r="AI127" s="198">
        <f t="shared" si="76"/>
        <v>0</v>
      </c>
      <c r="AK127" s="71">
        <v>122</v>
      </c>
      <c r="AL127" s="33">
        <f t="shared" si="57"/>
        <v>0</v>
      </c>
      <c r="AM127" s="33">
        <f t="shared" si="58"/>
        <v>0</v>
      </c>
      <c r="AN127" s="33">
        <f t="shared" si="59"/>
        <v>0</v>
      </c>
      <c r="AO127" s="33">
        <f t="shared" si="60"/>
        <v>0</v>
      </c>
      <c r="AP127" s="33">
        <f t="shared" si="61"/>
        <v>0</v>
      </c>
      <c r="AQ127" s="193">
        <f t="shared" si="77"/>
        <v>0</v>
      </c>
      <c r="AR127" s="193">
        <f t="shared" si="78"/>
        <v>0</v>
      </c>
      <c r="AS127" s="193">
        <f t="shared" si="79"/>
        <v>0</v>
      </c>
      <c r="AT127" s="193">
        <f t="shared" si="80"/>
        <v>0</v>
      </c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64"/>
        <v>0</v>
      </c>
      <c r="K128" s="33">
        <f t="shared" si="65"/>
        <v>0</v>
      </c>
      <c r="L128" s="33">
        <f t="shared" si="66"/>
        <v>0</v>
      </c>
      <c r="M128" s="33">
        <f t="shared" si="67"/>
        <v>0</v>
      </c>
      <c r="N128" s="33">
        <f t="shared" si="47"/>
        <v>0</v>
      </c>
      <c r="O128" s="34">
        <f t="shared" si="48"/>
        <v>0</v>
      </c>
      <c r="P128" s="55">
        <v>123</v>
      </c>
      <c r="Q128" s="33">
        <f t="shared" si="62"/>
        <v>0</v>
      </c>
      <c r="R128" s="33">
        <f t="shared" si="68"/>
        <v>0</v>
      </c>
      <c r="S128" s="33">
        <f t="shared" si="69"/>
        <v>0</v>
      </c>
      <c r="T128" s="33">
        <f t="shared" si="49"/>
        <v>0</v>
      </c>
      <c r="U128" s="33">
        <f t="shared" si="63"/>
        <v>0</v>
      </c>
      <c r="V128" s="33">
        <f t="shared" si="50"/>
        <v>0</v>
      </c>
      <c r="W128" s="33">
        <v>0</v>
      </c>
      <c r="X128" s="33">
        <f t="shared" si="51"/>
        <v>0</v>
      </c>
      <c r="Y128" s="38">
        <f t="shared" si="52"/>
        <v>0</v>
      </c>
      <c r="AA128" s="71">
        <v>123</v>
      </c>
      <c r="AB128" s="33">
        <f t="shared" si="53"/>
        <v>0</v>
      </c>
      <c r="AC128" s="304">
        <f t="shared" si="54"/>
        <v>0</v>
      </c>
      <c r="AD128" s="100">
        <f t="shared" si="55"/>
        <v>0</v>
      </c>
      <c r="AE128" s="100">
        <f t="shared" si="56"/>
        <v>0</v>
      </c>
      <c r="AF128" s="193">
        <f t="shared" si="73"/>
        <v>0</v>
      </c>
      <c r="AG128" s="193">
        <f t="shared" si="74"/>
        <v>0</v>
      </c>
      <c r="AH128" s="193">
        <f t="shared" si="75"/>
        <v>0</v>
      </c>
      <c r="AI128" s="198">
        <f t="shared" si="76"/>
        <v>0</v>
      </c>
      <c r="AK128" s="71">
        <v>123</v>
      </c>
      <c r="AL128" s="33">
        <f t="shared" si="57"/>
        <v>0</v>
      </c>
      <c r="AM128" s="33">
        <f t="shared" si="58"/>
        <v>0</v>
      </c>
      <c r="AN128" s="33">
        <f t="shared" si="59"/>
        <v>0</v>
      </c>
      <c r="AO128" s="33">
        <f t="shared" si="60"/>
        <v>0</v>
      </c>
      <c r="AP128" s="33">
        <f t="shared" si="61"/>
        <v>0</v>
      </c>
      <c r="AQ128" s="193">
        <f t="shared" si="77"/>
        <v>0</v>
      </c>
      <c r="AR128" s="193">
        <f t="shared" si="78"/>
        <v>0</v>
      </c>
      <c r="AS128" s="193">
        <f t="shared" si="79"/>
        <v>0</v>
      </c>
      <c r="AT128" s="193">
        <f t="shared" si="80"/>
        <v>0</v>
      </c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64"/>
        <v>0</v>
      </c>
      <c r="K129" s="33">
        <f t="shared" si="65"/>
        <v>0</v>
      </c>
      <c r="L129" s="33">
        <f t="shared" si="66"/>
        <v>0</v>
      </c>
      <c r="M129" s="33">
        <f t="shared" si="67"/>
        <v>0</v>
      </c>
      <c r="N129" s="33">
        <f t="shared" si="47"/>
        <v>0</v>
      </c>
      <c r="O129" s="34">
        <f t="shared" si="48"/>
        <v>0</v>
      </c>
      <c r="P129" s="55">
        <v>124</v>
      </c>
      <c r="Q129" s="33">
        <f t="shared" si="62"/>
        <v>0</v>
      </c>
      <c r="R129" s="33">
        <f t="shared" si="68"/>
        <v>0</v>
      </c>
      <c r="S129" s="33">
        <f t="shared" si="69"/>
        <v>0</v>
      </c>
      <c r="T129" s="33">
        <f t="shared" si="49"/>
        <v>0</v>
      </c>
      <c r="U129" s="33">
        <f t="shared" si="63"/>
        <v>0</v>
      </c>
      <c r="V129" s="33">
        <f t="shared" si="50"/>
        <v>0</v>
      </c>
      <c r="W129" s="33">
        <v>0</v>
      </c>
      <c r="X129" s="33">
        <f t="shared" si="51"/>
        <v>0</v>
      </c>
      <c r="Y129" s="38">
        <f t="shared" si="52"/>
        <v>0</v>
      </c>
      <c r="AA129" s="71">
        <v>124</v>
      </c>
      <c r="AB129" s="33">
        <f t="shared" si="53"/>
        <v>0</v>
      </c>
      <c r="AC129" s="304">
        <f t="shared" si="54"/>
        <v>0</v>
      </c>
      <c r="AD129" s="100">
        <f t="shared" si="55"/>
        <v>0</v>
      </c>
      <c r="AE129" s="100">
        <f t="shared" si="56"/>
        <v>0</v>
      </c>
      <c r="AF129" s="193">
        <f t="shared" si="73"/>
        <v>0</v>
      </c>
      <c r="AG129" s="193">
        <f t="shared" si="74"/>
        <v>0</v>
      </c>
      <c r="AH129" s="193">
        <f t="shared" si="75"/>
        <v>0</v>
      </c>
      <c r="AI129" s="198">
        <f t="shared" si="76"/>
        <v>0</v>
      </c>
      <c r="AK129" s="71">
        <v>124</v>
      </c>
      <c r="AL129" s="33">
        <f t="shared" si="57"/>
        <v>0</v>
      </c>
      <c r="AM129" s="33">
        <f t="shared" si="58"/>
        <v>0</v>
      </c>
      <c r="AN129" s="33">
        <f t="shared" si="59"/>
        <v>0</v>
      </c>
      <c r="AO129" s="33">
        <f t="shared" si="60"/>
        <v>0</v>
      </c>
      <c r="AP129" s="33">
        <f t="shared" si="61"/>
        <v>0</v>
      </c>
      <c r="AQ129" s="193">
        <f t="shared" si="77"/>
        <v>0</v>
      </c>
      <c r="AR129" s="193">
        <f t="shared" si="78"/>
        <v>0</v>
      </c>
      <c r="AS129" s="193">
        <f t="shared" si="79"/>
        <v>0</v>
      </c>
      <c r="AT129" s="193">
        <f t="shared" si="80"/>
        <v>0</v>
      </c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87" t="s">
        <v>227</v>
      </c>
      <c r="F130" s="342" t="s">
        <v>271</v>
      </c>
      <c r="I130" s="55">
        <v>125</v>
      </c>
      <c r="J130" s="33">
        <f t="shared" si="64"/>
        <v>0</v>
      </c>
      <c r="K130" s="33">
        <f t="shared" si="65"/>
        <v>0</v>
      </c>
      <c r="L130" s="33">
        <f t="shared" si="66"/>
        <v>0</v>
      </c>
      <c r="M130" s="33">
        <f t="shared" si="67"/>
        <v>0</v>
      </c>
      <c r="N130" s="33">
        <f t="shared" si="47"/>
        <v>0</v>
      </c>
      <c r="O130" s="34">
        <f t="shared" si="48"/>
        <v>0</v>
      </c>
      <c r="P130" s="55">
        <v>125</v>
      </c>
      <c r="Q130" s="33">
        <f t="shared" si="62"/>
        <v>0</v>
      </c>
      <c r="R130" s="33">
        <f t="shared" si="68"/>
        <v>0</v>
      </c>
      <c r="S130" s="33">
        <f t="shared" si="69"/>
        <v>0</v>
      </c>
      <c r="T130" s="33">
        <f t="shared" si="49"/>
        <v>0</v>
      </c>
      <c r="U130" s="33">
        <f t="shared" si="63"/>
        <v>0</v>
      </c>
      <c r="V130" s="33">
        <f t="shared" si="50"/>
        <v>0</v>
      </c>
      <c r="W130" s="33">
        <v>0</v>
      </c>
      <c r="X130" s="33">
        <f t="shared" si="51"/>
        <v>0</v>
      </c>
      <c r="Y130" s="38">
        <f t="shared" si="52"/>
        <v>0</v>
      </c>
      <c r="AA130" s="71">
        <v>125</v>
      </c>
      <c r="AB130" s="33">
        <f t="shared" si="53"/>
        <v>0</v>
      </c>
      <c r="AC130" s="304">
        <f t="shared" si="54"/>
        <v>0</v>
      </c>
      <c r="AD130" s="100">
        <f t="shared" si="55"/>
        <v>0</v>
      </c>
      <c r="AE130" s="100">
        <f t="shared" si="56"/>
        <v>0</v>
      </c>
      <c r="AF130" s="193">
        <f t="shared" si="73"/>
        <v>0</v>
      </c>
      <c r="AG130" s="193">
        <f t="shared" si="74"/>
        <v>0</v>
      </c>
      <c r="AH130" s="193">
        <f t="shared" si="75"/>
        <v>0</v>
      </c>
      <c r="AI130" s="198">
        <f t="shared" si="76"/>
        <v>0</v>
      </c>
      <c r="AK130" s="71">
        <v>125</v>
      </c>
      <c r="AL130" s="33">
        <f t="shared" si="57"/>
        <v>0</v>
      </c>
      <c r="AM130" s="33">
        <f t="shared" si="58"/>
        <v>0</v>
      </c>
      <c r="AN130" s="33">
        <f t="shared" si="59"/>
        <v>0</v>
      </c>
      <c r="AO130" s="33">
        <f t="shared" si="60"/>
        <v>0</v>
      </c>
      <c r="AP130" s="33">
        <f t="shared" si="61"/>
        <v>0</v>
      </c>
      <c r="AQ130" s="193">
        <f t="shared" si="77"/>
        <v>0</v>
      </c>
      <c r="AR130" s="193">
        <f t="shared" si="78"/>
        <v>0</v>
      </c>
      <c r="AS130" s="193">
        <f t="shared" si="79"/>
        <v>0</v>
      </c>
      <c r="AT130" s="193">
        <f t="shared" si="80"/>
        <v>0</v>
      </c>
      <c r="AU130" s="33"/>
      <c r="AV130" s="33"/>
      <c r="AW130" s="33"/>
      <c r="AX130" s="33"/>
      <c r="AY130" s="76"/>
    </row>
    <row r="131" spans="3:51">
      <c r="C131" s="165" t="s">
        <v>7</v>
      </c>
      <c r="D131" s="4">
        <v>0.62</v>
      </c>
      <c r="E131" s="187" t="s">
        <v>228</v>
      </c>
      <c r="F131" s="342">
        <f>IF(OR(Tableau145[[#This Row],[Type]]="Feuillus",Tableau145[[#This Row],[Type]]="Peupliers"),1.56,1.3)</f>
        <v>1.56</v>
      </c>
      <c r="I131" s="55">
        <v>126</v>
      </c>
      <c r="J131" s="33">
        <f t="shared" si="64"/>
        <v>0</v>
      </c>
      <c r="K131" s="33">
        <f t="shared" si="65"/>
        <v>0</v>
      </c>
      <c r="L131" s="33">
        <f t="shared" si="66"/>
        <v>0</v>
      </c>
      <c r="M131" s="33">
        <f t="shared" si="67"/>
        <v>0</v>
      </c>
      <c r="N131" s="33">
        <f t="shared" si="47"/>
        <v>0</v>
      </c>
      <c r="O131" s="34">
        <f t="shared" si="48"/>
        <v>0</v>
      </c>
      <c r="P131" s="55">
        <v>126</v>
      </c>
      <c r="Q131" s="33">
        <f t="shared" si="62"/>
        <v>0</v>
      </c>
      <c r="R131" s="33">
        <f t="shared" si="68"/>
        <v>0</v>
      </c>
      <c r="S131" s="33">
        <f t="shared" si="69"/>
        <v>0</v>
      </c>
      <c r="T131" s="33">
        <f t="shared" si="49"/>
        <v>0</v>
      </c>
      <c r="U131" s="33">
        <f t="shared" si="63"/>
        <v>0</v>
      </c>
      <c r="V131" s="33">
        <f t="shared" si="50"/>
        <v>0</v>
      </c>
      <c r="W131" s="33">
        <v>0</v>
      </c>
      <c r="X131" s="33">
        <f t="shared" si="51"/>
        <v>0</v>
      </c>
      <c r="Y131" s="38">
        <f t="shared" si="52"/>
        <v>0</v>
      </c>
      <c r="AA131" s="71">
        <v>126</v>
      </c>
      <c r="AB131" s="33">
        <f t="shared" si="53"/>
        <v>0</v>
      </c>
      <c r="AC131" s="304">
        <f t="shared" si="54"/>
        <v>0</v>
      </c>
      <c r="AD131" s="100">
        <f t="shared" si="55"/>
        <v>0</v>
      </c>
      <c r="AE131" s="100">
        <f t="shared" si="56"/>
        <v>0</v>
      </c>
      <c r="AF131" s="193">
        <f t="shared" si="73"/>
        <v>0</v>
      </c>
      <c r="AG131" s="193">
        <f t="shared" si="74"/>
        <v>0</v>
      </c>
      <c r="AH131" s="193">
        <f t="shared" si="75"/>
        <v>0</v>
      </c>
      <c r="AI131" s="198">
        <f t="shared" si="76"/>
        <v>0</v>
      </c>
      <c r="AK131" s="71">
        <v>126</v>
      </c>
      <c r="AL131" s="33">
        <f t="shared" si="57"/>
        <v>0</v>
      </c>
      <c r="AM131" s="33">
        <f t="shared" si="58"/>
        <v>0</v>
      </c>
      <c r="AN131" s="33">
        <f t="shared" si="59"/>
        <v>0</v>
      </c>
      <c r="AO131" s="33">
        <f t="shared" si="60"/>
        <v>0</v>
      </c>
      <c r="AP131" s="33">
        <f t="shared" si="61"/>
        <v>0</v>
      </c>
      <c r="AQ131" s="193">
        <f t="shared" si="77"/>
        <v>0</v>
      </c>
      <c r="AR131" s="193">
        <f t="shared" si="78"/>
        <v>0</v>
      </c>
      <c r="AS131" s="193">
        <f t="shared" si="79"/>
        <v>0</v>
      </c>
      <c r="AT131" s="193">
        <f t="shared" si="80"/>
        <v>0</v>
      </c>
      <c r="AU131" s="33"/>
      <c r="AV131" s="33"/>
      <c r="AW131" s="33"/>
      <c r="AX131" s="33"/>
      <c r="AY131" s="76"/>
    </row>
    <row r="132" spans="3:51">
      <c r="C132" s="165" t="s">
        <v>4</v>
      </c>
      <c r="D132" s="4">
        <v>0.64</v>
      </c>
      <c r="E132" s="187" t="s">
        <v>228</v>
      </c>
      <c r="F132" s="342">
        <f>IF(OR(Tableau145[[#This Row],[Type]]="Feuillus",Tableau145[[#This Row],[Type]]="Peupliers"),1.56,1.3)</f>
        <v>1.56</v>
      </c>
      <c r="I132" s="55">
        <v>127</v>
      </c>
      <c r="J132" s="33">
        <f t="shared" si="64"/>
        <v>0</v>
      </c>
      <c r="K132" s="33">
        <f t="shared" si="65"/>
        <v>0</v>
      </c>
      <c r="L132" s="33">
        <f t="shared" si="66"/>
        <v>0</v>
      </c>
      <c r="M132" s="33">
        <f t="shared" si="67"/>
        <v>0</v>
      </c>
      <c r="N132" s="33">
        <f t="shared" si="47"/>
        <v>0</v>
      </c>
      <c r="O132" s="34">
        <f t="shared" si="48"/>
        <v>0</v>
      </c>
      <c r="P132" s="55">
        <v>127</v>
      </c>
      <c r="Q132" s="33">
        <f t="shared" si="62"/>
        <v>0</v>
      </c>
      <c r="R132" s="33">
        <f t="shared" si="68"/>
        <v>0</v>
      </c>
      <c r="S132" s="33">
        <f t="shared" si="69"/>
        <v>0</v>
      </c>
      <c r="T132" s="33">
        <f t="shared" si="49"/>
        <v>0</v>
      </c>
      <c r="U132" s="33">
        <f t="shared" si="63"/>
        <v>0</v>
      </c>
      <c r="V132" s="33">
        <f t="shared" si="50"/>
        <v>0</v>
      </c>
      <c r="W132" s="33">
        <v>0</v>
      </c>
      <c r="X132" s="33">
        <f t="shared" si="51"/>
        <v>0</v>
      </c>
      <c r="Y132" s="38">
        <f t="shared" si="52"/>
        <v>0</v>
      </c>
      <c r="AA132" s="71">
        <v>127</v>
      </c>
      <c r="AB132" s="33">
        <f t="shared" si="53"/>
        <v>0</v>
      </c>
      <c r="AC132" s="304">
        <f t="shared" si="54"/>
        <v>0</v>
      </c>
      <c r="AD132" s="100">
        <f t="shared" si="55"/>
        <v>0</v>
      </c>
      <c r="AE132" s="100">
        <f t="shared" si="56"/>
        <v>0</v>
      </c>
      <c r="AF132" s="193">
        <f t="shared" si="73"/>
        <v>0</v>
      </c>
      <c r="AG132" s="193">
        <f t="shared" si="74"/>
        <v>0</v>
      </c>
      <c r="AH132" s="193">
        <f t="shared" si="75"/>
        <v>0</v>
      </c>
      <c r="AI132" s="198">
        <f t="shared" si="76"/>
        <v>0</v>
      </c>
      <c r="AK132" s="71">
        <v>127</v>
      </c>
      <c r="AL132" s="33">
        <f t="shared" si="57"/>
        <v>0</v>
      </c>
      <c r="AM132" s="33">
        <f t="shared" si="58"/>
        <v>0</v>
      </c>
      <c r="AN132" s="33">
        <f t="shared" si="59"/>
        <v>0</v>
      </c>
      <c r="AO132" s="33">
        <f t="shared" si="60"/>
        <v>0</v>
      </c>
      <c r="AP132" s="33">
        <f t="shared" si="61"/>
        <v>0</v>
      </c>
      <c r="AQ132" s="193">
        <f t="shared" si="77"/>
        <v>0</v>
      </c>
      <c r="AR132" s="193">
        <f t="shared" si="78"/>
        <v>0</v>
      </c>
      <c r="AS132" s="193">
        <f t="shared" si="79"/>
        <v>0</v>
      </c>
      <c r="AT132" s="193">
        <f t="shared" si="80"/>
        <v>0</v>
      </c>
      <c r="AU132" s="33"/>
      <c r="AV132" s="33"/>
      <c r="AW132" s="33"/>
      <c r="AX132" s="33"/>
      <c r="AY132" s="76"/>
    </row>
    <row r="133" spans="3:51">
      <c r="C133" s="165" t="s">
        <v>8</v>
      </c>
      <c r="D133" s="4">
        <v>0.42</v>
      </c>
      <c r="E133" s="187" t="s">
        <v>228</v>
      </c>
      <c r="F133" s="342">
        <f>IF(OR(Tableau145[[#This Row],[Type]]="Feuillus",Tableau145[[#This Row],[Type]]="Peupliers"),1.56,1.3)</f>
        <v>1.56</v>
      </c>
      <c r="I133" s="55">
        <v>128</v>
      </c>
      <c r="J133" s="33">
        <f t="shared" si="64"/>
        <v>0</v>
      </c>
      <c r="K133" s="33">
        <f t="shared" si="65"/>
        <v>0</v>
      </c>
      <c r="L133" s="33">
        <f t="shared" si="66"/>
        <v>0</v>
      </c>
      <c r="M133" s="33">
        <f t="shared" si="67"/>
        <v>0</v>
      </c>
      <c r="N133" s="33">
        <f t="shared" ref="N133:N196" si="81">IF(P134&lt;=$F$18,0,)</f>
        <v>0</v>
      </c>
      <c r="O133" s="34">
        <f t="shared" ref="O133:O196" si="82">((J133+K133)*0.475+L133+M133+N133)*44/12</f>
        <v>0</v>
      </c>
      <c r="P133" s="55">
        <v>128</v>
      </c>
      <c r="Q133" s="33">
        <f t="shared" si="62"/>
        <v>0</v>
      </c>
      <c r="R133" s="33">
        <f t="shared" si="68"/>
        <v>0</v>
      </c>
      <c r="S133" s="33">
        <f t="shared" si="69"/>
        <v>0</v>
      </c>
      <c r="T133" s="33">
        <f t="shared" ref="T133:T196" si="83">IF(S133=0,0,EXP(-1.0587+0.8836*LN(S133)+0.284))</f>
        <v>0</v>
      </c>
      <c r="U133" s="33">
        <f t="shared" si="63"/>
        <v>0</v>
      </c>
      <c r="V133" s="33">
        <f t="shared" ref="V133:V196" si="84">IF(P133&lt;=$F$18,IF(P133&lt;=30,P133*($F$16-$F$6)/30,$F$16-$F$6),)</f>
        <v>0</v>
      </c>
      <c r="W133" s="33">
        <v>0</v>
      </c>
      <c r="X133" s="33">
        <f t="shared" ref="X133:X196" si="85">((S133+T133)*0.475+U133+V133+W133)*44/12</f>
        <v>0</v>
      </c>
      <c r="Y133" s="38">
        <f t="shared" ref="Y133:Y196" si="86">IF(P133&lt;=$F$18,X133-O133,)</f>
        <v>0</v>
      </c>
      <c r="AA133" s="71">
        <v>128</v>
      </c>
      <c r="AB133" s="33">
        <f t="shared" ref="AB133:AB196" si="87">IF(AA133&lt;=$F$18,IFERROR(VLOOKUP($AA133,$B$82:$G$95,2,FALSE),0),)</f>
        <v>0</v>
      </c>
      <c r="AC133" s="304">
        <f t="shared" ref="AC133:AC196" si="88">IF(AA133&lt;=$F$18,IFERROR(VLOOKUP($AA133,$B$82:$G$95,3,FALSE),0),)*50%</f>
        <v>0</v>
      </c>
      <c r="AD133" s="100">
        <f t="shared" ref="AD133:AD196" si="89">IF(AA133&lt;=$F$18,IFERROR(VLOOKUP($AA133,$B$82:$G$95,4,FALSE),0),)</f>
        <v>0</v>
      </c>
      <c r="AE133" s="100">
        <f t="shared" ref="AE133:AE196" si="90">IF(AA133&lt;=$F$18,IFERROR(VLOOKUP($AA133,$B$82:$G$95,5,FALSE),0),)</f>
        <v>0</v>
      </c>
      <c r="AF133" s="193">
        <f t="shared" si="73"/>
        <v>0</v>
      </c>
      <c r="AG133" s="193">
        <f t="shared" si="74"/>
        <v>0</v>
      </c>
      <c r="AH133" s="193">
        <f t="shared" si="75"/>
        <v>0</v>
      </c>
      <c r="AI133" s="198">
        <f t="shared" si="76"/>
        <v>0</v>
      </c>
      <c r="AK133" s="71">
        <v>128</v>
      </c>
      <c r="AL133" s="33">
        <f t="shared" ref="AL133:AL196" si="91">IF(AK133&lt;=$F$18,IFERROR(VLOOKUP($AA133,$B$82:$G$95,2,FALSE),0),)</f>
        <v>0</v>
      </c>
      <c r="AM133" s="33">
        <f t="shared" ref="AM133:AM196" si="92">IF(AK133&lt;=$F$18,IFERROR(VLOOKUP($AA133,$B$82:$G$95,3,FALSE),0),)</f>
        <v>0</v>
      </c>
      <c r="AN133" s="33">
        <f t="shared" ref="AN133:AN196" si="93">IF(AK133&lt;=$F$18,IFERROR(VLOOKUP($AA133,$B$82:$G$95,4,FALSE),0),)</f>
        <v>0</v>
      </c>
      <c r="AO133" s="33">
        <f t="shared" ref="AO133:AO196" si="94">IF(AK133&lt;=$F$18,IFERROR(VLOOKUP($AA133,$B$82:$G$95,5,FALSE),0),)</f>
        <v>0</v>
      </c>
      <c r="AP133" s="33">
        <f t="shared" ref="AP133:AP196" si="95">IF(AK133&lt;=$F$18,IFERROR(VLOOKUP($AA133,$B$82:$G$95,6,FALSE),0),)</f>
        <v>0</v>
      </c>
      <c r="AQ133" s="193">
        <f t="shared" si="77"/>
        <v>0</v>
      </c>
      <c r="AR133" s="193">
        <f t="shared" si="78"/>
        <v>0</v>
      </c>
      <c r="AS133" s="193">
        <f t="shared" si="79"/>
        <v>0</v>
      </c>
      <c r="AT133" s="193">
        <f t="shared" si="80"/>
        <v>0</v>
      </c>
      <c r="AU133" s="33"/>
      <c r="AV133" s="33"/>
      <c r="AW133" s="33"/>
      <c r="AX133" s="33"/>
      <c r="AY133" s="76"/>
    </row>
    <row r="134" spans="3:51">
      <c r="C134" s="165" t="s">
        <v>9</v>
      </c>
      <c r="D134" s="4">
        <v>0.42</v>
      </c>
      <c r="E134" s="187" t="s">
        <v>228</v>
      </c>
      <c r="F134" s="342">
        <f>IF(OR(Tableau145[[#This Row],[Type]]="Feuillus",Tableau145[[#This Row],[Type]]="Peupliers"),1.56,1.3)</f>
        <v>1.56</v>
      </c>
      <c r="I134" s="55">
        <v>129</v>
      </c>
      <c r="J134" s="33">
        <f t="shared" si="64"/>
        <v>0</v>
      </c>
      <c r="K134" s="33">
        <f t="shared" si="65"/>
        <v>0</v>
      </c>
      <c r="L134" s="33">
        <f t="shared" si="66"/>
        <v>0</v>
      </c>
      <c r="M134" s="33">
        <f t="shared" si="67"/>
        <v>0</v>
      </c>
      <c r="N134" s="33">
        <f t="shared" si="81"/>
        <v>0</v>
      </c>
      <c r="O134" s="34">
        <f t="shared" si="82"/>
        <v>0</v>
      </c>
      <c r="P134" s="55">
        <v>129</v>
      </c>
      <c r="Q134" s="33">
        <f t="shared" ref="Q134:Q197" si="96">IF(P134&lt;=$F$18,LOOKUP(P134-1,$B$25:$B$78,$G$25:$G$78),)</f>
        <v>0</v>
      </c>
      <c r="R134" s="33">
        <f t="shared" si="68"/>
        <v>0</v>
      </c>
      <c r="S134" s="33">
        <f t="shared" si="69"/>
        <v>0</v>
      </c>
      <c r="T134" s="33">
        <f t="shared" si="83"/>
        <v>0</v>
      </c>
      <c r="U134" s="33">
        <f t="shared" ref="U134:U197" si="97">IF(P134&lt;=$F$18,$F$5+($F$15-$F$5)*(1-EXP(-0.0175*P134)),)</f>
        <v>0</v>
      </c>
      <c r="V134" s="33">
        <f t="shared" si="84"/>
        <v>0</v>
      </c>
      <c r="W134" s="33">
        <v>0</v>
      </c>
      <c r="X134" s="33">
        <f t="shared" si="85"/>
        <v>0</v>
      </c>
      <c r="Y134" s="38">
        <f t="shared" si="86"/>
        <v>0</v>
      </c>
      <c r="AA134" s="71">
        <v>129</v>
      </c>
      <c r="AB134" s="33">
        <f t="shared" si="87"/>
        <v>0</v>
      </c>
      <c r="AC134" s="304">
        <f t="shared" si="88"/>
        <v>0</v>
      </c>
      <c r="AD134" s="100">
        <f t="shared" si="89"/>
        <v>0</v>
      </c>
      <c r="AE134" s="100">
        <f t="shared" si="90"/>
        <v>0</v>
      </c>
      <c r="AF134" s="193">
        <f t="shared" si="73"/>
        <v>0</v>
      </c>
      <c r="AG134" s="193">
        <f t="shared" si="74"/>
        <v>0</v>
      </c>
      <c r="AH134" s="193">
        <f t="shared" si="75"/>
        <v>0</v>
      </c>
      <c r="AI134" s="198">
        <f t="shared" si="76"/>
        <v>0</v>
      </c>
      <c r="AK134" s="71">
        <v>129</v>
      </c>
      <c r="AL134" s="33">
        <f t="shared" si="91"/>
        <v>0</v>
      </c>
      <c r="AM134" s="33">
        <f t="shared" si="92"/>
        <v>0</v>
      </c>
      <c r="AN134" s="33">
        <f t="shared" si="93"/>
        <v>0</v>
      </c>
      <c r="AO134" s="33">
        <f t="shared" si="94"/>
        <v>0</v>
      </c>
      <c r="AP134" s="33">
        <f t="shared" si="95"/>
        <v>0</v>
      </c>
      <c r="AQ134" s="193">
        <f t="shared" si="77"/>
        <v>0</v>
      </c>
      <c r="AR134" s="193">
        <f t="shared" si="78"/>
        <v>0</v>
      </c>
      <c r="AS134" s="193">
        <f t="shared" si="79"/>
        <v>0</v>
      </c>
      <c r="AT134" s="193">
        <f t="shared" si="80"/>
        <v>0</v>
      </c>
      <c r="AU134" s="33"/>
      <c r="AV134" s="33"/>
      <c r="AW134" s="33"/>
      <c r="AX134" s="33"/>
      <c r="AY134" s="76"/>
    </row>
    <row r="135" spans="3:51">
      <c r="C135" s="165" t="s">
        <v>10</v>
      </c>
      <c r="D135" s="4">
        <v>0.52</v>
      </c>
      <c r="E135" s="187" t="s">
        <v>228</v>
      </c>
      <c r="F135" s="342">
        <f>IF(OR(Tableau145[[#This Row],[Type]]="Feuillus",Tableau145[[#This Row],[Type]]="Peupliers"),1.56,1.3)</f>
        <v>1.56</v>
      </c>
      <c r="I135" s="55">
        <v>130</v>
      </c>
      <c r="J135" s="33">
        <f t="shared" ref="J135:J198" si="98">IF($I135&lt;=$F$10,$F$11*$F$13+J134,)</f>
        <v>0</v>
      </c>
      <c r="K135" s="33">
        <f t="shared" ref="K135:K198" si="99">IF(J135=0,0,EXP(-1.0587+0.8836*LN(J135)+0.284))</f>
        <v>0</v>
      </c>
      <c r="L135" s="33">
        <f t="shared" ref="L135:L198" si="100">IF(I135&lt;=$F$10,$F$5+($F$8-$F$5)*(1-EXP(-0.0175*I135)),)</f>
        <v>0</v>
      </c>
      <c r="M135" s="33">
        <f t="shared" ref="M135:M198" si="101">IF(I135&lt;=$F$10,IF(I135&lt;=30,I135*($F$9-$F$6)/30,$F$9-$F$6),)</f>
        <v>0</v>
      </c>
      <c r="N135" s="33">
        <f t="shared" si="81"/>
        <v>0</v>
      </c>
      <c r="O135" s="34">
        <f t="shared" si="82"/>
        <v>0</v>
      </c>
      <c r="P135" s="55">
        <v>130</v>
      </c>
      <c r="Q135" s="33">
        <f t="shared" si="96"/>
        <v>0</v>
      </c>
      <c r="R135" s="33">
        <f t="shared" ref="R135:R198" si="102">IF(P135&lt;=$F$18,Q135+R134,)</f>
        <v>0</v>
      </c>
      <c r="S135" s="33">
        <f t="shared" ref="S135:S198" si="103">$F$19*R135</f>
        <v>0</v>
      </c>
      <c r="T135" s="33">
        <f t="shared" si="83"/>
        <v>0</v>
      </c>
      <c r="U135" s="33">
        <f t="shared" si="97"/>
        <v>0</v>
      </c>
      <c r="V135" s="33">
        <f t="shared" si="84"/>
        <v>0</v>
      </c>
      <c r="W135" s="33">
        <v>0</v>
      </c>
      <c r="X135" s="33">
        <f t="shared" si="85"/>
        <v>0</v>
      </c>
      <c r="Y135" s="38">
        <f t="shared" si="86"/>
        <v>0</v>
      </c>
      <c r="AA135" s="71">
        <v>130</v>
      </c>
      <c r="AB135" s="33">
        <f t="shared" si="87"/>
        <v>0</v>
      </c>
      <c r="AC135" s="304">
        <f t="shared" si="88"/>
        <v>0</v>
      </c>
      <c r="AD135" s="100">
        <f t="shared" si="89"/>
        <v>0</v>
      </c>
      <c r="AE135" s="100">
        <f t="shared" si="90"/>
        <v>0</v>
      </c>
      <c r="AF135" s="193">
        <f t="shared" si="73"/>
        <v>0</v>
      </c>
      <c r="AG135" s="193">
        <f t="shared" si="74"/>
        <v>0</v>
      </c>
      <c r="AH135" s="193">
        <f t="shared" si="75"/>
        <v>0</v>
      </c>
      <c r="AI135" s="198">
        <f t="shared" si="76"/>
        <v>0</v>
      </c>
      <c r="AK135" s="71">
        <v>130</v>
      </c>
      <c r="AL135" s="33">
        <f t="shared" si="91"/>
        <v>0</v>
      </c>
      <c r="AM135" s="33">
        <f t="shared" si="92"/>
        <v>0</v>
      </c>
      <c r="AN135" s="33">
        <f t="shared" si="93"/>
        <v>0</v>
      </c>
      <c r="AO135" s="33">
        <f t="shared" si="94"/>
        <v>0</v>
      </c>
      <c r="AP135" s="33">
        <f t="shared" si="95"/>
        <v>0</v>
      </c>
      <c r="AQ135" s="193">
        <f t="shared" si="77"/>
        <v>0</v>
      </c>
      <c r="AR135" s="193">
        <f t="shared" si="78"/>
        <v>0</v>
      </c>
      <c r="AS135" s="193">
        <f t="shared" si="79"/>
        <v>0</v>
      </c>
      <c r="AT135" s="193">
        <f t="shared" si="80"/>
        <v>0</v>
      </c>
      <c r="AU135" s="33"/>
      <c r="AV135" s="33"/>
      <c r="AW135" s="33"/>
      <c r="AX135" s="33"/>
      <c r="AY135" s="76"/>
    </row>
    <row r="136" spans="3:51">
      <c r="C136" s="165" t="s">
        <v>11</v>
      </c>
      <c r="D136" s="4">
        <v>0.36</v>
      </c>
      <c r="E136" s="187" t="s">
        <v>229</v>
      </c>
      <c r="F136" s="342">
        <f>IF(OR(Tableau145[[#This Row],[Type]]="Feuillus",Tableau145[[#This Row],[Type]]="Peupliers"),1.56,1.3)</f>
        <v>1.3</v>
      </c>
      <c r="I136" s="55">
        <v>131</v>
      </c>
      <c r="J136" s="33">
        <f t="shared" si="98"/>
        <v>0</v>
      </c>
      <c r="K136" s="33">
        <f t="shared" si="99"/>
        <v>0</v>
      </c>
      <c r="L136" s="33">
        <f t="shared" si="100"/>
        <v>0</v>
      </c>
      <c r="M136" s="33">
        <f t="shared" si="101"/>
        <v>0</v>
      </c>
      <c r="N136" s="33">
        <f t="shared" si="81"/>
        <v>0</v>
      </c>
      <c r="O136" s="34">
        <f t="shared" si="82"/>
        <v>0</v>
      </c>
      <c r="P136" s="55">
        <v>131</v>
      </c>
      <c r="Q136" s="33">
        <f t="shared" si="96"/>
        <v>0</v>
      </c>
      <c r="R136" s="33">
        <f t="shared" si="102"/>
        <v>0</v>
      </c>
      <c r="S136" s="33">
        <f t="shared" si="103"/>
        <v>0</v>
      </c>
      <c r="T136" s="33">
        <f t="shared" si="83"/>
        <v>0</v>
      </c>
      <c r="U136" s="33">
        <f t="shared" si="97"/>
        <v>0</v>
      </c>
      <c r="V136" s="33">
        <f t="shared" si="84"/>
        <v>0</v>
      </c>
      <c r="W136" s="33">
        <v>0</v>
      </c>
      <c r="X136" s="33">
        <f t="shared" si="85"/>
        <v>0</v>
      </c>
      <c r="Y136" s="38">
        <f t="shared" si="86"/>
        <v>0</v>
      </c>
      <c r="AA136" s="71">
        <v>131</v>
      </c>
      <c r="AB136" s="33">
        <f t="shared" si="87"/>
        <v>0</v>
      </c>
      <c r="AC136" s="304">
        <f t="shared" si="88"/>
        <v>0</v>
      </c>
      <c r="AD136" s="100">
        <f t="shared" si="89"/>
        <v>0</v>
      </c>
      <c r="AE136" s="100">
        <f t="shared" si="90"/>
        <v>0</v>
      </c>
      <c r="AF136" s="193">
        <f t="shared" si="73"/>
        <v>0</v>
      </c>
      <c r="AG136" s="193">
        <f t="shared" si="74"/>
        <v>0</v>
      </c>
      <c r="AH136" s="193">
        <f t="shared" si="75"/>
        <v>0</v>
      </c>
      <c r="AI136" s="198">
        <f t="shared" si="76"/>
        <v>0</v>
      </c>
      <c r="AK136" s="71">
        <v>131</v>
      </c>
      <c r="AL136" s="33">
        <f t="shared" si="91"/>
        <v>0</v>
      </c>
      <c r="AM136" s="33">
        <f t="shared" si="92"/>
        <v>0</v>
      </c>
      <c r="AN136" s="33">
        <f t="shared" si="93"/>
        <v>0</v>
      </c>
      <c r="AO136" s="33">
        <f t="shared" si="94"/>
        <v>0</v>
      </c>
      <c r="AP136" s="33">
        <f t="shared" si="95"/>
        <v>0</v>
      </c>
      <c r="AQ136" s="193">
        <f t="shared" si="77"/>
        <v>0</v>
      </c>
      <c r="AR136" s="193">
        <f t="shared" si="78"/>
        <v>0</v>
      </c>
      <c r="AS136" s="193">
        <f t="shared" si="79"/>
        <v>0</v>
      </c>
      <c r="AT136" s="193">
        <f t="shared" si="80"/>
        <v>0</v>
      </c>
      <c r="AU136" s="33"/>
      <c r="AV136" s="33"/>
      <c r="AW136" s="33"/>
      <c r="AX136" s="33"/>
      <c r="AY136" s="76"/>
    </row>
    <row r="137" spans="3:51">
      <c r="C137" s="165" t="s">
        <v>12</v>
      </c>
      <c r="D137" s="4">
        <v>0.61</v>
      </c>
      <c r="E137" s="187" t="s">
        <v>228</v>
      </c>
      <c r="F137" s="342">
        <f>IF(OR(Tableau145[[#This Row],[Type]]="Feuillus",Tableau145[[#This Row],[Type]]="Peupliers"),1.56,1.3)</f>
        <v>1.56</v>
      </c>
      <c r="I137" s="55">
        <v>132</v>
      </c>
      <c r="J137" s="33">
        <f t="shared" si="98"/>
        <v>0</v>
      </c>
      <c r="K137" s="33">
        <f t="shared" si="99"/>
        <v>0</v>
      </c>
      <c r="L137" s="33">
        <f t="shared" si="100"/>
        <v>0</v>
      </c>
      <c r="M137" s="33">
        <f t="shared" si="101"/>
        <v>0</v>
      </c>
      <c r="N137" s="33">
        <f t="shared" si="81"/>
        <v>0</v>
      </c>
      <c r="O137" s="34">
        <f t="shared" si="82"/>
        <v>0</v>
      </c>
      <c r="P137" s="55">
        <v>132</v>
      </c>
      <c r="Q137" s="33">
        <f t="shared" si="96"/>
        <v>0</v>
      </c>
      <c r="R137" s="33">
        <f t="shared" si="102"/>
        <v>0</v>
      </c>
      <c r="S137" s="33">
        <f t="shared" si="103"/>
        <v>0</v>
      </c>
      <c r="T137" s="33">
        <f t="shared" si="83"/>
        <v>0</v>
      </c>
      <c r="U137" s="33">
        <f t="shared" si="97"/>
        <v>0</v>
      </c>
      <c r="V137" s="33">
        <f t="shared" si="84"/>
        <v>0</v>
      </c>
      <c r="W137" s="33">
        <v>0</v>
      </c>
      <c r="X137" s="33">
        <f t="shared" si="85"/>
        <v>0</v>
      </c>
      <c r="Y137" s="38">
        <f t="shared" si="86"/>
        <v>0</v>
      </c>
      <c r="AA137" s="71">
        <v>132</v>
      </c>
      <c r="AB137" s="33">
        <f t="shared" si="87"/>
        <v>0</v>
      </c>
      <c r="AC137" s="304">
        <f t="shared" si="88"/>
        <v>0</v>
      </c>
      <c r="AD137" s="100">
        <f t="shared" si="89"/>
        <v>0</v>
      </c>
      <c r="AE137" s="100">
        <f t="shared" si="90"/>
        <v>0</v>
      </c>
      <c r="AF137" s="193">
        <f t="shared" si="73"/>
        <v>0</v>
      </c>
      <c r="AG137" s="193">
        <f t="shared" si="74"/>
        <v>0</v>
      </c>
      <c r="AH137" s="193">
        <f t="shared" si="75"/>
        <v>0</v>
      </c>
      <c r="AI137" s="198">
        <f t="shared" si="76"/>
        <v>0</v>
      </c>
      <c r="AK137" s="71">
        <v>132</v>
      </c>
      <c r="AL137" s="33">
        <f t="shared" si="91"/>
        <v>0</v>
      </c>
      <c r="AM137" s="33">
        <f t="shared" si="92"/>
        <v>0</v>
      </c>
      <c r="AN137" s="33">
        <f t="shared" si="93"/>
        <v>0</v>
      </c>
      <c r="AO137" s="33">
        <f t="shared" si="94"/>
        <v>0</v>
      </c>
      <c r="AP137" s="33">
        <f t="shared" si="95"/>
        <v>0</v>
      </c>
      <c r="AQ137" s="193">
        <f t="shared" si="77"/>
        <v>0</v>
      </c>
      <c r="AR137" s="193">
        <f t="shared" si="78"/>
        <v>0</v>
      </c>
      <c r="AS137" s="193">
        <f t="shared" si="79"/>
        <v>0</v>
      </c>
      <c r="AT137" s="193">
        <f t="shared" si="80"/>
        <v>0</v>
      </c>
      <c r="AU137" s="33"/>
      <c r="AV137" s="33"/>
      <c r="AW137" s="33"/>
      <c r="AX137" s="33"/>
      <c r="AY137" s="76"/>
    </row>
    <row r="138" spans="3:51">
      <c r="C138" s="165" t="s">
        <v>13</v>
      </c>
      <c r="D138" s="4">
        <v>0.66</v>
      </c>
      <c r="E138" s="187" t="s">
        <v>228</v>
      </c>
      <c r="F138" s="342">
        <f>IF(OR(Tableau145[[#This Row],[Type]]="Feuillus",Tableau145[[#This Row],[Type]]="Peupliers"),1.56,1.3)</f>
        <v>1.56</v>
      </c>
      <c r="I138" s="55">
        <v>133</v>
      </c>
      <c r="J138" s="33">
        <f t="shared" si="98"/>
        <v>0</v>
      </c>
      <c r="K138" s="33">
        <f t="shared" si="99"/>
        <v>0</v>
      </c>
      <c r="L138" s="33">
        <f t="shared" si="100"/>
        <v>0</v>
      </c>
      <c r="M138" s="33">
        <f t="shared" si="101"/>
        <v>0</v>
      </c>
      <c r="N138" s="33">
        <f t="shared" si="81"/>
        <v>0</v>
      </c>
      <c r="O138" s="34">
        <f t="shared" si="82"/>
        <v>0</v>
      </c>
      <c r="P138" s="55">
        <v>133</v>
      </c>
      <c r="Q138" s="33">
        <f t="shared" si="96"/>
        <v>0</v>
      </c>
      <c r="R138" s="33">
        <f t="shared" si="102"/>
        <v>0</v>
      </c>
      <c r="S138" s="33">
        <f t="shared" si="103"/>
        <v>0</v>
      </c>
      <c r="T138" s="33">
        <f t="shared" si="83"/>
        <v>0</v>
      </c>
      <c r="U138" s="33">
        <f t="shared" si="97"/>
        <v>0</v>
      </c>
      <c r="V138" s="33">
        <f t="shared" si="84"/>
        <v>0</v>
      </c>
      <c r="W138" s="33">
        <v>0</v>
      </c>
      <c r="X138" s="33">
        <f t="shared" si="85"/>
        <v>0</v>
      </c>
      <c r="Y138" s="38">
        <f t="shared" si="86"/>
        <v>0</v>
      </c>
      <c r="AA138" s="71">
        <v>133</v>
      </c>
      <c r="AB138" s="33">
        <f t="shared" si="87"/>
        <v>0</v>
      </c>
      <c r="AC138" s="304">
        <f t="shared" si="88"/>
        <v>0</v>
      </c>
      <c r="AD138" s="100">
        <f t="shared" si="89"/>
        <v>0</v>
      </c>
      <c r="AE138" s="100">
        <f t="shared" si="90"/>
        <v>0</v>
      </c>
      <c r="AF138" s="193">
        <f t="shared" si="73"/>
        <v>0</v>
      </c>
      <c r="AG138" s="193">
        <f t="shared" si="74"/>
        <v>0</v>
      </c>
      <c r="AH138" s="193">
        <f t="shared" si="75"/>
        <v>0</v>
      </c>
      <c r="AI138" s="198">
        <f t="shared" si="76"/>
        <v>0</v>
      </c>
      <c r="AK138" s="71">
        <v>133</v>
      </c>
      <c r="AL138" s="33">
        <f t="shared" si="91"/>
        <v>0</v>
      </c>
      <c r="AM138" s="33">
        <f t="shared" si="92"/>
        <v>0</v>
      </c>
      <c r="AN138" s="33">
        <f t="shared" si="93"/>
        <v>0</v>
      </c>
      <c r="AO138" s="33">
        <f t="shared" si="94"/>
        <v>0</v>
      </c>
      <c r="AP138" s="33">
        <f t="shared" si="95"/>
        <v>0</v>
      </c>
      <c r="AQ138" s="193">
        <f t="shared" si="77"/>
        <v>0</v>
      </c>
      <c r="AR138" s="193">
        <f t="shared" si="78"/>
        <v>0</v>
      </c>
      <c r="AS138" s="193">
        <f t="shared" si="79"/>
        <v>0</v>
      </c>
      <c r="AT138" s="193">
        <f t="shared" si="80"/>
        <v>0</v>
      </c>
      <c r="AU138" s="33"/>
      <c r="AV138" s="33"/>
      <c r="AW138" s="33"/>
      <c r="AX138" s="33"/>
      <c r="AY138" s="76"/>
    </row>
    <row r="139" spans="3:51">
      <c r="C139" s="166" t="s">
        <v>14</v>
      </c>
      <c r="D139" s="133">
        <v>0.47</v>
      </c>
      <c r="E139" s="187" t="s">
        <v>228</v>
      </c>
      <c r="F139" s="342">
        <f>IF(OR(Tableau145[[#This Row],[Type]]="Feuillus",Tableau145[[#This Row],[Type]]="Peupliers"),1.56,1.3)</f>
        <v>1.56</v>
      </c>
      <c r="I139" s="55">
        <v>134</v>
      </c>
      <c r="J139" s="33">
        <f t="shared" si="98"/>
        <v>0</v>
      </c>
      <c r="K139" s="33">
        <f t="shared" si="99"/>
        <v>0</v>
      </c>
      <c r="L139" s="33">
        <f t="shared" si="100"/>
        <v>0</v>
      </c>
      <c r="M139" s="33">
        <f t="shared" si="101"/>
        <v>0</v>
      </c>
      <c r="N139" s="33">
        <f t="shared" si="81"/>
        <v>0</v>
      </c>
      <c r="O139" s="34">
        <f t="shared" si="82"/>
        <v>0</v>
      </c>
      <c r="P139" s="55">
        <v>134</v>
      </c>
      <c r="Q139" s="33">
        <f t="shared" si="96"/>
        <v>0</v>
      </c>
      <c r="R139" s="33">
        <f t="shared" si="102"/>
        <v>0</v>
      </c>
      <c r="S139" s="33">
        <f t="shared" si="103"/>
        <v>0</v>
      </c>
      <c r="T139" s="33">
        <f t="shared" si="83"/>
        <v>0</v>
      </c>
      <c r="U139" s="33">
        <f t="shared" si="97"/>
        <v>0</v>
      </c>
      <c r="V139" s="33">
        <f t="shared" si="84"/>
        <v>0</v>
      </c>
      <c r="W139" s="33">
        <v>0</v>
      </c>
      <c r="X139" s="33">
        <f t="shared" si="85"/>
        <v>0</v>
      </c>
      <c r="Y139" s="38">
        <f t="shared" si="86"/>
        <v>0</v>
      </c>
      <c r="AA139" s="71">
        <v>134</v>
      </c>
      <c r="AB139" s="33">
        <f t="shared" si="87"/>
        <v>0</v>
      </c>
      <c r="AC139" s="304">
        <f t="shared" si="88"/>
        <v>0</v>
      </c>
      <c r="AD139" s="100">
        <f t="shared" si="89"/>
        <v>0</v>
      </c>
      <c r="AE139" s="100">
        <f t="shared" si="90"/>
        <v>0</v>
      </c>
      <c r="AF139" s="193">
        <f t="shared" si="73"/>
        <v>0</v>
      </c>
      <c r="AG139" s="193">
        <f t="shared" si="74"/>
        <v>0</v>
      </c>
      <c r="AH139" s="193">
        <f t="shared" si="75"/>
        <v>0</v>
      </c>
      <c r="AI139" s="198">
        <f t="shared" si="76"/>
        <v>0</v>
      </c>
      <c r="AK139" s="71">
        <v>134</v>
      </c>
      <c r="AL139" s="33">
        <f t="shared" si="91"/>
        <v>0</v>
      </c>
      <c r="AM139" s="33">
        <f t="shared" si="92"/>
        <v>0</v>
      </c>
      <c r="AN139" s="33">
        <f t="shared" si="93"/>
        <v>0</v>
      </c>
      <c r="AO139" s="33">
        <f t="shared" si="94"/>
        <v>0</v>
      </c>
      <c r="AP139" s="33">
        <f t="shared" si="95"/>
        <v>0</v>
      </c>
      <c r="AQ139" s="193">
        <f t="shared" si="77"/>
        <v>0</v>
      </c>
      <c r="AR139" s="193">
        <f t="shared" si="78"/>
        <v>0</v>
      </c>
      <c r="AS139" s="193">
        <f t="shared" si="79"/>
        <v>0</v>
      </c>
      <c r="AT139" s="193">
        <f t="shared" si="80"/>
        <v>0</v>
      </c>
      <c r="AU139" s="33"/>
      <c r="AV139" s="33"/>
      <c r="AW139" s="33"/>
      <c r="AX139" s="33"/>
      <c r="AY139" s="76"/>
    </row>
    <row r="140" spans="3:51">
      <c r="C140" s="165" t="s">
        <v>15</v>
      </c>
      <c r="D140" s="4">
        <v>0.67</v>
      </c>
      <c r="E140" s="187" t="s">
        <v>228</v>
      </c>
      <c r="F140" s="342">
        <f>IF(OR(Tableau145[[#This Row],[Type]]="Feuillus",Tableau145[[#This Row],[Type]]="Peupliers"),1.56,1.3)</f>
        <v>1.56</v>
      </c>
      <c r="I140" s="55">
        <v>135</v>
      </c>
      <c r="J140" s="33">
        <f t="shared" si="98"/>
        <v>0</v>
      </c>
      <c r="K140" s="33">
        <f t="shared" si="99"/>
        <v>0</v>
      </c>
      <c r="L140" s="33">
        <f t="shared" si="100"/>
        <v>0</v>
      </c>
      <c r="M140" s="33">
        <f t="shared" si="101"/>
        <v>0</v>
      </c>
      <c r="N140" s="33">
        <f t="shared" si="81"/>
        <v>0</v>
      </c>
      <c r="O140" s="34">
        <f t="shared" si="82"/>
        <v>0</v>
      </c>
      <c r="P140" s="55">
        <v>135</v>
      </c>
      <c r="Q140" s="33">
        <f t="shared" si="96"/>
        <v>0</v>
      </c>
      <c r="R140" s="33">
        <f t="shared" si="102"/>
        <v>0</v>
      </c>
      <c r="S140" s="33">
        <f t="shared" si="103"/>
        <v>0</v>
      </c>
      <c r="T140" s="33">
        <f t="shared" si="83"/>
        <v>0</v>
      </c>
      <c r="U140" s="33">
        <f t="shared" si="97"/>
        <v>0</v>
      </c>
      <c r="V140" s="33">
        <f t="shared" si="84"/>
        <v>0</v>
      </c>
      <c r="W140" s="33">
        <v>0</v>
      </c>
      <c r="X140" s="33">
        <f t="shared" si="85"/>
        <v>0</v>
      </c>
      <c r="Y140" s="38">
        <f t="shared" si="86"/>
        <v>0</v>
      </c>
      <c r="AA140" s="71">
        <v>135</v>
      </c>
      <c r="AB140" s="33">
        <f t="shared" si="87"/>
        <v>0</v>
      </c>
      <c r="AC140" s="304">
        <f t="shared" si="88"/>
        <v>0</v>
      </c>
      <c r="AD140" s="100">
        <f t="shared" si="89"/>
        <v>0</v>
      </c>
      <c r="AE140" s="100">
        <f t="shared" si="90"/>
        <v>0</v>
      </c>
      <c r="AF140" s="193">
        <f t="shared" si="73"/>
        <v>0</v>
      </c>
      <c r="AG140" s="193">
        <f t="shared" si="74"/>
        <v>0</v>
      </c>
      <c r="AH140" s="193">
        <f t="shared" si="75"/>
        <v>0</v>
      </c>
      <c r="AI140" s="198">
        <f t="shared" si="76"/>
        <v>0</v>
      </c>
      <c r="AK140" s="71">
        <v>135</v>
      </c>
      <c r="AL140" s="33">
        <f t="shared" si="91"/>
        <v>0</v>
      </c>
      <c r="AM140" s="33">
        <f t="shared" si="92"/>
        <v>0</v>
      </c>
      <c r="AN140" s="33">
        <f t="shared" si="93"/>
        <v>0</v>
      </c>
      <c r="AO140" s="33">
        <f t="shared" si="94"/>
        <v>0</v>
      </c>
      <c r="AP140" s="33">
        <f t="shared" si="95"/>
        <v>0</v>
      </c>
      <c r="AQ140" s="193">
        <f t="shared" si="77"/>
        <v>0</v>
      </c>
      <c r="AR140" s="193">
        <f t="shared" si="78"/>
        <v>0</v>
      </c>
      <c r="AS140" s="193">
        <f t="shared" si="79"/>
        <v>0</v>
      </c>
      <c r="AT140" s="193">
        <f t="shared" si="80"/>
        <v>0</v>
      </c>
      <c r="AU140" s="33"/>
      <c r="AV140" s="33"/>
      <c r="AW140" s="33"/>
      <c r="AX140" s="33"/>
      <c r="AY140" s="76"/>
    </row>
    <row r="141" spans="3:51">
      <c r="C141" s="165" t="s">
        <v>16</v>
      </c>
      <c r="D141" s="4">
        <v>0.7</v>
      </c>
      <c r="E141" s="187" t="s">
        <v>228</v>
      </c>
      <c r="F141" s="342">
        <f>IF(OR(Tableau145[[#This Row],[Type]]="Feuillus",Tableau145[[#This Row],[Type]]="Peupliers"),1.56,1.3)</f>
        <v>1.56</v>
      </c>
      <c r="I141" s="55">
        <v>136</v>
      </c>
      <c r="J141" s="33">
        <f t="shared" si="98"/>
        <v>0</v>
      </c>
      <c r="K141" s="33">
        <f t="shared" si="99"/>
        <v>0</v>
      </c>
      <c r="L141" s="33">
        <f t="shared" si="100"/>
        <v>0</v>
      </c>
      <c r="M141" s="33">
        <f t="shared" si="101"/>
        <v>0</v>
      </c>
      <c r="N141" s="33">
        <f t="shared" si="81"/>
        <v>0</v>
      </c>
      <c r="O141" s="34">
        <f t="shared" si="82"/>
        <v>0</v>
      </c>
      <c r="P141" s="55">
        <v>136</v>
      </c>
      <c r="Q141" s="33">
        <f t="shared" si="96"/>
        <v>0</v>
      </c>
      <c r="R141" s="33">
        <f t="shared" si="102"/>
        <v>0</v>
      </c>
      <c r="S141" s="33">
        <f t="shared" si="103"/>
        <v>0</v>
      </c>
      <c r="T141" s="33">
        <f t="shared" si="83"/>
        <v>0</v>
      </c>
      <c r="U141" s="33">
        <f t="shared" si="97"/>
        <v>0</v>
      </c>
      <c r="V141" s="33">
        <f t="shared" si="84"/>
        <v>0</v>
      </c>
      <c r="W141" s="33">
        <v>0</v>
      </c>
      <c r="X141" s="33">
        <f t="shared" si="85"/>
        <v>0</v>
      </c>
      <c r="Y141" s="38">
        <f t="shared" si="86"/>
        <v>0</v>
      </c>
      <c r="AA141" s="71">
        <v>136</v>
      </c>
      <c r="AB141" s="33">
        <f t="shared" si="87"/>
        <v>0</v>
      </c>
      <c r="AC141" s="304">
        <f t="shared" si="88"/>
        <v>0</v>
      </c>
      <c r="AD141" s="100">
        <f t="shared" si="89"/>
        <v>0</v>
      </c>
      <c r="AE141" s="100">
        <f t="shared" si="90"/>
        <v>0</v>
      </c>
      <c r="AF141" s="193">
        <f t="shared" si="73"/>
        <v>0</v>
      </c>
      <c r="AG141" s="193">
        <f t="shared" si="74"/>
        <v>0</v>
      </c>
      <c r="AH141" s="193">
        <f t="shared" si="75"/>
        <v>0</v>
      </c>
      <c r="AI141" s="198">
        <f t="shared" si="76"/>
        <v>0</v>
      </c>
      <c r="AK141" s="71">
        <v>136</v>
      </c>
      <c r="AL141" s="33">
        <f t="shared" si="91"/>
        <v>0</v>
      </c>
      <c r="AM141" s="33">
        <f t="shared" si="92"/>
        <v>0</v>
      </c>
      <c r="AN141" s="33">
        <f t="shared" si="93"/>
        <v>0</v>
      </c>
      <c r="AO141" s="33">
        <f t="shared" si="94"/>
        <v>0</v>
      </c>
      <c r="AP141" s="33">
        <f t="shared" si="95"/>
        <v>0</v>
      </c>
      <c r="AQ141" s="193">
        <f t="shared" si="77"/>
        <v>0</v>
      </c>
      <c r="AR141" s="193">
        <f t="shared" si="78"/>
        <v>0</v>
      </c>
      <c r="AS141" s="193">
        <f t="shared" si="79"/>
        <v>0</v>
      </c>
      <c r="AT141" s="193">
        <f t="shared" si="80"/>
        <v>0</v>
      </c>
      <c r="AU141" s="33"/>
      <c r="AV141" s="33"/>
      <c r="AW141" s="33"/>
      <c r="AX141" s="33"/>
      <c r="AY141" s="76"/>
    </row>
    <row r="142" spans="3:51">
      <c r="C142" s="165" t="s">
        <v>17</v>
      </c>
      <c r="D142" s="4">
        <v>0.54</v>
      </c>
      <c r="E142" s="187" t="s">
        <v>228</v>
      </c>
      <c r="F142" s="342">
        <f>IF(OR(Tableau145[[#This Row],[Type]]="Feuillus",Tableau145[[#This Row],[Type]]="Peupliers"),1.56,1.3)</f>
        <v>1.56</v>
      </c>
      <c r="I142" s="55">
        <v>137</v>
      </c>
      <c r="J142" s="33">
        <f t="shared" si="98"/>
        <v>0</v>
      </c>
      <c r="K142" s="33">
        <f t="shared" si="99"/>
        <v>0</v>
      </c>
      <c r="L142" s="33">
        <f t="shared" si="100"/>
        <v>0</v>
      </c>
      <c r="M142" s="33">
        <f t="shared" si="101"/>
        <v>0</v>
      </c>
      <c r="N142" s="33">
        <f t="shared" si="81"/>
        <v>0</v>
      </c>
      <c r="O142" s="34">
        <f t="shared" si="82"/>
        <v>0</v>
      </c>
      <c r="P142" s="55">
        <v>137</v>
      </c>
      <c r="Q142" s="33">
        <f t="shared" si="96"/>
        <v>0</v>
      </c>
      <c r="R142" s="33">
        <f t="shared" si="102"/>
        <v>0</v>
      </c>
      <c r="S142" s="33">
        <f t="shared" si="103"/>
        <v>0</v>
      </c>
      <c r="T142" s="33">
        <f t="shared" si="83"/>
        <v>0</v>
      </c>
      <c r="U142" s="33">
        <f t="shared" si="97"/>
        <v>0</v>
      </c>
      <c r="V142" s="33">
        <f t="shared" si="84"/>
        <v>0</v>
      </c>
      <c r="W142" s="33">
        <v>0</v>
      </c>
      <c r="X142" s="33">
        <f t="shared" si="85"/>
        <v>0</v>
      </c>
      <c r="Y142" s="38">
        <f t="shared" si="86"/>
        <v>0</v>
      </c>
      <c r="AA142" s="71">
        <v>137</v>
      </c>
      <c r="AB142" s="33">
        <f t="shared" si="87"/>
        <v>0</v>
      </c>
      <c r="AC142" s="304">
        <f t="shared" si="88"/>
        <v>0</v>
      </c>
      <c r="AD142" s="100">
        <f t="shared" si="89"/>
        <v>0</v>
      </c>
      <c r="AE142" s="100">
        <f t="shared" si="90"/>
        <v>0</v>
      </c>
      <c r="AF142" s="193">
        <f t="shared" si="73"/>
        <v>0</v>
      </c>
      <c r="AG142" s="193">
        <f t="shared" si="74"/>
        <v>0</v>
      </c>
      <c r="AH142" s="193">
        <f t="shared" si="75"/>
        <v>0</v>
      </c>
      <c r="AI142" s="198">
        <f t="shared" si="76"/>
        <v>0</v>
      </c>
      <c r="AK142" s="71">
        <v>137</v>
      </c>
      <c r="AL142" s="33">
        <f t="shared" si="91"/>
        <v>0</v>
      </c>
      <c r="AM142" s="33">
        <f t="shared" si="92"/>
        <v>0</v>
      </c>
      <c r="AN142" s="33">
        <f t="shared" si="93"/>
        <v>0</v>
      </c>
      <c r="AO142" s="33">
        <f t="shared" si="94"/>
        <v>0</v>
      </c>
      <c r="AP142" s="33">
        <f t="shared" si="95"/>
        <v>0</v>
      </c>
      <c r="AQ142" s="193">
        <f t="shared" si="77"/>
        <v>0</v>
      </c>
      <c r="AR142" s="193">
        <f t="shared" si="78"/>
        <v>0</v>
      </c>
      <c r="AS142" s="193">
        <f t="shared" si="79"/>
        <v>0</v>
      </c>
      <c r="AT142" s="193">
        <f t="shared" si="80"/>
        <v>0</v>
      </c>
      <c r="AU142" s="33"/>
      <c r="AV142" s="33"/>
      <c r="AW142" s="33"/>
      <c r="AX142" s="33"/>
      <c r="AY142" s="76"/>
    </row>
    <row r="143" spans="3:51">
      <c r="C143" s="165" t="s">
        <v>18</v>
      </c>
      <c r="D143" s="4">
        <v>0.65</v>
      </c>
      <c r="E143" s="187" t="s">
        <v>228</v>
      </c>
      <c r="F143" s="342">
        <f>IF(OR(Tableau145[[#This Row],[Type]]="Feuillus",Tableau145[[#This Row],[Type]]="Peupliers"),1.56,1.3)</f>
        <v>1.56</v>
      </c>
      <c r="I143" s="55">
        <v>138</v>
      </c>
      <c r="J143" s="33">
        <f t="shared" si="98"/>
        <v>0</v>
      </c>
      <c r="K143" s="33">
        <f t="shared" si="99"/>
        <v>0</v>
      </c>
      <c r="L143" s="33">
        <f t="shared" si="100"/>
        <v>0</v>
      </c>
      <c r="M143" s="33">
        <f t="shared" si="101"/>
        <v>0</v>
      </c>
      <c r="N143" s="33">
        <f t="shared" si="81"/>
        <v>0</v>
      </c>
      <c r="O143" s="34">
        <f t="shared" si="82"/>
        <v>0</v>
      </c>
      <c r="P143" s="55">
        <v>138</v>
      </c>
      <c r="Q143" s="33">
        <f t="shared" si="96"/>
        <v>0</v>
      </c>
      <c r="R143" s="33">
        <f t="shared" si="102"/>
        <v>0</v>
      </c>
      <c r="S143" s="33">
        <f t="shared" si="103"/>
        <v>0</v>
      </c>
      <c r="T143" s="33">
        <f t="shared" si="83"/>
        <v>0</v>
      </c>
      <c r="U143" s="33">
        <f t="shared" si="97"/>
        <v>0</v>
      </c>
      <c r="V143" s="33">
        <f t="shared" si="84"/>
        <v>0</v>
      </c>
      <c r="W143" s="33">
        <v>0</v>
      </c>
      <c r="X143" s="33">
        <f t="shared" si="85"/>
        <v>0</v>
      </c>
      <c r="Y143" s="38">
        <f t="shared" si="86"/>
        <v>0</v>
      </c>
      <c r="AA143" s="71">
        <v>138</v>
      </c>
      <c r="AB143" s="33">
        <f t="shared" si="87"/>
        <v>0</v>
      </c>
      <c r="AC143" s="304">
        <f t="shared" si="88"/>
        <v>0</v>
      </c>
      <c r="AD143" s="100">
        <f t="shared" si="89"/>
        <v>0</v>
      </c>
      <c r="AE143" s="100">
        <f t="shared" si="90"/>
        <v>0</v>
      </c>
      <c r="AF143" s="193">
        <f t="shared" si="73"/>
        <v>0</v>
      </c>
      <c r="AG143" s="193">
        <f t="shared" si="74"/>
        <v>0</v>
      </c>
      <c r="AH143" s="193">
        <f t="shared" si="75"/>
        <v>0</v>
      </c>
      <c r="AI143" s="198">
        <f t="shared" si="76"/>
        <v>0</v>
      </c>
      <c r="AK143" s="71">
        <v>138</v>
      </c>
      <c r="AL143" s="33">
        <f t="shared" si="91"/>
        <v>0</v>
      </c>
      <c r="AM143" s="33">
        <f t="shared" si="92"/>
        <v>0</v>
      </c>
      <c r="AN143" s="33">
        <f t="shared" si="93"/>
        <v>0</v>
      </c>
      <c r="AO143" s="33">
        <f t="shared" si="94"/>
        <v>0</v>
      </c>
      <c r="AP143" s="33">
        <f t="shared" si="95"/>
        <v>0</v>
      </c>
      <c r="AQ143" s="193">
        <f t="shared" si="77"/>
        <v>0</v>
      </c>
      <c r="AR143" s="193">
        <f t="shared" si="78"/>
        <v>0</v>
      </c>
      <c r="AS143" s="193">
        <f t="shared" si="79"/>
        <v>0</v>
      </c>
      <c r="AT143" s="193">
        <f t="shared" si="80"/>
        <v>0</v>
      </c>
      <c r="AU143" s="33"/>
      <c r="AV143" s="33"/>
      <c r="AW143" s="33"/>
      <c r="AX143" s="33"/>
      <c r="AY143" s="76"/>
    </row>
    <row r="144" spans="3:51">
      <c r="C144" s="165" t="s">
        <v>19</v>
      </c>
      <c r="D144" s="4">
        <v>0.56000000000000005</v>
      </c>
      <c r="E144" s="187" t="s">
        <v>228</v>
      </c>
      <c r="F144" s="342">
        <f>IF(OR(Tableau145[[#This Row],[Type]]="Feuillus",Tableau145[[#This Row],[Type]]="Peupliers"),1.56,1.3)</f>
        <v>1.56</v>
      </c>
      <c r="I144" s="55">
        <v>139</v>
      </c>
      <c r="J144" s="33">
        <f t="shared" si="98"/>
        <v>0</v>
      </c>
      <c r="K144" s="33">
        <f t="shared" si="99"/>
        <v>0</v>
      </c>
      <c r="L144" s="33">
        <f t="shared" si="100"/>
        <v>0</v>
      </c>
      <c r="M144" s="33">
        <f t="shared" si="101"/>
        <v>0</v>
      </c>
      <c r="N144" s="33">
        <f t="shared" si="81"/>
        <v>0</v>
      </c>
      <c r="O144" s="34">
        <f t="shared" si="82"/>
        <v>0</v>
      </c>
      <c r="P144" s="55">
        <v>139</v>
      </c>
      <c r="Q144" s="33">
        <f t="shared" si="96"/>
        <v>0</v>
      </c>
      <c r="R144" s="33">
        <f t="shared" si="102"/>
        <v>0</v>
      </c>
      <c r="S144" s="33">
        <f t="shared" si="103"/>
        <v>0</v>
      </c>
      <c r="T144" s="33">
        <f t="shared" si="83"/>
        <v>0</v>
      </c>
      <c r="U144" s="33">
        <f t="shared" si="97"/>
        <v>0</v>
      </c>
      <c r="V144" s="33">
        <f t="shared" si="84"/>
        <v>0</v>
      </c>
      <c r="W144" s="33">
        <v>0</v>
      </c>
      <c r="X144" s="33">
        <f t="shared" si="85"/>
        <v>0</v>
      </c>
      <c r="Y144" s="38">
        <f t="shared" si="86"/>
        <v>0</v>
      </c>
      <c r="AA144" s="71">
        <v>139</v>
      </c>
      <c r="AB144" s="33">
        <f t="shared" si="87"/>
        <v>0</v>
      </c>
      <c r="AC144" s="304">
        <f t="shared" si="88"/>
        <v>0</v>
      </c>
      <c r="AD144" s="100">
        <f t="shared" si="89"/>
        <v>0</v>
      </c>
      <c r="AE144" s="100">
        <f t="shared" si="90"/>
        <v>0</v>
      </c>
      <c r="AF144" s="193">
        <f t="shared" si="73"/>
        <v>0</v>
      </c>
      <c r="AG144" s="193">
        <f t="shared" si="74"/>
        <v>0</v>
      </c>
      <c r="AH144" s="193">
        <f t="shared" si="75"/>
        <v>0</v>
      </c>
      <c r="AI144" s="198">
        <f t="shared" si="76"/>
        <v>0</v>
      </c>
      <c r="AK144" s="71">
        <v>139</v>
      </c>
      <c r="AL144" s="33">
        <f t="shared" si="91"/>
        <v>0</v>
      </c>
      <c r="AM144" s="33">
        <f t="shared" si="92"/>
        <v>0</v>
      </c>
      <c r="AN144" s="33">
        <f t="shared" si="93"/>
        <v>0</v>
      </c>
      <c r="AO144" s="33">
        <f t="shared" si="94"/>
        <v>0</v>
      </c>
      <c r="AP144" s="33">
        <f t="shared" si="95"/>
        <v>0</v>
      </c>
      <c r="AQ144" s="193">
        <f t="shared" si="77"/>
        <v>0</v>
      </c>
      <c r="AR144" s="193">
        <f t="shared" si="78"/>
        <v>0</v>
      </c>
      <c r="AS144" s="193">
        <f t="shared" si="79"/>
        <v>0</v>
      </c>
      <c r="AT144" s="193">
        <f t="shared" si="80"/>
        <v>0</v>
      </c>
      <c r="AU144" s="33"/>
      <c r="AV144" s="33"/>
      <c r="AW144" s="33"/>
      <c r="AX144" s="33"/>
      <c r="AY144" s="76"/>
    </row>
    <row r="145" spans="3:51">
      <c r="C145" s="165" t="s">
        <v>20</v>
      </c>
      <c r="D145" s="339">
        <v>0.57899999999999996</v>
      </c>
      <c r="E145" s="187" t="s">
        <v>228</v>
      </c>
      <c r="F145" s="342">
        <f>IF(OR(Tableau145[[#This Row],[Type]]="Feuillus",Tableau145[[#This Row],[Type]]="Peupliers"),1.56,1.3)</f>
        <v>1.56</v>
      </c>
      <c r="I145" s="55">
        <v>140</v>
      </c>
      <c r="J145" s="33">
        <f t="shared" si="98"/>
        <v>0</v>
      </c>
      <c r="K145" s="33">
        <f t="shared" si="99"/>
        <v>0</v>
      </c>
      <c r="L145" s="33">
        <f t="shared" si="100"/>
        <v>0</v>
      </c>
      <c r="M145" s="33">
        <f t="shared" si="101"/>
        <v>0</v>
      </c>
      <c r="N145" s="33">
        <f t="shared" si="81"/>
        <v>0</v>
      </c>
      <c r="O145" s="34">
        <f t="shared" si="82"/>
        <v>0</v>
      </c>
      <c r="P145" s="55">
        <v>140</v>
      </c>
      <c r="Q145" s="33">
        <f t="shared" si="96"/>
        <v>0</v>
      </c>
      <c r="R145" s="33">
        <f t="shared" si="102"/>
        <v>0</v>
      </c>
      <c r="S145" s="33">
        <f t="shared" si="103"/>
        <v>0</v>
      </c>
      <c r="T145" s="33">
        <f t="shared" si="83"/>
        <v>0</v>
      </c>
      <c r="U145" s="33">
        <f t="shared" si="97"/>
        <v>0</v>
      </c>
      <c r="V145" s="33">
        <f t="shared" si="84"/>
        <v>0</v>
      </c>
      <c r="W145" s="33">
        <v>0</v>
      </c>
      <c r="X145" s="33">
        <f t="shared" si="85"/>
        <v>0</v>
      </c>
      <c r="Y145" s="38">
        <f t="shared" si="86"/>
        <v>0</v>
      </c>
      <c r="AA145" s="71">
        <v>140</v>
      </c>
      <c r="AB145" s="33">
        <f t="shared" si="87"/>
        <v>0</v>
      </c>
      <c r="AC145" s="304">
        <f t="shared" si="88"/>
        <v>0</v>
      </c>
      <c r="AD145" s="100">
        <f t="shared" si="89"/>
        <v>0</v>
      </c>
      <c r="AE145" s="100">
        <f t="shared" si="90"/>
        <v>0</v>
      </c>
      <c r="AF145" s="193">
        <f t="shared" si="73"/>
        <v>0</v>
      </c>
      <c r="AG145" s="193">
        <f t="shared" si="74"/>
        <v>0</v>
      </c>
      <c r="AH145" s="193">
        <f t="shared" si="75"/>
        <v>0</v>
      </c>
      <c r="AI145" s="198">
        <f t="shared" si="76"/>
        <v>0</v>
      </c>
      <c r="AK145" s="71">
        <v>140</v>
      </c>
      <c r="AL145" s="33">
        <f t="shared" si="91"/>
        <v>0</v>
      </c>
      <c r="AM145" s="33">
        <f t="shared" si="92"/>
        <v>0</v>
      </c>
      <c r="AN145" s="33">
        <f t="shared" si="93"/>
        <v>0</v>
      </c>
      <c r="AO145" s="33">
        <f t="shared" si="94"/>
        <v>0</v>
      </c>
      <c r="AP145" s="33">
        <f t="shared" si="95"/>
        <v>0</v>
      </c>
      <c r="AQ145" s="193">
        <f t="shared" si="77"/>
        <v>0</v>
      </c>
      <c r="AR145" s="193">
        <f t="shared" si="78"/>
        <v>0</v>
      </c>
      <c r="AS145" s="193">
        <f t="shared" si="79"/>
        <v>0</v>
      </c>
      <c r="AT145" s="193">
        <f t="shared" si="80"/>
        <v>0</v>
      </c>
      <c r="AU145" s="33"/>
      <c r="AV145" s="33"/>
      <c r="AW145" s="33"/>
      <c r="AX145" s="33"/>
      <c r="AY145" s="76"/>
    </row>
    <row r="146" spans="3:51">
      <c r="C146" s="165" t="s">
        <v>21</v>
      </c>
      <c r="D146" s="4">
        <v>0.64</v>
      </c>
      <c r="E146" s="187" t="s">
        <v>228</v>
      </c>
      <c r="F146" s="342">
        <f>IF(OR(Tableau145[[#This Row],[Type]]="Feuillus",Tableau145[[#This Row],[Type]]="Peupliers"),1.56,1.3)</f>
        <v>1.56</v>
      </c>
      <c r="I146" s="55">
        <v>141</v>
      </c>
      <c r="J146" s="33">
        <f t="shared" si="98"/>
        <v>0</v>
      </c>
      <c r="K146" s="33">
        <f t="shared" si="99"/>
        <v>0</v>
      </c>
      <c r="L146" s="33">
        <f t="shared" si="100"/>
        <v>0</v>
      </c>
      <c r="M146" s="33">
        <f t="shared" si="101"/>
        <v>0</v>
      </c>
      <c r="N146" s="33">
        <f t="shared" si="81"/>
        <v>0</v>
      </c>
      <c r="O146" s="34">
        <f t="shared" si="82"/>
        <v>0</v>
      </c>
      <c r="P146" s="55">
        <v>141</v>
      </c>
      <c r="Q146" s="33">
        <f t="shared" si="96"/>
        <v>0</v>
      </c>
      <c r="R146" s="33">
        <f t="shared" si="102"/>
        <v>0</v>
      </c>
      <c r="S146" s="33">
        <f t="shared" si="103"/>
        <v>0</v>
      </c>
      <c r="T146" s="33">
        <f t="shared" si="83"/>
        <v>0</v>
      </c>
      <c r="U146" s="33">
        <f t="shared" si="97"/>
        <v>0</v>
      </c>
      <c r="V146" s="33">
        <f t="shared" si="84"/>
        <v>0</v>
      </c>
      <c r="W146" s="33">
        <v>0</v>
      </c>
      <c r="X146" s="33">
        <f t="shared" si="85"/>
        <v>0</v>
      </c>
      <c r="Y146" s="38">
        <f t="shared" si="86"/>
        <v>0</v>
      </c>
      <c r="AA146" s="71">
        <v>141</v>
      </c>
      <c r="AB146" s="33">
        <f t="shared" si="87"/>
        <v>0</v>
      </c>
      <c r="AC146" s="304">
        <f t="shared" si="88"/>
        <v>0</v>
      </c>
      <c r="AD146" s="100">
        <f t="shared" si="89"/>
        <v>0</v>
      </c>
      <c r="AE146" s="100">
        <f t="shared" si="90"/>
        <v>0</v>
      </c>
      <c r="AF146" s="193">
        <f t="shared" si="73"/>
        <v>0</v>
      </c>
      <c r="AG146" s="193">
        <f t="shared" si="74"/>
        <v>0</v>
      </c>
      <c r="AH146" s="193">
        <f t="shared" si="75"/>
        <v>0</v>
      </c>
      <c r="AI146" s="198">
        <f t="shared" si="76"/>
        <v>0</v>
      </c>
      <c r="AK146" s="71">
        <v>141</v>
      </c>
      <c r="AL146" s="33">
        <f t="shared" si="91"/>
        <v>0</v>
      </c>
      <c r="AM146" s="33">
        <f t="shared" si="92"/>
        <v>0</v>
      </c>
      <c r="AN146" s="33">
        <f t="shared" si="93"/>
        <v>0</v>
      </c>
      <c r="AO146" s="33">
        <f t="shared" si="94"/>
        <v>0</v>
      </c>
      <c r="AP146" s="33">
        <f t="shared" si="95"/>
        <v>0</v>
      </c>
      <c r="AQ146" s="193">
        <f t="shared" si="77"/>
        <v>0</v>
      </c>
      <c r="AR146" s="193">
        <f t="shared" si="78"/>
        <v>0</v>
      </c>
      <c r="AS146" s="193">
        <f t="shared" si="79"/>
        <v>0</v>
      </c>
      <c r="AT146" s="193">
        <f t="shared" si="80"/>
        <v>0</v>
      </c>
      <c r="AU146" s="33"/>
      <c r="AV146" s="33"/>
      <c r="AW146" s="33"/>
      <c r="AX146" s="33"/>
      <c r="AY146" s="76"/>
    </row>
    <row r="147" spans="3:51">
      <c r="C147" s="165" t="s">
        <v>22</v>
      </c>
      <c r="D147" s="4">
        <v>0.73</v>
      </c>
      <c r="E147" s="187" t="s">
        <v>228</v>
      </c>
      <c r="F147" s="342">
        <f>IF(OR(Tableau145[[#This Row],[Type]]="Feuillus",Tableau145[[#This Row],[Type]]="Peupliers"),1.56,1.3)</f>
        <v>1.56</v>
      </c>
      <c r="I147" s="55">
        <v>142</v>
      </c>
      <c r="J147" s="33">
        <f t="shared" si="98"/>
        <v>0</v>
      </c>
      <c r="K147" s="33">
        <f t="shared" si="99"/>
        <v>0</v>
      </c>
      <c r="L147" s="33">
        <f t="shared" si="100"/>
        <v>0</v>
      </c>
      <c r="M147" s="33">
        <f t="shared" si="101"/>
        <v>0</v>
      </c>
      <c r="N147" s="33">
        <f t="shared" si="81"/>
        <v>0</v>
      </c>
      <c r="O147" s="34">
        <f t="shared" si="82"/>
        <v>0</v>
      </c>
      <c r="P147" s="55">
        <v>142</v>
      </c>
      <c r="Q147" s="33">
        <f t="shared" si="96"/>
        <v>0</v>
      </c>
      <c r="R147" s="33">
        <f t="shared" si="102"/>
        <v>0</v>
      </c>
      <c r="S147" s="33">
        <f t="shared" si="103"/>
        <v>0</v>
      </c>
      <c r="T147" s="33">
        <f t="shared" si="83"/>
        <v>0</v>
      </c>
      <c r="U147" s="33">
        <f t="shared" si="97"/>
        <v>0</v>
      </c>
      <c r="V147" s="33">
        <f t="shared" si="84"/>
        <v>0</v>
      </c>
      <c r="W147" s="33">
        <v>0</v>
      </c>
      <c r="X147" s="33">
        <f t="shared" si="85"/>
        <v>0</v>
      </c>
      <c r="Y147" s="38">
        <f t="shared" si="86"/>
        <v>0</v>
      </c>
      <c r="AA147" s="71">
        <v>142</v>
      </c>
      <c r="AB147" s="33">
        <f t="shared" si="87"/>
        <v>0</v>
      </c>
      <c r="AC147" s="304">
        <f t="shared" si="88"/>
        <v>0</v>
      </c>
      <c r="AD147" s="100">
        <f t="shared" si="89"/>
        <v>0</v>
      </c>
      <c r="AE147" s="100">
        <f t="shared" si="90"/>
        <v>0</v>
      </c>
      <c r="AF147" s="193">
        <f t="shared" si="73"/>
        <v>0</v>
      </c>
      <c r="AG147" s="193">
        <f t="shared" si="74"/>
        <v>0</v>
      </c>
      <c r="AH147" s="193">
        <f t="shared" si="75"/>
        <v>0</v>
      </c>
      <c r="AI147" s="198">
        <f t="shared" si="76"/>
        <v>0</v>
      </c>
      <c r="AK147" s="71">
        <v>142</v>
      </c>
      <c r="AL147" s="33">
        <f t="shared" si="91"/>
        <v>0</v>
      </c>
      <c r="AM147" s="33">
        <f t="shared" si="92"/>
        <v>0</v>
      </c>
      <c r="AN147" s="33">
        <f t="shared" si="93"/>
        <v>0</v>
      </c>
      <c r="AO147" s="33">
        <f t="shared" si="94"/>
        <v>0</v>
      </c>
      <c r="AP147" s="33">
        <f t="shared" si="95"/>
        <v>0</v>
      </c>
      <c r="AQ147" s="193">
        <f t="shared" si="77"/>
        <v>0</v>
      </c>
      <c r="AR147" s="193">
        <f t="shared" si="78"/>
        <v>0</v>
      </c>
      <c r="AS147" s="193">
        <f t="shared" si="79"/>
        <v>0</v>
      </c>
      <c r="AT147" s="193">
        <f t="shared" si="80"/>
        <v>0</v>
      </c>
      <c r="AU147" s="33"/>
      <c r="AV147" s="33"/>
      <c r="AW147" s="33"/>
      <c r="AX147" s="33"/>
      <c r="AY147" s="76"/>
    </row>
    <row r="148" spans="3:51">
      <c r="C148" s="165" t="s">
        <v>23</v>
      </c>
      <c r="D148" s="4">
        <v>0.56000000000000005</v>
      </c>
      <c r="E148" s="187" t="s">
        <v>228</v>
      </c>
      <c r="F148" s="342">
        <f>IF(OR(Tableau145[[#This Row],[Type]]="Feuillus",Tableau145[[#This Row],[Type]]="Peupliers"),1.56,1.3)</f>
        <v>1.56</v>
      </c>
      <c r="I148" s="55">
        <v>143</v>
      </c>
      <c r="J148" s="33">
        <f t="shared" si="98"/>
        <v>0</v>
      </c>
      <c r="K148" s="33">
        <f t="shared" si="99"/>
        <v>0</v>
      </c>
      <c r="L148" s="33">
        <f t="shared" si="100"/>
        <v>0</v>
      </c>
      <c r="M148" s="33">
        <f t="shared" si="101"/>
        <v>0</v>
      </c>
      <c r="N148" s="33">
        <f t="shared" si="81"/>
        <v>0</v>
      </c>
      <c r="O148" s="34">
        <f t="shared" si="82"/>
        <v>0</v>
      </c>
      <c r="P148" s="55">
        <v>143</v>
      </c>
      <c r="Q148" s="33">
        <f t="shared" si="96"/>
        <v>0</v>
      </c>
      <c r="R148" s="33">
        <f t="shared" si="102"/>
        <v>0</v>
      </c>
      <c r="S148" s="33">
        <f t="shared" si="103"/>
        <v>0</v>
      </c>
      <c r="T148" s="33">
        <f t="shared" si="83"/>
        <v>0</v>
      </c>
      <c r="U148" s="33">
        <f t="shared" si="97"/>
        <v>0</v>
      </c>
      <c r="V148" s="33">
        <f t="shared" si="84"/>
        <v>0</v>
      </c>
      <c r="W148" s="33">
        <v>0</v>
      </c>
      <c r="X148" s="33">
        <f t="shared" si="85"/>
        <v>0</v>
      </c>
      <c r="Y148" s="38">
        <f t="shared" si="86"/>
        <v>0</v>
      </c>
      <c r="AA148" s="71">
        <v>143</v>
      </c>
      <c r="AB148" s="33">
        <f t="shared" si="87"/>
        <v>0</v>
      </c>
      <c r="AC148" s="304">
        <f t="shared" si="88"/>
        <v>0</v>
      </c>
      <c r="AD148" s="100">
        <f t="shared" si="89"/>
        <v>0</v>
      </c>
      <c r="AE148" s="100">
        <f t="shared" si="90"/>
        <v>0</v>
      </c>
      <c r="AF148" s="193">
        <f t="shared" si="73"/>
        <v>0</v>
      </c>
      <c r="AG148" s="193">
        <f t="shared" si="74"/>
        <v>0</v>
      </c>
      <c r="AH148" s="193">
        <f t="shared" si="75"/>
        <v>0</v>
      </c>
      <c r="AI148" s="198">
        <f t="shared" si="76"/>
        <v>0</v>
      </c>
      <c r="AK148" s="71">
        <v>143</v>
      </c>
      <c r="AL148" s="33">
        <f t="shared" si="91"/>
        <v>0</v>
      </c>
      <c r="AM148" s="33">
        <f t="shared" si="92"/>
        <v>0</v>
      </c>
      <c r="AN148" s="33">
        <f t="shared" si="93"/>
        <v>0</v>
      </c>
      <c r="AO148" s="33">
        <f t="shared" si="94"/>
        <v>0</v>
      </c>
      <c r="AP148" s="33">
        <f t="shared" si="95"/>
        <v>0</v>
      </c>
      <c r="AQ148" s="193">
        <f t="shared" si="77"/>
        <v>0</v>
      </c>
      <c r="AR148" s="193">
        <f t="shared" si="78"/>
        <v>0</v>
      </c>
      <c r="AS148" s="193">
        <f t="shared" si="79"/>
        <v>0</v>
      </c>
      <c r="AT148" s="193">
        <f t="shared" si="80"/>
        <v>0</v>
      </c>
      <c r="AU148" s="33"/>
      <c r="AV148" s="33"/>
      <c r="AW148" s="33"/>
      <c r="AX148" s="33"/>
      <c r="AY148" s="76"/>
    </row>
    <row r="149" spans="3:51">
      <c r="C149" s="165" t="s">
        <v>24</v>
      </c>
      <c r="D149" s="4">
        <v>0.74</v>
      </c>
      <c r="E149" s="187" t="s">
        <v>228</v>
      </c>
      <c r="F149" s="342">
        <f>IF(OR(Tableau145[[#This Row],[Type]]="Feuillus",Tableau145[[#This Row],[Type]]="Peupliers"),1.56,1.3)</f>
        <v>1.56</v>
      </c>
      <c r="I149" s="55">
        <v>144</v>
      </c>
      <c r="J149" s="33">
        <f t="shared" si="98"/>
        <v>0</v>
      </c>
      <c r="K149" s="33">
        <f t="shared" si="99"/>
        <v>0</v>
      </c>
      <c r="L149" s="33">
        <f t="shared" si="100"/>
        <v>0</v>
      </c>
      <c r="M149" s="33">
        <f t="shared" si="101"/>
        <v>0</v>
      </c>
      <c r="N149" s="33">
        <f t="shared" si="81"/>
        <v>0</v>
      </c>
      <c r="O149" s="34">
        <f t="shared" si="82"/>
        <v>0</v>
      </c>
      <c r="P149" s="55">
        <v>144</v>
      </c>
      <c r="Q149" s="33">
        <f t="shared" si="96"/>
        <v>0</v>
      </c>
      <c r="R149" s="33">
        <f t="shared" si="102"/>
        <v>0</v>
      </c>
      <c r="S149" s="33">
        <f t="shared" si="103"/>
        <v>0</v>
      </c>
      <c r="T149" s="33">
        <f t="shared" si="83"/>
        <v>0</v>
      </c>
      <c r="U149" s="33">
        <f t="shared" si="97"/>
        <v>0</v>
      </c>
      <c r="V149" s="33">
        <f t="shared" si="84"/>
        <v>0</v>
      </c>
      <c r="W149" s="33">
        <v>0</v>
      </c>
      <c r="X149" s="33">
        <f t="shared" si="85"/>
        <v>0</v>
      </c>
      <c r="Y149" s="38">
        <f t="shared" si="86"/>
        <v>0</v>
      </c>
      <c r="AA149" s="71">
        <v>144</v>
      </c>
      <c r="AB149" s="33">
        <f t="shared" si="87"/>
        <v>0</v>
      </c>
      <c r="AC149" s="304">
        <f t="shared" si="88"/>
        <v>0</v>
      </c>
      <c r="AD149" s="100">
        <f t="shared" si="89"/>
        <v>0</v>
      </c>
      <c r="AE149" s="100">
        <f t="shared" si="90"/>
        <v>0</v>
      </c>
      <c r="AF149" s="193">
        <f t="shared" si="73"/>
        <v>0</v>
      </c>
      <c r="AG149" s="193">
        <f t="shared" si="74"/>
        <v>0</v>
      </c>
      <c r="AH149" s="193">
        <f t="shared" si="75"/>
        <v>0</v>
      </c>
      <c r="AI149" s="198">
        <f t="shared" si="76"/>
        <v>0</v>
      </c>
      <c r="AK149" s="71">
        <v>144</v>
      </c>
      <c r="AL149" s="33">
        <f t="shared" si="91"/>
        <v>0</v>
      </c>
      <c r="AM149" s="33">
        <f t="shared" si="92"/>
        <v>0</v>
      </c>
      <c r="AN149" s="33">
        <f t="shared" si="93"/>
        <v>0</v>
      </c>
      <c r="AO149" s="33">
        <f t="shared" si="94"/>
        <v>0</v>
      </c>
      <c r="AP149" s="33">
        <f t="shared" si="95"/>
        <v>0</v>
      </c>
      <c r="AQ149" s="193">
        <f t="shared" si="77"/>
        <v>0</v>
      </c>
      <c r="AR149" s="193">
        <f t="shared" si="78"/>
        <v>0</v>
      </c>
      <c r="AS149" s="193">
        <f t="shared" si="79"/>
        <v>0</v>
      </c>
      <c r="AT149" s="193">
        <f t="shared" si="80"/>
        <v>0</v>
      </c>
      <c r="AU149" s="33"/>
      <c r="AV149" s="33"/>
      <c r="AW149" s="33"/>
      <c r="AX149" s="33"/>
      <c r="AY149" s="76"/>
    </row>
    <row r="150" spans="3:51">
      <c r="C150" s="165" t="s">
        <v>25</v>
      </c>
      <c r="D150" s="4">
        <v>0.4</v>
      </c>
      <c r="E150" s="187" t="s">
        <v>229</v>
      </c>
      <c r="F150" s="342">
        <f>IF(OR(Tableau145[[#This Row],[Type]]="Feuillus",Tableau145[[#This Row],[Type]]="Peupliers"),1.56,1.3)</f>
        <v>1.3</v>
      </c>
      <c r="I150" s="55">
        <v>145</v>
      </c>
      <c r="J150" s="33">
        <f t="shared" si="98"/>
        <v>0</v>
      </c>
      <c r="K150" s="33">
        <f t="shared" si="99"/>
        <v>0</v>
      </c>
      <c r="L150" s="33">
        <f t="shared" si="100"/>
        <v>0</v>
      </c>
      <c r="M150" s="33">
        <f t="shared" si="101"/>
        <v>0</v>
      </c>
      <c r="N150" s="33">
        <f t="shared" si="81"/>
        <v>0</v>
      </c>
      <c r="O150" s="34">
        <f t="shared" si="82"/>
        <v>0</v>
      </c>
      <c r="P150" s="55">
        <v>145</v>
      </c>
      <c r="Q150" s="33">
        <f t="shared" si="96"/>
        <v>0</v>
      </c>
      <c r="R150" s="33">
        <f t="shared" si="102"/>
        <v>0</v>
      </c>
      <c r="S150" s="33">
        <f t="shared" si="103"/>
        <v>0</v>
      </c>
      <c r="T150" s="33">
        <f t="shared" si="83"/>
        <v>0</v>
      </c>
      <c r="U150" s="33">
        <f t="shared" si="97"/>
        <v>0</v>
      </c>
      <c r="V150" s="33">
        <f t="shared" si="84"/>
        <v>0</v>
      </c>
      <c r="W150" s="33">
        <v>0</v>
      </c>
      <c r="X150" s="33">
        <f t="shared" si="85"/>
        <v>0</v>
      </c>
      <c r="Y150" s="38">
        <f t="shared" si="86"/>
        <v>0</v>
      </c>
      <c r="AA150" s="71">
        <v>145</v>
      </c>
      <c r="AB150" s="33">
        <f t="shared" si="87"/>
        <v>0</v>
      </c>
      <c r="AC150" s="304">
        <f t="shared" si="88"/>
        <v>0</v>
      </c>
      <c r="AD150" s="100">
        <f t="shared" si="89"/>
        <v>0</v>
      </c>
      <c r="AE150" s="100">
        <f t="shared" si="90"/>
        <v>0</v>
      </c>
      <c r="AF150" s="193">
        <f t="shared" si="73"/>
        <v>0</v>
      </c>
      <c r="AG150" s="193">
        <f t="shared" si="74"/>
        <v>0</v>
      </c>
      <c r="AH150" s="193">
        <f t="shared" si="75"/>
        <v>0</v>
      </c>
      <c r="AI150" s="198">
        <f t="shared" si="76"/>
        <v>0</v>
      </c>
      <c r="AK150" s="71">
        <v>145</v>
      </c>
      <c r="AL150" s="33">
        <f t="shared" si="91"/>
        <v>0</v>
      </c>
      <c r="AM150" s="33">
        <f t="shared" si="92"/>
        <v>0</v>
      </c>
      <c r="AN150" s="33">
        <f t="shared" si="93"/>
        <v>0</v>
      </c>
      <c r="AO150" s="33">
        <f t="shared" si="94"/>
        <v>0</v>
      </c>
      <c r="AP150" s="33">
        <f t="shared" si="95"/>
        <v>0</v>
      </c>
      <c r="AQ150" s="193">
        <f t="shared" si="77"/>
        <v>0</v>
      </c>
      <c r="AR150" s="193">
        <f t="shared" si="78"/>
        <v>0</v>
      </c>
      <c r="AS150" s="193">
        <f t="shared" si="79"/>
        <v>0</v>
      </c>
      <c r="AT150" s="193">
        <f t="shared" si="80"/>
        <v>0</v>
      </c>
      <c r="AU150" s="33"/>
      <c r="AV150" s="33"/>
      <c r="AW150" s="33"/>
      <c r="AX150" s="33"/>
      <c r="AY150" s="76"/>
    </row>
    <row r="151" spans="3:51">
      <c r="C151" s="165" t="s">
        <v>26</v>
      </c>
      <c r="D151" s="4">
        <v>0.6</v>
      </c>
      <c r="E151" s="187" t="s">
        <v>228</v>
      </c>
      <c r="F151" s="342">
        <f>IF(OR(Tableau145[[#This Row],[Type]]="Feuillus",Tableau145[[#This Row],[Type]]="Peupliers"),1.56,1.3)</f>
        <v>1.56</v>
      </c>
      <c r="I151" s="55">
        <v>146</v>
      </c>
      <c r="J151" s="33">
        <f t="shared" si="98"/>
        <v>0</v>
      </c>
      <c r="K151" s="33">
        <f t="shared" si="99"/>
        <v>0</v>
      </c>
      <c r="L151" s="33">
        <f t="shared" si="100"/>
        <v>0</v>
      </c>
      <c r="M151" s="33">
        <f t="shared" si="101"/>
        <v>0</v>
      </c>
      <c r="N151" s="33">
        <f t="shared" si="81"/>
        <v>0</v>
      </c>
      <c r="O151" s="34">
        <f t="shared" si="82"/>
        <v>0</v>
      </c>
      <c r="P151" s="55">
        <v>146</v>
      </c>
      <c r="Q151" s="33">
        <f t="shared" si="96"/>
        <v>0</v>
      </c>
      <c r="R151" s="33">
        <f t="shared" si="102"/>
        <v>0</v>
      </c>
      <c r="S151" s="33">
        <f t="shared" si="103"/>
        <v>0</v>
      </c>
      <c r="T151" s="33">
        <f t="shared" si="83"/>
        <v>0</v>
      </c>
      <c r="U151" s="33">
        <f t="shared" si="97"/>
        <v>0</v>
      </c>
      <c r="V151" s="33">
        <f t="shared" si="84"/>
        <v>0</v>
      </c>
      <c r="W151" s="33">
        <v>0</v>
      </c>
      <c r="X151" s="33">
        <f t="shared" si="85"/>
        <v>0</v>
      </c>
      <c r="Y151" s="38">
        <f t="shared" si="86"/>
        <v>0</v>
      </c>
      <c r="AA151" s="71">
        <v>146</v>
      </c>
      <c r="AB151" s="33">
        <f t="shared" si="87"/>
        <v>0</v>
      </c>
      <c r="AC151" s="304">
        <f t="shared" si="88"/>
        <v>0</v>
      </c>
      <c r="AD151" s="100">
        <f t="shared" si="89"/>
        <v>0</v>
      </c>
      <c r="AE151" s="100">
        <f t="shared" si="90"/>
        <v>0</v>
      </c>
      <c r="AF151" s="193">
        <f t="shared" si="73"/>
        <v>0</v>
      </c>
      <c r="AG151" s="193">
        <f t="shared" si="74"/>
        <v>0</v>
      </c>
      <c r="AH151" s="193">
        <f t="shared" si="75"/>
        <v>0</v>
      </c>
      <c r="AI151" s="198">
        <f t="shared" si="76"/>
        <v>0</v>
      </c>
      <c r="AK151" s="71">
        <v>146</v>
      </c>
      <c r="AL151" s="33">
        <f t="shared" si="91"/>
        <v>0</v>
      </c>
      <c r="AM151" s="33">
        <f t="shared" si="92"/>
        <v>0</v>
      </c>
      <c r="AN151" s="33">
        <f t="shared" si="93"/>
        <v>0</v>
      </c>
      <c r="AO151" s="33">
        <f t="shared" si="94"/>
        <v>0</v>
      </c>
      <c r="AP151" s="33">
        <f t="shared" si="95"/>
        <v>0</v>
      </c>
      <c r="AQ151" s="193">
        <f t="shared" si="77"/>
        <v>0</v>
      </c>
      <c r="AR151" s="193">
        <f t="shared" si="78"/>
        <v>0</v>
      </c>
      <c r="AS151" s="193">
        <f t="shared" si="79"/>
        <v>0</v>
      </c>
      <c r="AT151" s="193">
        <f t="shared" si="80"/>
        <v>0</v>
      </c>
      <c r="AU151" s="33"/>
      <c r="AV151" s="33"/>
      <c r="AW151" s="33"/>
      <c r="AX151" s="33"/>
      <c r="AY151" s="76"/>
    </row>
    <row r="152" spans="3:51">
      <c r="C152" s="165" t="s">
        <v>27</v>
      </c>
      <c r="D152" s="4">
        <v>0.43</v>
      </c>
      <c r="E152" s="187" t="s">
        <v>229</v>
      </c>
      <c r="F152" s="342">
        <f>IF(OR(Tableau145[[#This Row],[Type]]="Feuillus",Tableau145[[#This Row],[Type]]="Peupliers"),1.56,1.3)</f>
        <v>1.3</v>
      </c>
      <c r="I152" s="55">
        <v>147</v>
      </c>
      <c r="J152" s="33">
        <f t="shared" si="98"/>
        <v>0</v>
      </c>
      <c r="K152" s="33">
        <f t="shared" si="99"/>
        <v>0</v>
      </c>
      <c r="L152" s="33">
        <f t="shared" si="100"/>
        <v>0</v>
      </c>
      <c r="M152" s="33">
        <f t="shared" si="101"/>
        <v>0</v>
      </c>
      <c r="N152" s="33">
        <f t="shared" si="81"/>
        <v>0</v>
      </c>
      <c r="O152" s="34">
        <f t="shared" si="82"/>
        <v>0</v>
      </c>
      <c r="P152" s="55">
        <v>147</v>
      </c>
      <c r="Q152" s="33">
        <f t="shared" si="96"/>
        <v>0</v>
      </c>
      <c r="R152" s="33">
        <f t="shared" si="102"/>
        <v>0</v>
      </c>
      <c r="S152" s="33">
        <f t="shared" si="103"/>
        <v>0</v>
      </c>
      <c r="T152" s="33">
        <f t="shared" si="83"/>
        <v>0</v>
      </c>
      <c r="U152" s="33">
        <f t="shared" si="97"/>
        <v>0</v>
      </c>
      <c r="V152" s="33">
        <f t="shared" si="84"/>
        <v>0</v>
      </c>
      <c r="W152" s="33">
        <v>0</v>
      </c>
      <c r="X152" s="33">
        <f t="shared" si="85"/>
        <v>0</v>
      </c>
      <c r="Y152" s="38">
        <f t="shared" si="86"/>
        <v>0</v>
      </c>
      <c r="AA152" s="71">
        <v>147</v>
      </c>
      <c r="AB152" s="33">
        <f t="shared" si="87"/>
        <v>0</v>
      </c>
      <c r="AC152" s="304">
        <f t="shared" si="88"/>
        <v>0</v>
      </c>
      <c r="AD152" s="100">
        <f t="shared" si="89"/>
        <v>0</v>
      </c>
      <c r="AE152" s="100">
        <f t="shared" si="90"/>
        <v>0</v>
      </c>
      <c r="AF152" s="193">
        <f t="shared" si="73"/>
        <v>0</v>
      </c>
      <c r="AG152" s="193">
        <f t="shared" si="74"/>
        <v>0</v>
      </c>
      <c r="AH152" s="193">
        <f t="shared" si="75"/>
        <v>0</v>
      </c>
      <c r="AI152" s="198">
        <f t="shared" si="76"/>
        <v>0</v>
      </c>
      <c r="AK152" s="71">
        <v>147</v>
      </c>
      <c r="AL152" s="33">
        <f t="shared" si="91"/>
        <v>0</v>
      </c>
      <c r="AM152" s="33">
        <f t="shared" si="92"/>
        <v>0</v>
      </c>
      <c r="AN152" s="33">
        <f t="shared" si="93"/>
        <v>0</v>
      </c>
      <c r="AO152" s="33">
        <f t="shared" si="94"/>
        <v>0</v>
      </c>
      <c r="AP152" s="33">
        <f t="shared" si="95"/>
        <v>0</v>
      </c>
      <c r="AQ152" s="193">
        <f t="shared" si="77"/>
        <v>0</v>
      </c>
      <c r="AR152" s="193">
        <f t="shared" si="78"/>
        <v>0</v>
      </c>
      <c r="AS152" s="193">
        <f t="shared" si="79"/>
        <v>0</v>
      </c>
      <c r="AT152" s="193">
        <f t="shared" si="80"/>
        <v>0</v>
      </c>
      <c r="AU152" s="33"/>
      <c r="AV152" s="33"/>
      <c r="AW152" s="33"/>
      <c r="AX152" s="33"/>
      <c r="AY152" s="76"/>
    </row>
    <row r="153" spans="3:51">
      <c r="C153" s="165" t="s">
        <v>28</v>
      </c>
      <c r="D153" s="4">
        <v>0.37</v>
      </c>
      <c r="E153" s="187" t="s">
        <v>229</v>
      </c>
      <c r="F153" s="342">
        <f>IF(OR(Tableau145[[#This Row],[Type]]="Feuillus",Tableau145[[#This Row],[Type]]="Peupliers"),1.56,1.3)</f>
        <v>1.3</v>
      </c>
      <c r="I153" s="55">
        <v>148</v>
      </c>
      <c r="J153" s="33">
        <f t="shared" si="98"/>
        <v>0</v>
      </c>
      <c r="K153" s="33">
        <f t="shared" si="99"/>
        <v>0</v>
      </c>
      <c r="L153" s="33">
        <f t="shared" si="100"/>
        <v>0</v>
      </c>
      <c r="M153" s="33">
        <f t="shared" si="101"/>
        <v>0</v>
      </c>
      <c r="N153" s="33">
        <f t="shared" si="81"/>
        <v>0</v>
      </c>
      <c r="O153" s="34">
        <f t="shared" si="82"/>
        <v>0</v>
      </c>
      <c r="P153" s="55">
        <v>148</v>
      </c>
      <c r="Q153" s="33">
        <f t="shared" si="96"/>
        <v>0</v>
      </c>
      <c r="R153" s="33">
        <f t="shared" si="102"/>
        <v>0</v>
      </c>
      <c r="S153" s="33">
        <f t="shared" si="103"/>
        <v>0</v>
      </c>
      <c r="T153" s="33">
        <f t="shared" si="83"/>
        <v>0</v>
      </c>
      <c r="U153" s="33">
        <f t="shared" si="97"/>
        <v>0</v>
      </c>
      <c r="V153" s="33">
        <f t="shared" si="84"/>
        <v>0</v>
      </c>
      <c r="W153" s="33">
        <v>0</v>
      </c>
      <c r="X153" s="33">
        <f t="shared" si="85"/>
        <v>0</v>
      </c>
      <c r="Y153" s="38">
        <f t="shared" si="86"/>
        <v>0</v>
      </c>
      <c r="AA153" s="71">
        <v>148</v>
      </c>
      <c r="AB153" s="33">
        <f t="shared" si="87"/>
        <v>0</v>
      </c>
      <c r="AC153" s="304">
        <f t="shared" si="88"/>
        <v>0</v>
      </c>
      <c r="AD153" s="100">
        <f t="shared" si="89"/>
        <v>0</v>
      </c>
      <c r="AE153" s="100">
        <f t="shared" si="90"/>
        <v>0</v>
      </c>
      <c r="AF153" s="193">
        <f t="shared" si="73"/>
        <v>0</v>
      </c>
      <c r="AG153" s="193">
        <f t="shared" si="74"/>
        <v>0</v>
      </c>
      <c r="AH153" s="193">
        <f t="shared" si="75"/>
        <v>0</v>
      </c>
      <c r="AI153" s="198">
        <f t="shared" si="76"/>
        <v>0</v>
      </c>
      <c r="AK153" s="71">
        <v>148</v>
      </c>
      <c r="AL153" s="33">
        <f t="shared" si="91"/>
        <v>0</v>
      </c>
      <c r="AM153" s="33">
        <f t="shared" si="92"/>
        <v>0</v>
      </c>
      <c r="AN153" s="33">
        <f t="shared" si="93"/>
        <v>0</v>
      </c>
      <c r="AO153" s="33">
        <f t="shared" si="94"/>
        <v>0</v>
      </c>
      <c r="AP153" s="33">
        <f t="shared" si="95"/>
        <v>0</v>
      </c>
      <c r="AQ153" s="193">
        <f t="shared" si="77"/>
        <v>0</v>
      </c>
      <c r="AR153" s="193">
        <f t="shared" si="78"/>
        <v>0</v>
      </c>
      <c r="AS153" s="193">
        <f t="shared" si="79"/>
        <v>0</v>
      </c>
      <c r="AT153" s="193">
        <f t="shared" si="80"/>
        <v>0</v>
      </c>
      <c r="AU153" s="33"/>
      <c r="AV153" s="33"/>
      <c r="AW153" s="33"/>
      <c r="AX153" s="33"/>
      <c r="AY153" s="76"/>
    </row>
    <row r="154" spans="3:51">
      <c r="C154" s="165" t="s">
        <v>29</v>
      </c>
      <c r="D154" s="4">
        <v>0.36</v>
      </c>
      <c r="E154" s="187" t="s">
        <v>229</v>
      </c>
      <c r="F154" s="342">
        <f>IF(OR(Tableau145[[#This Row],[Type]]="Feuillus",Tableau145[[#This Row],[Type]]="Peupliers"),1.56,1.3)</f>
        <v>1.3</v>
      </c>
      <c r="I154" s="55">
        <v>149</v>
      </c>
      <c r="J154" s="33">
        <f t="shared" si="98"/>
        <v>0</v>
      </c>
      <c r="K154" s="33">
        <f t="shared" si="99"/>
        <v>0</v>
      </c>
      <c r="L154" s="33">
        <f t="shared" si="100"/>
        <v>0</v>
      </c>
      <c r="M154" s="33">
        <f t="shared" si="101"/>
        <v>0</v>
      </c>
      <c r="N154" s="33">
        <f t="shared" si="81"/>
        <v>0</v>
      </c>
      <c r="O154" s="34">
        <f t="shared" si="82"/>
        <v>0</v>
      </c>
      <c r="P154" s="55">
        <v>149</v>
      </c>
      <c r="Q154" s="33">
        <f t="shared" si="96"/>
        <v>0</v>
      </c>
      <c r="R154" s="33">
        <f t="shared" si="102"/>
        <v>0</v>
      </c>
      <c r="S154" s="33">
        <f t="shared" si="103"/>
        <v>0</v>
      </c>
      <c r="T154" s="33">
        <f t="shared" si="83"/>
        <v>0</v>
      </c>
      <c r="U154" s="33">
        <f t="shared" si="97"/>
        <v>0</v>
      </c>
      <c r="V154" s="33">
        <f t="shared" si="84"/>
        <v>0</v>
      </c>
      <c r="W154" s="33">
        <v>0</v>
      </c>
      <c r="X154" s="33">
        <f t="shared" si="85"/>
        <v>0</v>
      </c>
      <c r="Y154" s="38">
        <f t="shared" si="86"/>
        <v>0</v>
      </c>
      <c r="AA154" s="71">
        <v>149</v>
      </c>
      <c r="AB154" s="33">
        <f t="shared" si="87"/>
        <v>0</v>
      </c>
      <c r="AC154" s="304">
        <f t="shared" si="88"/>
        <v>0</v>
      </c>
      <c r="AD154" s="100">
        <f t="shared" si="89"/>
        <v>0</v>
      </c>
      <c r="AE154" s="100">
        <f t="shared" si="90"/>
        <v>0</v>
      </c>
      <c r="AF154" s="193">
        <f t="shared" si="73"/>
        <v>0</v>
      </c>
      <c r="AG154" s="193">
        <f t="shared" si="74"/>
        <v>0</v>
      </c>
      <c r="AH154" s="193">
        <f t="shared" si="75"/>
        <v>0</v>
      </c>
      <c r="AI154" s="198">
        <f t="shared" si="76"/>
        <v>0</v>
      </c>
      <c r="AK154" s="71">
        <v>149</v>
      </c>
      <c r="AL154" s="33">
        <f t="shared" si="91"/>
        <v>0</v>
      </c>
      <c r="AM154" s="33">
        <f t="shared" si="92"/>
        <v>0</v>
      </c>
      <c r="AN154" s="33">
        <f t="shared" si="93"/>
        <v>0</v>
      </c>
      <c r="AO154" s="33">
        <f t="shared" si="94"/>
        <v>0</v>
      </c>
      <c r="AP154" s="33">
        <f t="shared" si="95"/>
        <v>0</v>
      </c>
      <c r="AQ154" s="193">
        <f t="shared" si="77"/>
        <v>0</v>
      </c>
      <c r="AR154" s="193">
        <f t="shared" si="78"/>
        <v>0</v>
      </c>
      <c r="AS154" s="193">
        <f t="shared" si="79"/>
        <v>0</v>
      </c>
      <c r="AT154" s="193">
        <f t="shared" si="80"/>
        <v>0</v>
      </c>
      <c r="AU154" s="33"/>
      <c r="AV154" s="33"/>
      <c r="AW154" s="33"/>
      <c r="AX154" s="33"/>
      <c r="AY154" s="76"/>
    </row>
    <row r="155" spans="3:51">
      <c r="C155" s="165" t="s">
        <v>30</v>
      </c>
      <c r="D155" s="4">
        <v>0.51</v>
      </c>
      <c r="E155" s="187" t="s">
        <v>228</v>
      </c>
      <c r="F155" s="342">
        <f>IF(OR(Tableau145[[#This Row],[Type]]="Feuillus",Tableau145[[#This Row],[Type]]="Peupliers"),1.56,1.3)</f>
        <v>1.56</v>
      </c>
      <c r="I155" s="55">
        <v>150</v>
      </c>
      <c r="J155" s="33">
        <f t="shared" si="98"/>
        <v>0</v>
      </c>
      <c r="K155" s="33">
        <f t="shared" si="99"/>
        <v>0</v>
      </c>
      <c r="L155" s="33">
        <f t="shared" si="100"/>
        <v>0</v>
      </c>
      <c r="M155" s="33">
        <f t="shared" si="101"/>
        <v>0</v>
      </c>
      <c r="N155" s="33">
        <f t="shared" si="81"/>
        <v>0</v>
      </c>
      <c r="O155" s="34">
        <f t="shared" si="82"/>
        <v>0</v>
      </c>
      <c r="P155" s="55">
        <v>150</v>
      </c>
      <c r="Q155" s="33">
        <f t="shared" si="96"/>
        <v>0</v>
      </c>
      <c r="R155" s="33">
        <f t="shared" si="102"/>
        <v>0</v>
      </c>
      <c r="S155" s="33">
        <f t="shared" si="103"/>
        <v>0</v>
      </c>
      <c r="T155" s="33">
        <f t="shared" si="83"/>
        <v>0</v>
      </c>
      <c r="U155" s="33">
        <f t="shared" si="97"/>
        <v>0</v>
      </c>
      <c r="V155" s="33">
        <f t="shared" si="84"/>
        <v>0</v>
      </c>
      <c r="W155" s="33">
        <v>0</v>
      </c>
      <c r="X155" s="33">
        <f t="shared" si="85"/>
        <v>0</v>
      </c>
      <c r="Y155" s="38">
        <f t="shared" si="86"/>
        <v>0</v>
      </c>
      <c r="AA155" s="71">
        <v>150</v>
      </c>
      <c r="AB155" s="33">
        <f t="shared" si="87"/>
        <v>0</v>
      </c>
      <c r="AC155" s="304">
        <f t="shared" si="88"/>
        <v>0</v>
      </c>
      <c r="AD155" s="100">
        <f t="shared" si="89"/>
        <v>0</v>
      </c>
      <c r="AE155" s="100">
        <f t="shared" si="90"/>
        <v>0</v>
      </c>
      <c r="AF155" s="193">
        <f t="shared" ref="AF155:AF205" si="104">IF(OR(AA155&lt;=$F$18,AA155&lt;=30),EXP(-LN(2)/$D$104)*AF154+((1-EXP(-LN(2)/$D$104))/(LN(2)/$D$104))*$AB155*AC155*0.475*$F$19*44/12,)</f>
        <v>0</v>
      </c>
      <c r="AG155" s="193">
        <f t="shared" ref="AG155:AG205" si="105">IF(OR(AA155&lt;=$F$18,AA155&lt;=30),EXP(-LN(2)/$D$106)*AG154+((1-EXP(-LN(2)/$D$106))/(LN(2)/$D$106))*$AB155*AD155*0.475*$F$19*44/12,)</f>
        <v>0</v>
      </c>
      <c r="AH155" s="193">
        <f t="shared" ref="AH155:AH205" si="106">IF(OR(AA155&lt;=$F$18,AA155&lt;=30),EXP(-LN(2)/$D$105)*AH154+((1-EXP(-LN(2)/$D$105))/(LN(2)/$D$105))*$AB155*AE155*0.475*$F$19*44/12,)</f>
        <v>0</v>
      </c>
      <c r="AI155" s="198">
        <f t="shared" ref="AI155:AI205" si="107">IF(OR(AA155&lt;=$F$18,AA155&lt;=30),SUM(AF155:AH155),)</f>
        <v>0</v>
      </c>
      <c r="AK155" s="71">
        <v>150</v>
      </c>
      <c r="AL155" s="33">
        <f t="shared" si="91"/>
        <v>0</v>
      </c>
      <c r="AM155" s="33">
        <f t="shared" si="92"/>
        <v>0</v>
      </c>
      <c r="AN155" s="33">
        <f t="shared" si="93"/>
        <v>0</v>
      </c>
      <c r="AO155" s="33">
        <f t="shared" si="94"/>
        <v>0</v>
      </c>
      <c r="AP155" s="33">
        <f t="shared" si="95"/>
        <v>0</v>
      </c>
      <c r="AQ155" s="193">
        <f t="shared" si="77"/>
        <v>0</v>
      </c>
      <c r="AR155" s="193">
        <f t="shared" si="78"/>
        <v>0</v>
      </c>
      <c r="AS155" s="193">
        <f t="shared" si="79"/>
        <v>0</v>
      </c>
      <c r="AT155" s="193">
        <f t="shared" si="80"/>
        <v>0</v>
      </c>
      <c r="AU155" s="33"/>
      <c r="AV155" s="33"/>
      <c r="AW155" s="33"/>
      <c r="AX155" s="33"/>
      <c r="AY155" s="76"/>
    </row>
    <row r="156" spans="3:51">
      <c r="C156" s="165" t="s">
        <v>31</v>
      </c>
      <c r="D156" s="4">
        <v>0.56000000000000005</v>
      </c>
      <c r="E156" s="187" t="s">
        <v>228</v>
      </c>
      <c r="F156" s="342">
        <f>IF(OR(Tableau145[[#This Row],[Type]]="Feuillus",Tableau145[[#This Row],[Type]]="Peupliers"),1.56,1.3)</f>
        <v>1.56</v>
      </c>
      <c r="I156" s="55">
        <v>151</v>
      </c>
      <c r="J156" s="33">
        <f t="shared" si="98"/>
        <v>0</v>
      </c>
      <c r="K156" s="33">
        <f t="shared" si="99"/>
        <v>0</v>
      </c>
      <c r="L156" s="33">
        <f t="shared" si="100"/>
        <v>0</v>
      </c>
      <c r="M156" s="33">
        <f t="shared" si="101"/>
        <v>0</v>
      </c>
      <c r="N156" s="33">
        <f t="shared" si="81"/>
        <v>0</v>
      </c>
      <c r="O156" s="34">
        <f t="shared" si="82"/>
        <v>0</v>
      </c>
      <c r="P156" s="55">
        <v>151</v>
      </c>
      <c r="Q156" s="33">
        <f t="shared" si="96"/>
        <v>0</v>
      </c>
      <c r="R156" s="33">
        <f t="shared" si="102"/>
        <v>0</v>
      </c>
      <c r="S156" s="33">
        <f t="shared" si="103"/>
        <v>0</v>
      </c>
      <c r="T156" s="33">
        <f t="shared" si="83"/>
        <v>0</v>
      </c>
      <c r="U156" s="33">
        <f t="shared" si="97"/>
        <v>0</v>
      </c>
      <c r="V156" s="33">
        <f t="shared" si="84"/>
        <v>0</v>
      </c>
      <c r="W156" s="33">
        <v>0</v>
      </c>
      <c r="X156" s="33">
        <f t="shared" si="85"/>
        <v>0</v>
      </c>
      <c r="Y156" s="38">
        <f t="shared" si="86"/>
        <v>0</v>
      </c>
      <c r="AA156" s="71">
        <v>151</v>
      </c>
      <c r="AB156" s="33">
        <f t="shared" si="87"/>
        <v>0</v>
      </c>
      <c r="AC156" s="304">
        <f t="shared" si="88"/>
        <v>0</v>
      </c>
      <c r="AD156" s="100">
        <f t="shared" si="89"/>
        <v>0</v>
      </c>
      <c r="AE156" s="100">
        <f t="shared" si="90"/>
        <v>0</v>
      </c>
      <c r="AF156" s="193">
        <f t="shared" si="104"/>
        <v>0</v>
      </c>
      <c r="AG156" s="193">
        <f t="shared" si="105"/>
        <v>0</v>
      </c>
      <c r="AH156" s="193">
        <f t="shared" si="106"/>
        <v>0</v>
      </c>
      <c r="AI156" s="198">
        <f t="shared" si="107"/>
        <v>0</v>
      </c>
      <c r="AK156" s="71">
        <v>151</v>
      </c>
      <c r="AL156" s="33">
        <f t="shared" si="91"/>
        <v>0</v>
      </c>
      <c r="AM156" s="33">
        <f t="shared" si="92"/>
        <v>0</v>
      </c>
      <c r="AN156" s="33">
        <f t="shared" si="93"/>
        <v>0</v>
      </c>
      <c r="AO156" s="33">
        <f t="shared" si="94"/>
        <v>0</v>
      </c>
      <c r="AP156" s="33">
        <f t="shared" si="95"/>
        <v>0</v>
      </c>
      <c r="AQ156" s="193">
        <f t="shared" si="77"/>
        <v>0</v>
      </c>
      <c r="AR156" s="193">
        <f t="shared" si="78"/>
        <v>0</v>
      </c>
      <c r="AS156" s="193">
        <f t="shared" si="79"/>
        <v>0</v>
      </c>
      <c r="AT156" s="193">
        <f t="shared" si="80"/>
        <v>0</v>
      </c>
      <c r="AU156" s="33"/>
      <c r="AV156" s="33"/>
      <c r="AW156" s="33"/>
      <c r="AX156" s="33"/>
      <c r="AY156" s="76"/>
    </row>
    <row r="157" spans="3:51">
      <c r="C157" s="165" t="s">
        <v>32</v>
      </c>
      <c r="D157" s="4">
        <v>0.56000000000000005</v>
      </c>
      <c r="E157" s="187" t="s">
        <v>228</v>
      </c>
      <c r="F157" s="342">
        <f>IF(OR(Tableau145[[#This Row],[Type]]="Feuillus",Tableau145[[#This Row],[Type]]="Peupliers"),1.56,1.3)</f>
        <v>1.56</v>
      </c>
      <c r="I157" s="55">
        <v>152</v>
      </c>
      <c r="J157" s="33">
        <f t="shared" si="98"/>
        <v>0</v>
      </c>
      <c r="K157" s="33">
        <f t="shared" si="99"/>
        <v>0</v>
      </c>
      <c r="L157" s="33">
        <f t="shared" si="100"/>
        <v>0</v>
      </c>
      <c r="M157" s="33">
        <f t="shared" si="101"/>
        <v>0</v>
      </c>
      <c r="N157" s="33">
        <f t="shared" si="81"/>
        <v>0</v>
      </c>
      <c r="O157" s="34">
        <f t="shared" si="82"/>
        <v>0</v>
      </c>
      <c r="P157" s="55">
        <v>152</v>
      </c>
      <c r="Q157" s="33">
        <f t="shared" si="96"/>
        <v>0</v>
      </c>
      <c r="R157" s="33">
        <f t="shared" si="102"/>
        <v>0</v>
      </c>
      <c r="S157" s="33">
        <f t="shared" si="103"/>
        <v>0</v>
      </c>
      <c r="T157" s="33">
        <f t="shared" si="83"/>
        <v>0</v>
      </c>
      <c r="U157" s="33">
        <f t="shared" si="97"/>
        <v>0</v>
      </c>
      <c r="V157" s="33">
        <f t="shared" si="84"/>
        <v>0</v>
      </c>
      <c r="W157" s="33">
        <v>0</v>
      </c>
      <c r="X157" s="33">
        <f t="shared" si="85"/>
        <v>0</v>
      </c>
      <c r="Y157" s="38">
        <f t="shared" si="86"/>
        <v>0</v>
      </c>
      <c r="AA157" s="71">
        <v>152</v>
      </c>
      <c r="AB157" s="33">
        <f t="shared" si="87"/>
        <v>0</v>
      </c>
      <c r="AC157" s="304">
        <f t="shared" si="88"/>
        <v>0</v>
      </c>
      <c r="AD157" s="100">
        <f t="shared" si="89"/>
        <v>0</v>
      </c>
      <c r="AE157" s="100">
        <f t="shared" si="90"/>
        <v>0</v>
      </c>
      <c r="AF157" s="193">
        <f t="shared" si="104"/>
        <v>0</v>
      </c>
      <c r="AG157" s="193">
        <f t="shared" si="105"/>
        <v>0</v>
      </c>
      <c r="AH157" s="193">
        <f t="shared" si="106"/>
        <v>0</v>
      </c>
      <c r="AI157" s="198">
        <f t="shared" si="107"/>
        <v>0</v>
      </c>
      <c r="AK157" s="71">
        <v>152</v>
      </c>
      <c r="AL157" s="33">
        <f t="shared" si="91"/>
        <v>0</v>
      </c>
      <c r="AM157" s="33">
        <f t="shared" si="92"/>
        <v>0</v>
      </c>
      <c r="AN157" s="33">
        <f t="shared" si="93"/>
        <v>0</v>
      </c>
      <c r="AO157" s="33">
        <f t="shared" si="94"/>
        <v>0</v>
      </c>
      <c r="AP157" s="33">
        <f t="shared" si="95"/>
        <v>0</v>
      </c>
      <c r="AQ157" s="193">
        <f t="shared" si="77"/>
        <v>0</v>
      </c>
      <c r="AR157" s="193">
        <f t="shared" si="78"/>
        <v>0</v>
      </c>
      <c r="AS157" s="193">
        <f t="shared" si="79"/>
        <v>0</v>
      </c>
      <c r="AT157" s="193">
        <f t="shared" si="80"/>
        <v>0</v>
      </c>
      <c r="AU157" s="33"/>
      <c r="AV157" s="33"/>
      <c r="AW157" s="33"/>
      <c r="AX157" s="33"/>
      <c r="AY157" s="76"/>
    </row>
    <row r="158" spans="3:51">
      <c r="C158" s="165" t="s">
        <v>33</v>
      </c>
      <c r="D158" s="4">
        <v>0.48</v>
      </c>
      <c r="E158" s="187" t="s">
        <v>228</v>
      </c>
      <c r="F158" s="342">
        <f>IF(OR(Tableau145[[#This Row],[Type]]="Feuillus",Tableau145[[#This Row],[Type]]="Peupliers"),1.56,1.3)</f>
        <v>1.56</v>
      </c>
      <c r="I158" s="55">
        <v>153</v>
      </c>
      <c r="J158" s="33">
        <f t="shared" si="98"/>
        <v>0</v>
      </c>
      <c r="K158" s="33">
        <f t="shared" si="99"/>
        <v>0</v>
      </c>
      <c r="L158" s="33">
        <f t="shared" si="100"/>
        <v>0</v>
      </c>
      <c r="M158" s="33">
        <f t="shared" si="101"/>
        <v>0</v>
      </c>
      <c r="N158" s="33">
        <f t="shared" si="81"/>
        <v>0</v>
      </c>
      <c r="O158" s="34">
        <f t="shared" si="82"/>
        <v>0</v>
      </c>
      <c r="P158" s="55">
        <v>153</v>
      </c>
      <c r="Q158" s="33">
        <f t="shared" si="96"/>
        <v>0</v>
      </c>
      <c r="R158" s="33">
        <f t="shared" si="102"/>
        <v>0</v>
      </c>
      <c r="S158" s="33">
        <f t="shared" si="103"/>
        <v>0</v>
      </c>
      <c r="T158" s="33">
        <f t="shared" si="83"/>
        <v>0</v>
      </c>
      <c r="U158" s="33">
        <f t="shared" si="97"/>
        <v>0</v>
      </c>
      <c r="V158" s="33">
        <f t="shared" si="84"/>
        <v>0</v>
      </c>
      <c r="W158" s="33">
        <v>0</v>
      </c>
      <c r="X158" s="33">
        <f t="shared" si="85"/>
        <v>0</v>
      </c>
      <c r="Y158" s="38">
        <f t="shared" si="86"/>
        <v>0</v>
      </c>
      <c r="AA158" s="71">
        <v>153</v>
      </c>
      <c r="AB158" s="33">
        <f t="shared" si="87"/>
        <v>0</v>
      </c>
      <c r="AC158" s="304">
        <f t="shared" si="88"/>
        <v>0</v>
      </c>
      <c r="AD158" s="100">
        <f t="shared" si="89"/>
        <v>0</v>
      </c>
      <c r="AE158" s="100">
        <f t="shared" si="90"/>
        <v>0</v>
      </c>
      <c r="AF158" s="193">
        <f t="shared" si="104"/>
        <v>0</v>
      </c>
      <c r="AG158" s="193">
        <f t="shared" si="105"/>
        <v>0</v>
      </c>
      <c r="AH158" s="193">
        <f t="shared" si="106"/>
        <v>0</v>
      </c>
      <c r="AI158" s="198">
        <f t="shared" si="107"/>
        <v>0</v>
      </c>
      <c r="AK158" s="71">
        <v>153</v>
      </c>
      <c r="AL158" s="33">
        <f t="shared" si="91"/>
        <v>0</v>
      </c>
      <c r="AM158" s="33">
        <f t="shared" si="92"/>
        <v>0</v>
      </c>
      <c r="AN158" s="33">
        <f t="shared" si="93"/>
        <v>0</v>
      </c>
      <c r="AO158" s="33">
        <f t="shared" si="94"/>
        <v>0</v>
      </c>
      <c r="AP158" s="33">
        <f t="shared" si="95"/>
        <v>0</v>
      </c>
      <c r="AQ158" s="193">
        <f t="shared" si="77"/>
        <v>0</v>
      </c>
      <c r="AR158" s="193">
        <f t="shared" si="78"/>
        <v>0</v>
      </c>
      <c r="AS158" s="193">
        <f t="shared" si="79"/>
        <v>0</v>
      </c>
      <c r="AT158" s="193">
        <f t="shared" si="80"/>
        <v>0</v>
      </c>
      <c r="AU158" s="33"/>
      <c r="AV158" s="33"/>
      <c r="AW158" s="33"/>
      <c r="AX158" s="33"/>
      <c r="AY158" s="76"/>
    </row>
    <row r="159" spans="3:51">
      <c r="C159" s="165" t="s">
        <v>34</v>
      </c>
      <c r="D159" s="4">
        <v>0.55000000000000004</v>
      </c>
      <c r="E159" s="187" t="s">
        <v>228</v>
      </c>
      <c r="F159" s="342">
        <f>IF(OR(Tableau145[[#This Row],[Type]]="Feuillus",Tableau145[[#This Row],[Type]]="Peupliers"),1.56,1.3)</f>
        <v>1.56</v>
      </c>
      <c r="I159" s="55">
        <v>154</v>
      </c>
      <c r="J159" s="33">
        <f t="shared" si="98"/>
        <v>0</v>
      </c>
      <c r="K159" s="33">
        <f t="shared" si="99"/>
        <v>0</v>
      </c>
      <c r="L159" s="33">
        <f t="shared" si="100"/>
        <v>0</v>
      </c>
      <c r="M159" s="33">
        <f t="shared" si="101"/>
        <v>0</v>
      </c>
      <c r="N159" s="33">
        <f t="shared" si="81"/>
        <v>0</v>
      </c>
      <c r="O159" s="34">
        <f t="shared" si="82"/>
        <v>0</v>
      </c>
      <c r="P159" s="55">
        <v>154</v>
      </c>
      <c r="Q159" s="33">
        <f t="shared" si="96"/>
        <v>0</v>
      </c>
      <c r="R159" s="33">
        <f t="shared" si="102"/>
        <v>0</v>
      </c>
      <c r="S159" s="33">
        <f t="shared" si="103"/>
        <v>0</v>
      </c>
      <c r="T159" s="33">
        <f t="shared" si="83"/>
        <v>0</v>
      </c>
      <c r="U159" s="33">
        <f t="shared" si="97"/>
        <v>0</v>
      </c>
      <c r="V159" s="33">
        <f t="shared" si="84"/>
        <v>0</v>
      </c>
      <c r="W159" s="33">
        <v>0</v>
      </c>
      <c r="X159" s="33">
        <f t="shared" si="85"/>
        <v>0</v>
      </c>
      <c r="Y159" s="38">
        <f t="shared" si="86"/>
        <v>0</v>
      </c>
      <c r="AA159" s="71">
        <v>154</v>
      </c>
      <c r="AB159" s="33">
        <f t="shared" si="87"/>
        <v>0</v>
      </c>
      <c r="AC159" s="304">
        <f t="shared" si="88"/>
        <v>0</v>
      </c>
      <c r="AD159" s="100">
        <f t="shared" si="89"/>
        <v>0</v>
      </c>
      <c r="AE159" s="100">
        <f t="shared" si="90"/>
        <v>0</v>
      </c>
      <c r="AF159" s="193">
        <f t="shared" si="104"/>
        <v>0</v>
      </c>
      <c r="AG159" s="193">
        <f t="shared" si="105"/>
        <v>0</v>
      </c>
      <c r="AH159" s="193">
        <f t="shared" si="106"/>
        <v>0</v>
      </c>
      <c r="AI159" s="198">
        <f t="shared" si="107"/>
        <v>0</v>
      </c>
      <c r="AK159" s="71">
        <v>154</v>
      </c>
      <c r="AL159" s="33">
        <f t="shared" si="91"/>
        <v>0</v>
      </c>
      <c r="AM159" s="33">
        <f t="shared" si="92"/>
        <v>0</v>
      </c>
      <c r="AN159" s="33">
        <f t="shared" si="93"/>
        <v>0</v>
      </c>
      <c r="AO159" s="33">
        <f t="shared" si="94"/>
        <v>0</v>
      </c>
      <c r="AP159" s="33">
        <f t="shared" si="95"/>
        <v>0</v>
      </c>
      <c r="AQ159" s="193">
        <f t="shared" si="77"/>
        <v>0</v>
      </c>
      <c r="AR159" s="193">
        <f t="shared" si="78"/>
        <v>0</v>
      </c>
      <c r="AS159" s="193">
        <f t="shared" si="79"/>
        <v>0</v>
      </c>
      <c r="AT159" s="193">
        <f t="shared" si="80"/>
        <v>0</v>
      </c>
      <c r="AU159" s="33"/>
      <c r="AV159" s="33"/>
      <c r="AW159" s="33"/>
      <c r="AX159" s="33"/>
      <c r="AY159" s="76"/>
    </row>
    <row r="160" spans="3:51">
      <c r="C160" s="165" t="s">
        <v>35</v>
      </c>
      <c r="D160" s="4">
        <v>0.56000000000000005</v>
      </c>
      <c r="E160" s="187" t="s">
        <v>228</v>
      </c>
      <c r="F160" s="342">
        <f>IF(OR(Tableau145[[#This Row],[Type]]="Feuillus",Tableau145[[#This Row],[Type]]="Peupliers"),1.56,1.3)</f>
        <v>1.56</v>
      </c>
      <c r="I160" s="55">
        <v>155</v>
      </c>
      <c r="J160" s="33">
        <f t="shared" si="98"/>
        <v>0</v>
      </c>
      <c r="K160" s="33">
        <f t="shared" si="99"/>
        <v>0</v>
      </c>
      <c r="L160" s="33">
        <f t="shared" si="100"/>
        <v>0</v>
      </c>
      <c r="M160" s="33">
        <f t="shared" si="101"/>
        <v>0</v>
      </c>
      <c r="N160" s="33">
        <f t="shared" si="81"/>
        <v>0</v>
      </c>
      <c r="O160" s="34">
        <f t="shared" si="82"/>
        <v>0</v>
      </c>
      <c r="P160" s="55">
        <v>155</v>
      </c>
      <c r="Q160" s="33">
        <f t="shared" si="96"/>
        <v>0</v>
      </c>
      <c r="R160" s="33">
        <f t="shared" si="102"/>
        <v>0</v>
      </c>
      <c r="S160" s="33">
        <f t="shared" si="103"/>
        <v>0</v>
      </c>
      <c r="T160" s="33">
        <f t="shared" si="83"/>
        <v>0</v>
      </c>
      <c r="U160" s="33">
        <f t="shared" si="97"/>
        <v>0</v>
      </c>
      <c r="V160" s="33">
        <f t="shared" si="84"/>
        <v>0</v>
      </c>
      <c r="W160" s="33">
        <v>0</v>
      </c>
      <c r="X160" s="33">
        <f t="shared" si="85"/>
        <v>0</v>
      </c>
      <c r="Y160" s="38">
        <f t="shared" si="86"/>
        <v>0</v>
      </c>
      <c r="AA160" s="71">
        <v>155</v>
      </c>
      <c r="AB160" s="33">
        <f t="shared" si="87"/>
        <v>0</v>
      </c>
      <c r="AC160" s="304">
        <f t="shared" si="88"/>
        <v>0</v>
      </c>
      <c r="AD160" s="100">
        <f t="shared" si="89"/>
        <v>0</v>
      </c>
      <c r="AE160" s="100">
        <f t="shared" si="90"/>
        <v>0</v>
      </c>
      <c r="AF160" s="193">
        <f t="shared" si="104"/>
        <v>0</v>
      </c>
      <c r="AG160" s="193">
        <f t="shared" si="105"/>
        <v>0</v>
      </c>
      <c r="AH160" s="193">
        <f t="shared" si="106"/>
        <v>0</v>
      </c>
      <c r="AI160" s="198">
        <f t="shared" si="107"/>
        <v>0</v>
      </c>
      <c r="AK160" s="71">
        <v>155</v>
      </c>
      <c r="AL160" s="33">
        <f t="shared" si="91"/>
        <v>0</v>
      </c>
      <c r="AM160" s="33">
        <f t="shared" si="92"/>
        <v>0</v>
      </c>
      <c r="AN160" s="33">
        <f t="shared" si="93"/>
        <v>0</v>
      </c>
      <c r="AO160" s="33">
        <f t="shared" si="94"/>
        <v>0</v>
      </c>
      <c r="AP160" s="33">
        <f t="shared" si="95"/>
        <v>0</v>
      </c>
      <c r="AQ160" s="193">
        <f t="shared" si="77"/>
        <v>0</v>
      </c>
      <c r="AR160" s="193">
        <f t="shared" si="78"/>
        <v>0</v>
      </c>
      <c r="AS160" s="193">
        <f t="shared" si="79"/>
        <v>0</v>
      </c>
      <c r="AT160" s="193">
        <f t="shared" si="80"/>
        <v>0</v>
      </c>
      <c r="AU160" s="33"/>
      <c r="AV160" s="33"/>
      <c r="AW160" s="33"/>
      <c r="AX160" s="33"/>
      <c r="AY160" s="76"/>
    </row>
    <row r="161" spans="3:51">
      <c r="C161" s="165" t="s">
        <v>36</v>
      </c>
      <c r="D161" s="4">
        <v>0.57999999999999996</v>
      </c>
      <c r="E161" s="187" t="s">
        <v>228</v>
      </c>
      <c r="F161" s="342">
        <f>IF(OR(Tableau145[[#This Row],[Type]]="Feuillus",Tableau145[[#This Row],[Type]]="Peupliers"),1.56,1.3)</f>
        <v>1.56</v>
      </c>
      <c r="I161" s="55">
        <v>156</v>
      </c>
      <c r="J161" s="33">
        <f t="shared" si="98"/>
        <v>0</v>
      </c>
      <c r="K161" s="33">
        <f t="shared" si="99"/>
        <v>0</v>
      </c>
      <c r="L161" s="33">
        <f t="shared" si="100"/>
        <v>0</v>
      </c>
      <c r="M161" s="33">
        <f t="shared" si="101"/>
        <v>0</v>
      </c>
      <c r="N161" s="33">
        <f t="shared" si="81"/>
        <v>0</v>
      </c>
      <c r="O161" s="34">
        <f t="shared" si="82"/>
        <v>0</v>
      </c>
      <c r="P161" s="55">
        <v>156</v>
      </c>
      <c r="Q161" s="33">
        <f t="shared" si="96"/>
        <v>0</v>
      </c>
      <c r="R161" s="33">
        <f t="shared" si="102"/>
        <v>0</v>
      </c>
      <c r="S161" s="33">
        <f t="shared" si="103"/>
        <v>0</v>
      </c>
      <c r="T161" s="33">
        <f t="shared" si="83"/>
        <v>0</v>
      </c>
      <c r="U161" s="33">
        <f t="shared" si="97"/>
        <v>0</v>
      </c>
      <c r="V161" s="33">
        <f t="shared" si="84"/>
        <v>0</v>
      </c>
      <c r="W161" s="33">
        <v>0</v>
      </c>
      <c r="X161" s="33">
        <f t="shared" si="85"/>
        <v>0</v>
      </c>
      <c r="Y161" s="38">
        <f t="shared" si="86"/>
        <v>0</v>
      </c>
      <c r="AA161" s="71">
        <v>156</v>
      </c>
      <c r="AB161" s="33">
        <f t="shared" si="87"/>
        <v>0</v>
      </c>
      <c r="AC161" s="304">
        <f t="shared" si="88"/>
        <v>0</v>
      </c>
      <c r="AD161" s="100">
        <f t="shared" si="89"/>
        <v>0</v>
      </c>
      <c r="AE161" s="100">
        <f t="shared" si="90"/>
        <v>0</v>
      </c>
      <c r="AF161" s="193">
        <f t="shared" si="104"/>
        <v>0</v>
      </c>
      <c r="AG161" s="193">
        <f t="shared" si="105"/>
        <v>0</v>
      </c>
      <c r="AH161" s="193">
        <f t="shared" si="106"/>
        <v>0</v>
      </c>
      <c r="AI161" s="198">
        <f t="shared" si="107"/>
        <v>0</v>
      </c>
      <c r="AK161" s="71">
        <v>156</v>
      </c>
      <c r="AL161" s="33">
        <f t="shared" si="91"/>
        <v>0</v>
      </c>
      <c r="AM161" s="33">
        <f t="shared" si="92"/>
        <v>0</v>
      </c>
      <c r="AN161" s="33">
        <f t="shared" si="93"/>
        <v>0</v>
      </c>
      <c r="AO161" s="33">
        <f t="shared" si="94"/>
        <v>0</v>
      </c>
      <c r="AP161" s="33">
        <f t="shared" si="95"/>
        <v>0</v>
      </c>
      <c r="AQ161" s="193">
        <f t="shared" si="77"/>
        <v>0</v>
      </c>
      <c r="AR161" s="193">
        <f t="shared" si="78"/>
        <v>0</v>
      </c>
      <c r="AS161" s="193">
        <f t="shared" si="79"/>
        <v>0</v>
      </c>
      <c r="AT161" s="193">
        <f t="shared" si="80"/>
        <v>0</v>
      </c>
      <c r="AU161" s="33"/>
      <c r="AV161" s="33"/>
      <c r="AW161" s="33"/>
      <c r="AX161" s="33"/>
      <c r="AY161" s="76"/>
    </row>
    <row r="162" spans="3:51">
      <c r="C162" s="165" t="s">
        <v>37</v>
      </c>
      <c r="D162" s="4">
        <v>0.57999999999999996</v>
      </c>
      <c r="E162" s="187" t="s">
        <v>229</v>
      </c>
      <c r="F162" s="342">
        <f>IF(OR(Tableau145[[#This Row],[Type]]="Feuillus",Tableau145[[#This Row],[Type]]="Peupliers"),1.56,1.3)</f>
        <v>1.3</v>
      </c>
      <c r="I162" s="55">
        <v>157</v>
      </c>
      <c r="J162" s="33">
        <f t="shared" si="98"/>
        <v>0</v>
      </c>
      <c r="K162" s="33">
        <f t="shared" si="99"/>
        <v>0</v>
      </c>
      <c r="L162" s="33">
        <f t="shared" si="100"/>
        <v>0</v>
      </c>
      <c r="M162" s="33">
        <f t="shared" si="101"/>
        <v>0</v>
      </c>
      <c r="N162" s="33">
        <f t="shared" si="81"/>
        <v>0</v>
      </c>
      <c r="O162" s="34">
        <f t="shared" si="82"/>
        <v>0</v>
      </c>
      <c r="P162" s="55">
        <v>157</v>
      </c>
      <c r="Q162" s="33">
        <f t="shared" si="96"/>
        <v>0</v>
      </c>
      <c r="R162" s="33">
        <f t="shared" si="102"/>
        <v>0</v>
      </c>
      <c r="S162" s="33">
        <f t="shared" si="103"/>
        <v>0</v>
      </c>
      <c r="T162" s="33">
        <f t="shared" si="83"/>
        <v>0</v>
      </c>
      <c r="U162" s="33">
        <f t="shared" si="97"/>
        <v>0</v>
      </c>
      <c r="V162" s="33">
        <f t="shared" si="84"/>
        <v>0</v>
      </c>
      <c r="W162" s="33">
        <v>0</v>
      </c>
      <c r="X162" s="33">
        <f t="shared" si="85"/>
        <v>0</v>
      </c>
      <c r="Y162" s="38">
        <f t="shared" si="86"/>
        <v>0</v>
      </c>
      <c r="AA162" s="71">
        <v>157</v>
      </c>
      <c r="AB162" s="33">
        <f t="shared" si="87"/>
        <v>0</v>
      </c>
      <c r="AC162" s="304">
        <f t="shared" si="88"/>
        <v>0</v>
      </c>
      <c r="AD162" s="100">
        <f t="shared" si="89"/>
        <v>0</v>
      </c>
      <c r="AE162" s="100">
        <f t="shared" si="90"/>
        <v>0</v>
      </c>
      <c r="AF162" s="193">
        <f t="shared" si="104"/>
        <v>0</v>
      </c>
      <c r="AG162" s="193">
        <f t="shared" si="105"/>
        <v>0</v>
      </c>
      <c r="AH162" s="193">
        <f t="shared" si="106"/>
        <v>0</v>
      </c>
      <c r="AI162" s="198">
        <f t="shared" si="107"/>
        <v>0</v>
      </c>
      <c r="AK162" s="71">
        <v>157</v>
      </c>
      <c r="AL162" s="33">
        <f t="shared" si="91"/>
        <v>0</v>
      </c>
      <c r="AM162" s="33">
        <f t="shared" si="92"/>
        <v>0</v>
      </c>
      <c r="AN162" s="33">
        <f t="shared" si="93"/>
        <v>0</v>
      </c>
      <c r="AO162" s="33">
        <f t="shared" si="94"/>
        <v>0</v>
      </c>
      <c r="AP162" s="33">
        <f t="shared" si="95"/>
        <v>0</v>
      </c>
      <c r="AQ162" s="193">
        <f t="shared" si="77"/>
        <v>0</v>
      </c>
      <c r="AR162" s="193">
        <f t="shared" si="78"/>
        <v>0</v>
      </c>
      <c r="AS162" s="193">
        <f t="shared" si="79"/>
        <v>0</v>
      </c>
      <c r="AT162" s="193">
        <f t="shared" si="80"/>
        <v>0</v>
      </c>
      <c r="AU162" s="33"/>
      <c r="AV162" s="33"/>
      <c r="AW162" s="33"/>
      <c r="AX162" s="33"/>
      <c r="AY162" s="76"/>
    </row>
    <row r="163" spans="3:51">
      <c r="C163" s="165" t="s">
        <v>38</v>
      </c>
      <c r="D163" s="4">
        <v>0.48</v>
      </c>
      <c r="E163" s="187" t="s">
        <v>229</v>
      </c>
      <c r="F163" s="342">
        <f>IF(OR(Tableau145[[#This Row],[Type]]="Feuillus",Tableau145[[#This Row],[Type]]="Peupliers"),1.56,1.3)</f>
        <v>1.3</v>
      </c>
      <c r="I163" s="55">
        <v>158</v>
      </c>
      <c r="J163" s="33">
        <f t="shared" si="98"/>
        <v>0</v>
      </c>
      <c r="K163" s="33">
        <f t="shared" si="99"/>
        <v>0</v>
      </c>
      <c r="L163" s="33">
        <f t="shared" si="100"/>
        <v>0</v>
      </c>
      <c r="M163" s="33">
        <f t="shared" si="101"/>
        <v>0</v>
      </c>
      <c r="N163" s="33">
        <f t="shared" si="81"/>
        <v>0</v>
      </c>
      <c r="O163" s="34">
        <f t="shared" si="82"/>
        <v>0</v>
      </c>
      <c r="P163" s="55">
        <v>158</v>
      </c>
      <c r="Q163" s="33">
        <f t="shared" si="96"/>
        <v>0</v>
      </c>
      <c r="R163" s="33">
        <f t="shared" si="102"/>
        <v>0</v>
      </c>
      <c r="S163" s="33">
        <f t="shared" si="103"/>
        <v>0</v>
      </c>
      <c r="T163" s="33">
        <f t="shared" si="83"/>
        <v>0</v>
      </c>
      <c r="U163" s="33">
        <f t="shared" si="97"/>
        <v>0</v>
      </c>
      <c r="V163" s="33">
        <f t="shared" si="84"/>
        <v>0</v>
      </c>
      <c r="W163" s="33">
        <v>0</v>
      </c>
      <c r="X163" s="33">
        <f t="shared" si="85"/>
        <v>0</v>
      </c>
      <c r="Y163" s="38">
        <f t="shared" si="86"/>
        <v>0</v>
      </c>
      <c r="AA163" s="71">
        <v>158</v>
      </c>
      <c r="AB163" s="33">
        <f t="shared" si="87"/>
        <v>0</v>
      </c>
      <c r="AC163" s="304">
        <f t="shared" si="88"/>
        <v>0</v>
      </c>
      <c r="AD163" s="100">
        <f t="shared" si="89"/>
        <v>0</v>
      </c>
      <c r="AE163" s="100">
        <f t="shared" si="90"/>
        <v>0</v>
      </c>
      <c r="AF163" s="193">
        <f t="shared" si="104"/>
        <v>0</v>
      </c>
      <c r="AG163" s="193">
        <f t="shared" si="105"/>
        <v>0</v>
      </c>
      <c r="AH163" s="193">
        <f t="shared" si="106"/>
        <v>0</v>
      </c>
      <c r="AI163" s="198">
        <f t="shared" si="107"/>
        <v>0</v>
      </c>
      <c r="AK163" s="71">
        <v>158</v>
      </c>
      <c r="AL163" s="33">
        <f t="shared" si="91"/>
        <v>0</v>
      </c>
      <c r="AM163" s="33">
        <f t="shared" si="92"/>
        <v>0</v>
      </c>
      <c r="AN163" s="33">
        <f t="shared" si="93"/>
        <v>0</v>
      </c>
      <c r="AO163" s="33">
        <f t="shared" si="94"/>
        <v>0</v>
      </c>
      <c r="AP163" s="33">
        <f t="shared" si="95"/>
        <v>0</v>
      </c>
      <c r="AQ163" s="193">
        <f t="shared" si="77"/>
        <v>0</v>
      </c>
      <c r="AR163" s="193">
        <f t="shared" si="78"/>
        <v>0</v>
      </c>
      <c r="AS163" s="193">
        <f t="shared" si="79"/>
        <v>0</v>
      </c>
      <c r="AT163" s="193">
        <f t="shared" si="80"/>
        <v>0</v>
      </c>
      <c r="AU163" s="33"/>
      <c r="AV163" s="33"/>
      <c r="AW163" s="33"/>
      <c r="AX163" s="33"/>
      <c r="AY163" s="76"/>
    </row>
    <row r="164" spans="3:51">
      <c r="C164" s="165" t="s">
        <v>39</v>
      </c>
      <c r="D164" s="4">
        <v>0.42</v>
      </c>
      <c r="E164" s="187" t="s">
        <v>229</v>
      </c>
      <c r="F164" s="342">
        <f>IF(OR(Tableau145[[#This Row],[Type]]="Feuillus",Tableau145[[#This Row],[Type]]="Peupliers"),1.56,1.3)</f>
        <v>1.3</v>
      </c>
      <c r="I164" s="55">
        <v>159</v>
      </c>
      <c r="J164" s="33">
        <f t="shared" si="98"/>
        <v>0</v>
      </c>
      <c r="K164" s="33">
        <f t="shared" si="99"/>
        <v>0</v>
      </c>
      <c r="L164" s="33">
        <f t="shared" si="100"/>
        <v>0</v>
      </c>
      <c r="M164" s="33">
        <f t="shared" si="101"/>
        <v>0</v>
      </c>
      <c r="N164" s="33">
        <f t="shared" si="81"/>
        <v>0</v>
      </c>
      <c r="O164" s="34">
        <f t="shared" si="82"/>
        <v>0</v>
      </c>
      <c r="P164" s="55">
        <v>159</v>
      </c>
      <c r="Q164" s="33">
        <f t="shared" si="96"/>
        <v>0</v>
      </c>
      <c r="R164" s="33">
        <f t="shared" si="102"/>
        <v>0</v>
      </c>
      <c r="S164" s="33">
        <f t="shared" si="103"/>
        <v>0</v>
      </c>
      <c r="T164" s="33">
        <f t="shared" si="83"/>
        <v>0</v>
      </c>
      <c r="U164" s="33">
        <f t="shared" si="97"/>
        <v>0</v>
      </c>
      <c r="V164" s="33">
        <f t="shared" si="84"/>
        <v>0</v>
      </c>
      <c r="W164" s="33">
        <v>0</v>
      </c>
      <c r="X164" s="33">
        <f t="shared" si="85"/>
        <v>0</v>
      </c>
      <c r="Y164" s="38">
        <f t="shared" si="86"/>
        <v>0</v>
      </c>
      <c r="AA164" s="71">
        <v>159</v>
      </c>
      <c r="AB164" s="33">
        <f t="shared" si="87"/>
        <v>0</v>
      </c>
      <c r="AC164" s="304">
        <f t="shared" si="88"/>
        <v>0</v>
      </c>
      <c r="AD164" s="100">
        <f t="shared" si="89"/>
        <v>0</v>
      </c>
      <c r="AE164" s="100">
        <f t="shared" si="90"/>
        <v>0</v>
      </c>
      <c r="AF164" s="193">
        <f t="shared" si="104"/>
        <v>0</v>
      </c>
      <c r="AG164" s="193">
        <f t="shared" si="105"/>
        <v>0</v>
      </c>
      <c r="AH164" s="193">
        <f t="shared" si="106"/>
        <v>0</v>
      </c>
      <c r="AI164" s="198">
        <f t="shared" si="107"/>
        <v>0</v>
      </c>
      <c r="AK164" s="71">
        <v>159</v>
      </c>
      <c r="AL164" s="33">
        <f t="shared" si="91"/>
        <v>0</v>
      </c>
      <c r="AM164" s="33">
        <f t="shared" si="92"/>
        <v>0</v>
      </c>
      <c r="AN164" s="33">
        <f t="shared" si="93"/>
        <v>0</v>
      </c>
      <c r="AO164" s="33">
        <f t="shared" si="94"/>
        <v>0</v>
      </c>
      <c r="AP164" s="33">
        <f t="shared" si="95"/>
        <v>0</v>
      </c>
      <c r="AQ164" s="193">
        <f t="shared" ref="AQ164:AQ205" si="108">IF($AK164&lt;=$F$18,$AL164*AM164,)</f>
        <v>0</v>
      </c>
      <c r="AR164" s="193">
        <f t="shared" ref="AR164:AR205" si="109">IF($AK164&lt;=$F$18,$AL164*AN164,)</f>
        <v>0</v>
      </c>
      <c r="AS164" s="193">
        <f t="shared" ref="AS164:AS205" si="110">IF($AK164&lt;=$F$18,$AL164*AO164,)</f>
        <v>0</v>
      </c>
      <c r="AT164" s="193">
        <f t="shared" ref="AT164:AT205" si="111">IF($AK164&lt;=$F$18,$AL164*AP164,)</f>
        <v>0</v>
      </c>
      <c r="AU164" s="33"/>
      <c r="AV164" s="33"/>
      <c r="AW164" s="33"/>
      <c r="AX164" s="33"/>
      <c r="AY164" s="76"/>
    </row>
    <row r="165" spans="3:51">
      <c r="C165" s="165" t="s">
        <v>40</v>
      </c>
      <c r="D165" s="4">
        <v>0.5</v>
      </c>
      <c r="E165" s="187" t="s">
        <v>228</v>
      </c>
      <c r="F165" s="342">
        <f>IF(OR(Tableau145[[#This Row],[Type]]="Feuillus",Tableau145[[#This Row],[Type]]="Peupliers"),1.56,1.3)</f>
        <v>1.56</v>
      </c>
      <c r="I165" s="55">
        <v>160</v>
      </c>
      <c r="J165" s="33">
        <f t="shared" si="98"/>
        <v>0</v>
      </c>
      <c r="K165" s="33">
        <f t="shared" si="99"/>
        <v>0</v>
      </c>
      <c r="L165" s="33">
        <f t="shared" si="100"/>
        <v>0</v>
      </c>
      <c r="M165" s="33">
        <f t="shared" si="101"/>
        <v>0</v>
      </c>
      <c r="N165" s="33">
        <f t="shared" si="81"/>
        <v>0</v>
      </c>
      <c r="O165" s="34">
        <f t="shared" si="82"/>
        <v>0</v>
      </c>
      <c r="P165" s="55">
        <v>160</v>
      </c>
      <c r="Q165" s="33">
        <f t="shared" si="96"/>
        <v>0</v>
      </c>
      <c r="R165" s="33">
        <f t="shared" si="102"/>
        <v>0</v>
      </c>
      <c r="S165" s="33">
        <f t="shared" si="103"/>
        <v>0</v>
      </c>
      <c r="T165" s="33">
        <f t="shared" si="83"/>
        <v>0</v>
      </c>
      <c r="U165" s="33">
        <f t="shared" si="97"/>
        <v>0</v>
      </c>
      <c r="V165" s="33">
        <f t="shared" si="84"/>
        <v>0</v>
      </c>
      <c r="W165" s="33">
        <v>0</v>
      </c>
      <c r="X165" s="33">
        <f t="shared" si="85"/>
        <v>0</v>
      </c>
      <c r="Y165" s="38">
        <f t="shared" si="86"/>
        <v>0</v>
      </c>
      <c r="AA165" s="71">
        <v>160</v>
      </c>
      <c r="AB165" s="33">
        <f t="shared" si="87"/>
        <v>0</v>
      </c>
      <c r="AC165" s="304">
        <f t="shared" si="88"/>
        <v>0</v>
      </c>
      <c r="AD165" s="100">
        <f t="shared" si="89"/>
        <v>0</v>
      </c>
      <c r="AE165" s="100">
        <f t="shared" si="90"/>
        <v>0</v>
      </c>
      <c r="AF165" s="193">
        <f t="shared" si="104"/>
        <v>0</v>
      </c>
      <c r="AG165" s="193">
        <f t="shared" si="105"/>
        <v>0</v>
      </c>
      <c r="AH165" s="193">
        <f t="shared" si="106"/>
        <v>0</v>
      </c>
      <c r="AI165" s="198">
        <f t="shared" si="107"/>
        <v>0</v>
      </c>
      <c r="AK165" s="71">
        <v>160</v>
      </c>
      <c r="AL165" s="33">
        <f t="shared" si="91"/>
        <v>0</v>
      </c>
      <c r="AM165" s="33">
        <f t="shared" si="92"/>
        <v>0</v>
      </c>
      <c r="AN165" s="33">
        <f t="shared" si="93"/>
        <v>0</v>
      </c>
      <c r="AO165" s="33">
        <f t="shared" si="94"/>
        <v>0</v>
      </c>
      <c r="AP165" s="33">
        <f t="shared" si="95"/>
        <v>0</v>
      </c>
      <c r="AQ165" s="193">
        <f t="shared" si="108"/>
        <v>0</v>
      </c>
      <c r="AR165" s="193">
        <f t="shared" si="109"/>
        <v>0</v>
      </c>
      <c r="AS165" s="193">
        <f t="shared" si="110"/>
        <v>0</v>
      </c>
      <c r="AT165" s="193">
        <f t="shared" si="111"/>
        <v>0</v>
      </c>
      <c r="AU165" s="33"/>
      <c r="AV165" s="33"/>
      <c r="AW165" s="33"/>
      <c r="AX165" s="33"/>
      <c r="AY165" s="76"/>
    </row>
    <row r="166" spans="3:51">
      <c r="C166" s="165" t="s">
        <v>41</v>
      </c>
      <c r="D166" s="4">
        <v>0.55000000000000004</v>
      </c>
      <c r="E166" s="187" t="s">
        <v>228</v>
      </c>
      <c r="F166" s="342">
        <f>IF(OR(Tableau145[[#This Row],[Type]]="Feuillus",Tableau145[[#This Row],[Type]]="Peupliers"),1.56,1.3)</f>
        <v>1.56</v>
      </c>
      <c r="I166" s="55">
        <v>161</v>
      </c>
      <c r="J166" s="33">
        <f t="shared" si="98"/>
        <v>0</v>
      </c>
      <c r="K166" s="33">
        <f t="shared" si="99"/>
        <v>0</v>
      </c>
      <c r="L166" s="33">
        <f t="shared" si="100"/>
        <v>0</v>
      </c>
      <c r="M166" s="33">
        <f t="shared" si="101"/>
        <v>0</v>
      </c>
      <c r="N166" s="33">
        <f t="shared" si="81"/>
        <v>0</v>
      </c>
      <c r="O166" s="34">
        <f t="shared" si="82"/>
        <v>0</v>
      </c>
      <c r="P166" s="55">
        <v>161</v>
      </c>
      <c r="Q166" s="33">
        <f t="shared" si="96"/>
        <v>0</v>
      </c>
      <c r="R166" s="33">
        <f t="shared" si="102"/>
        <v>0</v>
      </c>
      <c r="S166" s="33">
        <f t="shared" si="103"/>
        <v>0</v>
      </c>
      <c r="T166" s="33">
        <f t="shared" si="83"/>
        <v>0</v>
      </c>
      <c r="U166" s="33">
        <f t="shared" si="97"/>
        <v>0</v>
      </c>
      <c r="V166" s="33">
        <f t="shared" si="84"/>
        <v>0</v>
      </c>
      <c r="W166" s="33">
        <v>0</v>
      </c>
      <c r="X166" s="33">
        <f t="shared" si="85"/>
        <v>0</v>
      </c>
      <c r="Y166" s="38">
        <f t="shared" si="86"/>
        <v>0</v>
      </c>
      <c r="AA166" s="71">
        <v>161</v>
      </c>
      <c r="AB166" s="33">
        <f t="shared" si="87"/>
        <v>0</v>
      </c>
      <c r="AC166" s="304">
        <f t="shared" si="88"/>
        <v>0</v>
      </c>
      <c r="AD166" s="100">
        <f t="shared" si="89"/>
        <v>0</v>
      </c>
      <c r="AE166" s="100">
        <f t="shared" si="90"/>
        <v>0</v>
      </c>
      <c r="AF166" s="193">
        <f t="shared" si="104"/>
        <v>0</v>
      </c>
      <c r="AG166" s="193">
        <f t="shared" si="105"/>
        <v>0</v>
      </c>
      <c r="AH166" s="193">
        <f t="shared" si="106"/>
        <v>0</v>
      </c>
      <c r="AI166" s="198">
        <f t="shared" si="107"/>
        <v>0</v>
      </c>
      <c r="AK166" s="71">
        <v>161</v>
      </c>
      <c r="AL166" s="33">
        <f t="shared" si="91"/>
        <v>0</v>
      </c>
      <c r="AM166" s="33">
        <f t="shared" si="92"/>
        <v>0</v>
      </c>
      <c r="AN166" s="33">
        <f t="shared" si="93"/>
        <v>0</v>
      </c>
      <c r="AO166" s="33">
        <f t="shared" si="94"/>
        <v>0</v>
      </c>
      <c r="AP166" s="33">
        <f t="shared" si="95"/>
        <v>0</v>
      </c>
      <c r="AQ166" s="193">
        <f t="shared" si="108"/>
        <v>0</v>
      </c>
      <c r="AR166" s="193">
        <f t="shared" si="109"/>
        <v>0</v>
      </c>
      <c r="AS166" s="193">
        <f t="shared" si="110"/>
        <v>0</v>
      </c>
      <c r="AT166" s="193">
        <f t="shared" si="111"/>
        <v>0</v>
      </c>
      <c r="AU166" s="33"/>
      <c r="AV166" s="33"/>
      <c r="AW166" s="33"/>
      <c r="AX166" s="33"/>
      <c r="AY166" s="76"/>
    </row>
    <row r="167" spans="3:51">
      <c r="C167" s="165" t="s">
        <v>42</v>
      </c>
      <c r="D167" s="4">
        <v>0.53</v>
      </c>
      <c r="E167" s="187" t="s">
        <v>228</v>
      </c>
      <c r="F167" s="342">
        <f>IF(OR(Tableau145[[#This Row],[Type]]="Feuillus",Tableau145[[#This Row],[Type]]="Peupliers"),1.56,1.3)</f>
        <v>1.56</v>
      </c>
      <c r="I167" s="55">
        <v>162</v>
      </c>
      <c r="J167" s="33">
        <f t="shared" si="98"/>
        <v>0</v>
      </c>
      <c r="K167" s="33">
        <f t="shared" si="99"/>
        <v>0</v>
      </c>
      <c r="L167" s="33">
        <f t="shared" si="100"/>
        <v>0</v>
      </c>
      <c r="M167" s="33">
        <f t="shared" si="101"/>
        <v>0</v>
      </c>
      <c r="N167" s="33">
        <f t="shared" si="81"/>
        <v>0</v>
      </c>
      <c r="O167" s="34">
        <f t="shared" si="82"/>
        <v>0</v>
      </c>
      <c r="P167" s="55">
        <v>162</v>
      </c>
      <c r="Q167" s="33">
        <f t="shared" si="96"/>
        <v>0</v>
      </c>
      <c r="R167" s="33">
        <f t="shared" si="102"/>
        <v>0</v>
      </c>
      <c r="S167" s="33">
        <f t="shared" si="103"/>
        <v>0</v>
      </c>
      <c r="T167" s="33">
        <f t="shared" si="83"/>
        <v>0</v>
      </c>
      <c r="U167" s="33">
        <f t="shared" si="97"/>
        <v>0</v>
      </c>
      <c r="V167" s="33">
        <f t="shared" si="84"/>
        <v>0</v>
      </c>
      <c r="W167" s="33">
        <v>0</v>
      </c>
      <c r="X167" s="33">
        <f t="shared" si="85"/>
        <v>0</v>
      </c>
      <c r="Y167" s="38">
        <f t="shared" si="86"/>
        <v>0</v>
      </c>
      <c r="AA167" s="71">
        <v>162</v>
      </c>
      <c r="AB167" s="33">
        <f t="shared" si="87"/>
        <v>0</v>
      </c>
      <c r="AC167" s="304">
        <f t="shared" si="88"/>
        <v>0</v>
      </c>
      <c r="AD167" s="100">
        <f t="shared" si="89"/>
        <v>0</v>
      </c>
      <c r="AE167" s="100">
        <f t="shared" si="90"/>
        <v>0</v>
      </c>
      <c r="AF167" s="193">
        <f t="shared" si="104"/>
        <v>0</v>
      </c>
      <c r="AG167" s="193">
        <f t="shared" si="105"/>
        <v>0</v>
      </c>
      <c r="AH167" s="193">
        <f t="shared" si="106"/>
        <v>0</v>
      </c>
      <c r="AI167" s="198">
        <f t="shared" si="107"/>
        <v>0</v>
      </c>
      <c r="AK167" s="71">
        <v>162</v>
      </c>
      <c r="AL167" s="33">
        <f t="shared" si="91"/>
        <v>0</v>
      </c>
      <c r="AM167" s="33">
        <f t="shared" si="92"/>
        <v>0</v>
      </c>
      <c r="AN167" s="33">
        <f t="shared" si="93"/>
        <v>0</v>
      </c>
      <c r="AO167" s="33">
        <f t="shared" si="94"/>
        <v>0</v>
      </c>
      <c r="AP167" s="33">
        <f t="shared" si="95"/>
        <v>0</v>
      </c>
      <c r="AQ167" s="193">
        <f t="shared" si="108"/>
        <v>0</v>
      </c>
      <c r="AR167" s="193">
        <f t="shared" si="109"/>
        <v>0</v>
      </c>
      <c r="AS167" s="193">
        <f t="shared" si="110"/>
        <v>0</v>
      </c>
      <c r="AT167" s="193">
        <f t="shared" si="111"/>
        <v>0</v>
      </c>
      <c r="AU167" s="33"/>
      <c r="AV167" s="33"/>
      <c r="AW167" s="33"/>
      <c r="AX167" s="33"/>
      <c r="AY167" s="76"/>
    </row>
    <row r="168" spans="3:51">
      <c r="C168" s="165" t="s">
        <v>43</v>
      </c>
      <c r="D168" s="4">
        <v>0.52</v>
      </c>
      <c r="E168" s="187" t="s">
        <v>228</v>
      </c>
      <c r="F168" s="342">
        <f>IF(OR(Tableau145[[#This Row],[Type]]="Feuillus",Tableau145[[#This Row],[Type]]="Peupliers"),1.56,1.3)</f>
        <v>1.56</v>
      </c>
      <c r="I168" s="55">
        <v>163</v>
      </c>
      <c r="J168" s="33">
        <f t="shared" si="98"/>
        <v>0</v>
      </c>
      <c r="K168" s="33">
        <f t="shared" si="99"/>
        <v>0</v>
      </c>
      <c r="L168" s="33">
        <f t="shared" si="100"/>
        <v>0</v>
      </c>
      <c r="M168" s="33">
        <f t="shared" si="101"/>
        <v>0</v>
      </c>
      <c r="N168" s="33">
        <f t="shared" si="81"/>
        <v>0</v>
      </c>
      <c r="O168" s="34">
        <f t="shared" si="82"/>
        <v>0</v>
      </c>
      <c r="P168" s="55">
        <v>163</v>
      </c>
      <c r="Q168" s="33">
        <f t="shared" si="96"/>
        <v>0</v>
      </c>
      <c r="R168" s="33">
        <f t="shared" si="102"/>
        <v>0</v>
      </c>
      <c r="S168" s="33">
        <f t="shared" si="103"/>
        <v>0</v>
      </c>
      <c r="T168" s="33">
        <f t="shared" si="83"/>
        <v>0</v>
      </c>
      <c r="U168" s="33">
        <f t="shared" si="97"/>
        <v>0</v>
      </c>
      <c r="V168" s="33">
        <f t="shared" si="84"/>
        <v>0</v>
      </c>
      <c r="W168" s="33">
        <v>0</v>
      </c>
      <c r="X168" s="33">
        <f t="shared" si="85"/>
        <v>0</v>
      </c>
      <c r="Y168" s="38">
        <f t="shared" si="86"/>
        <v>0</v>
      </c>
      <c r="AA168" s="71">
        <v>163</v>
      </c>
      <c r="AB168" s="33">
        <f t="shared" si="87"/>
        <v>0</v>
      </c>
      <c r="AC168" s="304">
        <f t="shared" si="88"/>
        <v>0</v>
      </c>
      <c r="AD168" s="100">
        <f t="shared" si="89"/>
        <v>0</v>
      </c>
      <c r="AE168" s="100">
        <f t="shared" si="90"/>
        <v>0</v>
      </c>
      <c r="AF168" s="193">
        <f t="shared" si="104"/>
        <v>0</v>
      </c>
      <c r="AG168" s="193">
        <f t="shared" si="105"/>
        <v>0</v>
      </c>
      <c r="AH168" s="193">
        <f t="shared" si="106"/>
        <v>0</v>
      </c>
      <c r="AI168" s="198">
        <f t="shared" si="107"/>
        <v>0</v>
      </c>
      <c r="AK168" s="71">
        <v>163</v>
      </c>
      <c r="AL168" s="33">
        <f t="shared" si="91"/>
        <v>0</v>
      </c>
      <c r="AM168" s="33">
        <f t="shared" si="92"/>
        <v>0</v>
      </c>
      <c r="AN168" s="33">
        <f t="shared" si="93"/>
        <v>0</v>
      </c>
      <c r="AO168" s="33">
        <f t="shared" si="94"/>
        <v>0</v>
      </c>
      <c r="AP168" s="33">
        <f t="shared" si="95"/>
        <v>0</v>
      </c>
      <c r="AQ168" s="193">
        <f t="shared" si="108"/>
        <v>0</v>
      </c>
      <c r="AR168" s="193">
        <f t="shared" si="109"/>
        <v>0</v>
      </c>
      <c r="AS168" s="193">
        <f t="shared" si="110"/>
        <v>0</v>
      </c>
      <c r="AT168" s="193">
        <f t="shared" si="111"/>
        <v>0</v>
      </c>
      <c r="AU168" s="33"/>
      <c r="AV168" s="33"/>
      <c r="AW168" s="33"/>
      <c r="AX168" s="33"/>
      <c r="AY168" s="76"/>
    </row>
    <row r="169" spans="3:51">
      <c r="C169" s="165" t="s">
        <v>44</v>
      </c>
      <c r="D169" s="4">
        <v>0.52</v>
      </c>
      <c r="E169" s="187" t="s">
        <v>228</v>
      </c>
      <c r="F169" s="342">
        <f>IF(OR(Tableau145[[#This Row],[Type]]="Feuillus",Tableau145[[#This Row],[Type]]="Peupliers"),1.56,1.3)</f>
        <v>1.56</v>
      </c>
      <c r="I169" s="55">
        <v>164</v>
      </c>
      <c r="J169" s="33">
        <f t="shared" si="98"/>
        <v>0</v>
      </c>
      <c r="K169" s="33">
        <f t="shared" si="99"/>
        <v>0</v>
      </c>
      <c r="L169" s="33">
        <f t="shared" si="100"/>
        <v>0</v>
      </c>
      <c r="M169" s="33">
        <f t="shared" si="101"/>
        <v>0</v>
      </c>
      <c r="N169" s="33">
        <f t="shared" si="81"/>
        <v>0</v>
      </c>
      <c r="O169" s="34">
        <f t="shared" si="82"/>
        <v>0</v>
      </c>
      <c r="P169" s="55">
        <v>164</v>
      </c>
      <c r="Q169" s="33">
        <f t="shared" si="96"/>
        <v>0</v>
      </c>
      <c r="R169" s="33">
        <f t="shared" si="102"/>
        <v>0</v>
      </c>
      <c r="S169" s="33">
        <f t="shared" si="103"/>
        <v>0</v>
      </c>
      <c r="T169" s="33">
        <f t="shared" si="83"/>
        <v>0</v>
      </c>
      <c r="U169" s="33">
        <f t="shared" si="97"/>
        <v>0</v>
      </c>
      <c r="V169" s="33">
        <f t="shared" si="84"/>
        <v>0</v>
      </c>
      <c r="W169" s="33">
        <v>0</v>
      </c>
      <c r="X169" s="33">
        <f t="shared" si="85"/>
        <v>0</v>
      </c>
      <c r="Y169" s="38">
        <f t="shared" si="86"/>
        <v>0</v>
      </c>
      <c r="AA169" s="71">
        <v>164</v>
      </c>
      <c r="AB169" s="33">
        <f t="shared" si="87"/>
        <v>0</v>
      </c>
      <c r="AC169" s="304">
        <f t="shared" si="88"/>
        <v>0</v>
      </c>
      <c r="AD169" s="100">
        <f t="shared" si="89"/>
        <v>0</v>
      </c>
      <c r="AE169" s="100">
        <f t="shared" si="90"/>
        <v>0</v>
      </c>
      <c r="AF169" s="193">
        <f t="shared" si="104"/>
        <v>0</v>
      </c>
      <c r="AG169" s="193">
        <f t="shared" si="105"/>
        <v>0</v>
      </c>
      <c r="AH169" s="193">
        <f t="shared" si="106"/>
        <v>0</v>
      </c>
      <c r="AI169" s="198">
        <f t="shared" si="107"/>
        <v>0</v>
      </c>
      <c r="AK169" s="71">
        <v>164</v>
      </c>
      <c r="AL169" s="33">
        <f t="shared" si="91"/>
        <v>0</v>
      </c>
      <c r="AM169" s="33">
        <f t="shared" si="92"/>
        <v>0</v>
      </c>
      <c r="AN169" s="33">
        <f t="shared" si="93"/>
        <v>0</v>
      </c>
      <c r="AO169" s="33">
        <f t="shared" si="94"/>
        <v>0</v>
      </c>
      <c r="AP169" s="33">
        <f t="shared" si="95"/>
        <v>0</v>
      </c>
      <c r="AQ169" s="193">
        <f t="shared" si="108"/>
        <v>0</v>
      </c>
      <c r="AR169" s="193">
        <f t="shared" si="109"/>
        <v>0</v>
      </c>
      <c r="AS169" s="193">
        <f t="shared" si="110"/>
        <v>0</v>
      </c>
      <c r="AT169" s="193">
        <f t="shared" si="111"/>
        <v>0</v>
      </c>
      <c r="AU169" s="33"/>
      <c r="AV169" s="33"/>
      <c r="AW169" s="33"/>
      <c r="AX169" s="33"/>
      <c r="AY169" s="76"/>
    </row>
    <row r="170" spans="3:51">
      <c r="C170" s="165" t="s">
        <v>45</v>
      </c>
      <c r="D170" s="4">
        <v>0.75</v>
      </c>
      <c r="E170" s="187" t="s">
        <v>228</v>
      </c>
      <c r="F170" s="342">
        <f>IF(OR(Tableau145[[#This Row],[Type]]="Feuillus",Tableau145[[#This Row],[Type]]="Peupliers"),1.56,1.3)</f>
        <v>1.56</v>
      </c>
      <c r="I170" s="55">
        <v>165</v>
      </c>
      <c r="J170" s="33">
        <f t="shared" si="98"/>
        <v>0</v>
      </c>
      <c r="K170" s="33">
        <f t="shared" si="99"/>
        <v>0</v>
      </c>
      <c r="L170" s="33">
        <f t="shared" si="100"/>
        <v>0</v>
      </c>
      <c r="M170" s="33">
        <f t="shared" si="101"/>
        <v>0</v>
      </c>
      <c r="N170" s="33">
        <f t="shared" si="81"/>
        <v>0</v>
      </c>
      <c r="O170" s="34">
        <f t="shared" si="82"/>
        <v>0</v>
      </c>
      <c r="P170" s="55">
        <v>165</v>
      </c>
      <c r="Q170" s="33">
        <f t="shared" si="96"/>
        <v>0</v>
      </c>
      <c r="R170" s="33">
        <f t="shared" si="102"/>
        <v>0</v>
      </c>
      <c r="S170" s="33">
        <f t="shared" si="103"/>
        <v>0</v>
      </c>
      <c r="T170" s="33">
        <f t="shared" si="83"/>
        <v>0</v>
      </c>
      <c r="U170" s="33">
        <f t="shared" si="97"/>
        <v>0</v>
      </c>
      <c r="V170" s="33">
        <f t="shared" si="84"/>
        <v>0</v>
      </c>
      <c r="W170" s="33">
        <v>0</v>
      </c>
      <c r="X170" s="33">
        <f t="shared" si="85"/>
        <v>0</v>
      </c>
      <c r="Y170" s="38">
        <f t="shared" si="86"/>
        <v>0</v>
      </c>
      <c r="AA170" s="71">
        <v>165</v>
      </c>
      <c r="AB170" s="33">
        <f t="shared" si="87"/>
        <v>0</v>
      </c>
      <c r="AC170" s="304">
        <f t="shared" si="88"/>
        <v>0</v>
      </c>
      <c r="AD170" s="100">
        <f t="shared" si="89"/>
        <v>0</v>
      </c>
      <c r="AE170" s="100">
        <f t="shared" si="90"/>
        <v>0</v>
      </c>
      <c r="AF170" s="193">
        <f t="shared" si="104"/>
        <v>0</v>
      </c>
      <c r="AG170" s="193">
        <f t="shared" si="105"/>
        <v>0</v>
      </c>
      <c r="AH170" s="193">
        <f t="shared" si="106"/>
        <v>0</v>
      </c>
      <c r="AI170" s="198">
        <f t="shared" si="107"/>
        <v>0</v>
      </c>
      <c r="AK170" s="71">
        <v>165</v>
      </c>
      <c r="AL170" s="33">
        <f t="shared" si="91"/>
        <v>0</v>
      </c>
      <c r="AM170" s="33">
        <f t="shared" si="92"/>
        <v>0</v>
      </c>
      <c r="AN170" s="33">
        <f t="shared" si="93"/>
        <v>0</v>
      </c>
      <c r="AO170" s="33">
        <f t="shared" si="94"/>
        <v>0</v>
      </c>
      <c r="AP170" s="33">
        <f t="shared" si="95"/>
        <v>0</v>
      </c>
      <c r="AQ170" s="193">
        <f t="shared" si="108"/>
        <v>0</v>
      </c>
      <c r="AR170" s="193">
        <f t="shared" si="109"/>
        <v>0</v>
      </c>
      <c r="AS170" s="193">
        <f t="shared" si="110"/>
        <v>0</v>
      </c>
      <c r="AT170" s="193">
        <f t="shared" si="111"/>
        <v>0</v>
      </c>
      <c r="AU170" s="33"/>
      <c r="AV170" s="33"/>
      <c r="AW170" s="33"/>
      <c r="AX170" s="33"/>
      <c r="AY170" s="76"/>
    </row>
    <row r="171" spans="3:51">
      <c r="C171" s="165" t="s">
        <v>46</v>
      </c>
      <c r="D171" s="4">
        <v>0.52</v>
      </c>
      <c r="E171" s="187" t="s">
        <v>228</v>
      </c>
      <c r="F171" s="342">
        <f>IF(OR(Tableau145[[#This Row],[Type]]="Feuillus",Tableau145[[#This Row],[Type]]="Peupliers"),1.56,1.3)</f>
        <v>1.56</v>
      </c>
      <c r="I171" s="55">
        <v>166</v>
      </c>
      <c r="J171" s="33">
        <f t="shared" si="98"/>
        <v>0</v>
      </c>
      <c r="K171" s="33">
        <f t="shared" si="99"/>
        <v>0</v>
      </c>
      <c r="L171" s="33">
        <f t="shared" si="100"/>
        <v>0</v>
      </c>
      <c r="M171" s="33">
        <f t="shared" si="101"/>
        <v>0</v>
      </c>
      <c r="N171" s="33">
        <f t="shared" si="81"/>
        <v>0</v>
      </c>
      <c r="O171" s="34">
        <f t="shared" si="82"/>
        <v>0</v>
      </c>
      <c r="P171" s="55">
        <v>166</v>
      </c>
      <c r="Q171" s="33">
        <f t="shared" si="96"/>
        <v>0</v>
      </c>
      <c r="R171" s="33">
        <f t="shared" si="102"/>
        <v>0</v>
      </c>
      <c r="S171" s="33">
        <f t="shared" si="103"/>
        <v>0</v>
      </c>
      <c r="T171" s="33">
        <f t="shared" si="83"/>
        <v>0</v>
      </c>
      <c r="U171" s="33">
        <f t="shared" si="97"/>
        <v>0</v>
      </c>
      <c r="V171" s="33">
        <f t="shared" si="84"/>
        <v>0</v>
      </c>
      <c r="W171" s="33">
        <v>0</v>
      </c>
      <c r="X171" s="33">
        <f t="shared" si="85"/>
        <v>0</v>
      </c>
      <c r="Y171" s="38">
        <f t="shared" si="86"/>
        <v>0</v>
      </c>
      <c r="AA171" s="71">
        <v>166</v>
      </c>
      <c r="AB171" s="33">
        <f t="shared" si="87"/>
        <v>0</v>
      </c>
      <c r="AC171" s="304">
        <f t="shared" si="88"/>
        <v>0</v>
      </c>
      <c r="AD171" s="100">
        <f t="shared" si="89"/>
        <v>0</v>
      </c>
      <c r="AE171" s="100">
        <f t="shared" si="90"/>
        <v>0</v>
      </c>
      <c r="AF171" s="193">
        <f t="shared" si="104"/>
        <v>0</v>
      </c>
      <c r="AG171" s="193">
        <f t="shared" si="105"/>
        <v>0</v>
      </c>
      <c r="AH171" s="193">
        <f t="shared" si="106"/>
        <v>0</v>
      </c>
      <c r="AI171" s="198">
        <f t="shared" si="107"/>
        <v>0</v>
      </c>
      <c r="AK171" s="71">
        <v>166</v>
      </c>
      <c r="AL171" s="33">
        <f t="shared" si="91"/>
        <v>0</v>
      </c>
      <c r="AM171" s="33">
        <f t="shared" si="92"/>
        <v>0</v>
      </c>
      <c r="AN171" s="33">
        <f t="shared" si="93"/>
        <v>0</v>
      </c>
      <c r="AO171" s="33">
        <f t="shared" si="94"/>
        <v>0</v>
      </c>
      <c r="AP171" s="33">
        <f t="shared" si="95"/>
        <v>0</v>
      </c>
      <c r="AQ171" s="193">
        <f t="shared" si="108"/>
        <v>0</v>
      </c>
      <c r="AR171" s="193">
        <f t="shared" si="109"/>
        <v>0</v>
      </c>
      <c r="AS171" s="193">
        <f t="shared" si="110"/>
        <v>0</v>
      </c>
      <c r="AT171" s="193">
        <f t="shared" si="111"/>
        <v>0</v>
      </c>
      <c r="AU171" s="33"/>
      <c r="AV171" s="33"/>
      <c r="AW171" s="33"/>
      <c r="AX171" s="33"/>
      <c r="AY171" s="76"/>
    </row>
    <row r="172" spans="3:51">
      <c r="C172" s="165" t="s">
        <v>47</v>
      </c>
      <c r="D172" s="4">
        <v>0.35</v>
      </c>
      <c r="E172" s="187" t="s">
        <v>230</v>
      </c>
      <c r="F172" s="342">
        <f>IF(OR(Tableau145[[#This Row],[Type]]="Feuillus",Tableau145[[#This Row],[Type]]="Peupliers"),1.56,1.3)</f>
        <v>1.56</v>
      </c>
      <c r="I172" s="55">
        <v>167</v>
      </c>
      <c r="J172" s="33">
        <f t="shared" si="98"/>
        <v>0</v>
      </c>
      <c r="K172" s="33">
        <f t="shared" si="99"/>
        <v>0</v>
      </c>
      <c r="L172" s="33">
        <f t="shared" si="100"/>
        <v>0</v>
      </c>
      <c r="M172" s="33">
        <f t="shared" si="101"/>
        <v>0</v>
      </c>
      <c r="N172" s="33">
        <f t="shared" si="81"/>
        <v>0</v>
      </c>
      <c r="O172" s="34">
        <f t="shared" si="82"/>
        <v>0</v>
      </c>
      <c r="P172" s="55">
        <v>167</v>
      </c>
      <c r="Q172" s="33">
        <f t="shared" si="96"/>
        <v>0</v>
      </c>
      <c r="R172" s="33">
        <f t="shared" si="102"/>
        <v>0</v>
      </c>
      <c r="S172" s="33">
        <f t="shared" si="103"/>
        <v>0</v>
      </c>
      <c r="T172" s="33">
        <f t="shared" si="83"/>
        <v>0</v>
      </c>
      <c r="U172" s="33">
        <f t="shared" si="97"/>
        <v>0</v>
      </c>
      <c r="V172" s="33">
        <f t="shared" si="84"/>
        <v>0</v>
      </c>
      <c r="W172" s="33">
        <v>0</v>
      </c>
      <c r="X172" s="33">
        <f t="shared" si="85"/>
        <v>0</v>
      </c>
      <c r="Y172" s="38">
        <f t="shared" si="86"/>
        <v>0</v>
      </c>
      <c r="AA172" s="71">
        <v>167</v>
      </c>
      <c r="AB172" s="33">
        <f t="shared" si="87"/>
        <v>0</v>
      </c>
      <c r="AC172" s="304">
        <f t="shared" si="88"/>
        <v>0</v>
      </c>
      <c r="AD172" s="100">
        <f t="shared" si="89"/>
        <v>0</v>
      </c>
      <c r="AE172" s="100">
        <f t="shared" si="90"/>
        <v>0</v>
      </c>
      <c r="AF172" s="193">
        <f t="shared" si="104"/>
        <v>0</v>
      </c>
      <c r="AG172" s="193">
        <f t="shared" si="105"/>
        <v>0</v>
      </c>
      <c r="AH172" s="193">
        <f t="shared" si="106"/>
        <v>0</v>
      </c>
      <c r="AI172" s="198">
        <f t="shared" si="107"/>
        <v>0</v>
      </c>
      <c r="AK172" s="71">
        <v>167</v>
      </c>
      <c r="AL172" s="33">
        <f t="shared" si="91"/>
        <v>0</v>
      </c>
      <c r="AM172" s="33">
        <f t="shared" si="92"/>
        <v>0</v>
      </c>
      <c r="AN172" s="33">
        <f t="shared" si="93"/>
        <v>0</v>
      </c>
      <c r="AO172" s="33">
        <f t="shared" si="94"/>
        <v>0</v>
      </c>
      <c r="AP172" s="33">
        <f t="shared" si="95"/>
        <v>0</v>
      </c>
      <c r="AQ172" s="193">
        <f t="shared" si="108"/>
        <v>0</v>
      </c>
      <c r="AR172" s="193">
        <f t="shared" si="109"/>
        <v>0</v>
      </c>
      <c r="AS172" s="193">
        <f t="shared" si="110"/>
        <v>0</v>
      </c>
      <c r="AT172" s="193">
        <f t="shared" si="111"/>
        <v>0</v>
      </c>
      <c r="AU172" s="33"/>
      <c r="AV172" s="33"/>
      <c r="AW172" s="33"/>
      <c r="AX172" s="33"/>
      <c r="AY172" s="76"/>
    </row>
    <row r="173" spans="3:51">
      <c r="C173" s="165" t="s">
        <v>48</v>
      </c>
      <c r="D173" s="4">
        <v>0.37</v>
      </c>
      <c r="E173" s="187" t="s">
        <v>228</v>
      </c>
      <c r="F173" s="342">
        <f>IF(OR(Tableau145[[#This Row],[Type]]="Feuillus",Tableau145[[#This Row],[Type]]="Peupliers"),1.56,1.3)</f>
        <v>1.56</v>
      </c>
      <c r="I173" s="55">
        <v>168</v>
      </c>
      <c r="J173" s="33">
        <f t="shared" si="98"/>
        <v>0</v>
      </c>
      <c r="K173" s="33">
        <f t="shared" si="99"/>
        <v>0</v>
      </c>
      <c r="L173" s="33">
        <f t="shared" si="100"/>
        <v>0</v>
      </c>
      <c r="M173" s="33">
        <f t="shared" si="101"/>
        <v>0</v>
      </c>
      <c r="N173" s="33">
        <f t="shared" si="81"/>
        <v>0</v>
      </c>
      <c r="O173" s="34">
        <f t="shared" si="82"/>
        <v>0</v>
      </c>
      <c r="P173" s="55">
        <v>168</v>
      </c>
      <c r="Q173" s="33">
        <f t="shared" si="96"/>
        <v>0</v>
      </c>
      <c r="R173" s="33">
        <f t="shared" si="102"/>
        <v>0</v>
      </c>
      <c r="S173" s="33">
        <f t="shared" si="103"/>
        <v>0</v>
      </c>
      <c r="T173" s="33">
        <f t="shared" si="83"/>
        <v>0</v>
      </c>
      <c r="U173" s="33">
        <f t="shared" si="97"/>
        <v>0</v>
      </c>
      <c r="V173" s="33">
        <f t="shared" si="84"/>
        <v>0</v>
      </c>
      <c r="W173" s="33">
        <v>0</v>
      </c>
      <c r="X173" s="33">
        <f t="shared" si="85"/>
        <v>0</v>
      </c>
      <c r="Y173" s="38">
        <f t="shared" si="86"/>
        <v>0</v>
      </c>
      <c r="AA173" s="71">
        <v>168</v>
      </c>
      <c r="AB173" s="33">
        <f t="shared" si="87"/>
        <v>0</v>
      </c>
      <c r="AC173" s="304">
        <f t="shared" si="88"/>
        <v>0</v>
      </c>
      <c r="AD173" s="100">
        <f t="shared" si="89"/>
        <v>0</v>
      </c>
      <c r="AE173" s="100">
        <f t="shared" si="90"/>
        <v>0</v>
      </c>
      <c r="AF173" s="193">
        <f t="shared" si="104"/>
        <v>0</v>
      </c>
      <c r="AG173" s="193">
        <f t="shared" si="105"/>
        <v>0</v>
      </c>
      <c r="AH173" s="193">
        <f t="shared" si="106"/>
        <v>0</v>
      </c>
      <c r="AI173" s="198">
        <f t="shared" si="107"/>
        <v>0</v>
      </c>
      <c r="AK173" s="71">
        <v>168</v>
      </c>
      <c r="AL173" s="33">
        <f t="shared" si="91"/>
        <v>0</v>
      </c>
      <c r="AM173" s="33">
        <f t="shared" si="92"/>
        <v>0</v>
      </c>
      <c r="AN173" s="33">
        <f t="shared" si="93"/>
        <v>0</v>
      </c>
      <c r="AO173" s="33">
        <f t="shared" si="94"/>
        <v>0</v>
      </c>
      <c r="AP173" s="33">
        <f t="shared" si="95"/>
        <v>0</v>
      </c>
      <c r="AQ173" s="193">
        <f t="shared" si="108"/>
        <v>0</v>
      </c>
      <c r="AR173" s="193">
        <f t="shared" si="109"/>
        <v>0</v>
      </c>
      <c r="AS173" s="193">
        <f t="shared" si="110"/>
        <v>0</v>
      </c>
      <c r="AT173" s="193">
        <f t="shared" si="111"/>
        <v>0</v>
      </c>
      <c r="AU173" s="33"/>
      <c r="AV173" s="33"/>
      <c r="AW173" s="33"/>
      <c r="AX173" s="33"/>
      <c r="AY173" s="76"/>
    </row>
    <row r="174" spans="3:51">
      <c r="C174" s="165" t="s">
        <v>49</v>
      </c>
      <c r="D174" s="4">
        <v>0.45</v>
      </c>
      <c r="E174" s="187" t="s">
        <v>229</v>
      </c>
      <c r="F174" s="342">
        <f>IF(OR(Tableau145[[#This Row],[Type]]="Feuillus",Tableau145[[#This Row],[Type]]="Peupliers"),1.56,1.3)</f>
        <v>1.3</v>
      </c>
      <c r="I174" s="55">
        <v>169</v>
      </c>
      <c r="J174" s="33">
        <f t="shared" si="98"/>
        <v>0</v>
      </c>
      <c r="K174" s="33">
        <f t="shared" si="99"/>
        <v>0</v>
      </c>
      <c r="L174" s="33">
        <f t="shared" si="100"/>
        <v>0</v>
      </c>
      <c r="M174" s="33">
        <f t="shared" si="101"/>
        <v>0</v>
      </c>
      <c r="N174" s="33">
        <f t="shared" si="81"/>
        <v>0</v>
      </c>
      <c r="O174" s="34">
        <f t="shared" si="82"/>
        <v>0</v>
      </c>
      <c r="P174" s="55">
        <v>169</v>
      </c>
      <c r="Q174" s="33">
        <f t="shared" si="96"/>
        <v>0</v>
      </c>
      <c r="R174" s="33">
        <f t="shared" si="102"/>
        <v>0</v>
      </c>
      <c r="S174" s="33">
        <f t="shared" si="103"/>
        <v>0</v>
      </c>
      <c r="T174" s="33">
        <f t="shared" si="83"/>
        <v>0</v>
      </c>
      <c r="U174" s="33">
        <f t="shared" si="97"/>
        <v>0</v>
      </c>
      <c r="V174" s="33">
        <f t="shared" si="84"/>
        <v>0</v>
      </c>
      <c r="W174" s="33">
        <v>0</v>
      </c>
      <c r="X174" s="33">
        <f t="shared" si="85"/>
        <v>0</v>
      </c>
      <c r="Y174" s="38">
        <f t="shared" si="86"/>
        <v>0</v>
      </c>
      <c r="AA174" s="71">
        <v>169</v>
      </c>
      <c r="AB174" s="33">
        <f t="shared" si="87"/>
        <v>0</v>
      </c>
      <c r="AC174" s="304">
        <f t="shared" si="88"/>
        <v>0</v>
      </c>
      <c r="AD174" s="100">
        <f t="shared" si="89"/>
        <v>0</v>
      </c>
      <c r="AE174" s="100">
        <f t="shared" si="90"/>
        <v>0</v>
      </c>
      <c r="AF174" s="193">
        <f t="shared" si="104"/>
        <v>0</v>
      </c>
      <c r="AG174" s="193">
        <f t="shared" si="105"/>
        <v>0</v>
      </c>
      <c r="AH174" s="193">
        <f t="shared" si="106"/>
        <v>0</v>
      </c>
      <c r="AI174" s="198">
        <f t="shared" si="107"/>
        <v>0</v>
      </c>
      <c r="AK174" s="71">
        <v>169</v>
      </c>
      <c r="AL174" s="33">
        <f t="shared" si="91"/>
        <v>0</v>
      </c>
      <c r="AM174" s="33">
        <f t="shared" si="92"/>
        <v>0</v>
      </c>
      <c r="AN174" s="33">
        <f t="shared" si="93"/>
        <v>0</v>
      </c>
      <c r="AO174" s="33">
        <f t="shared" si="94"/>
        <v>0</v>
      </c>
      <c r="AP174" s="33">
        <f t="shared" si="95"/>
        <v>0</v>
      </c>
      <c r="AQ174" s="193">
        <f t="shared" si="108"/>
        <v>0</v>
      </c>
      <c r="AR174" s="193">
        <f t="shared" si="109"/>
        <v>0</v>
      </c>
      <c r="AS174" s="193">
        <f t="shared" si="110"/>
        <v>0</v>
      </c>
      <c r="AT174" s="193">
        <f t="shared" si="111"/>
        <v>0</v>
      </c>
      <c r="AU174" s="33"/>
      <c r="AV174" s="33"/>
      <c r="AW174" s="33"/>
      <c r="AX174" s="33"/>
      <c r="AY174" s="76"/>
    </row>
    <row r="175" spans="3:51">
      <c r="C175" s="165" t="s">
        <v>50</v>
      </c>
      <c r="D175" s="4">
        <v>0.39</v>
      </c>
      <c r="E175" s="187" t="s">
        <v>229</v>
      </c>
      <c r="F175" s="342">
        <f>IF(OR(Tableau145[[#This Row],[Type]]="Feuillus",Tableau145[[#This Row],[Type]]="Peupliers"),1.56,1.3)</f>
        <v>1.3</v>
      </c>
      <c r="I175" s="55">
        <v>170</v>
      </c>
      <c r="J175" s="33">
        <f t="shared" si="98"/>
        <v>0</v>
      </c>
      <c r="K175" s="33">
        <f t="shared" si="99"/>
        <v>0</v>
      </c>
      <c r="L175" s="33">
        <f t="shared" si="100"/>
        <v>0</v>
      </c>
      <c r="M175" s="33">
        <f t="shared" si="101"/>
        <v>0</v>
      </c>
      <c r="N175" s="33">
        <f t="shared" si="81"/>
        <v>0</v>
      </c>
      <c r="O175" s="34">
        <f t="shared" si="82"/>
        <v>0</v>
      </c>
      <c r="P175" s="55">
        <v>170</v>
      </c>
      <c r="Q175" s="33">
        <f t="shared" si="96"/>
        <v>0</v>
      </c>
      <c r="R175" s="33">
        <f t="shared" si="102"/>
        <v>0</v>
      </c>
      <c r="S175" s="33">
        <f t="shared" si="103"/>
        <v>0</v>
      </c>
      <c r="T175" s="33">
        <f t="shared" si="83"/>
        <v>0</v>
      </c>
      <c r="U175" s="33">
        <f t="shared" si="97"/>
        <v>0</v>
      </c>
      <c r="V175" s="33">
        <f t="shared" si="84"/>
        <v>0</v>
      </c>
      <c r="W175" s="33">
        <v>0</v>
      </c>
      <c r="X175" s="33">
        <f t="shared" si="85"/>
        <v>0</v>
      </c>
      <c r="Y175" s="38">
        <f t="shared" si="86"/>
        <v>0</v>
      </c>
      <c r="AA175" s="71">
        <v>170</v>
      </c>
      <c r="AB175" s="33">
        <f t="shared" si="87"/>
        <v>0</v>
      </c>
      <c r="AC175" s="304">
        <f t="shared" si="88"/>
        <v>0</v>
      </c>
      <c r="AD175" s="100">
        <f t="shared" si="89"/>
        <v>0</v>
      </c>
      <c r="AE175" s="100">
        <f t="shared" si="90"/>
        <v>0</v>
      </c>
      <c r="AF175" s="193">
        <f t="shared" si="104"/>
        <v>0</v>
      </c>
      <c r="AG175" s="193">
        <f t="shared" si="105"/>
        <v>0</v>
      </c>
      <c r="AH175" s="193">
        <f t="shared" si="106"/>
        <v>0</v>
      </c>
      <c r="AI175" s="198">
        <f t="shared" si="107"/>
        <v>0</v>
      </c>
      <c r="AK175" s="71">
        <v>170</v>
      </c>
      <c r="AL175" s="33">
        <f t="shared" si="91"/>
        <v>0</v>
      </c>
      <c r="AM175" s="33">
        <f t="shared" si="92"/>
        <v>0</v>
      </c>
      <c r="AN175" s="33">
        <f t="shared" si="93"/>
        <v>0</v>
      </c>
      <c r="AO175" s="33">
        <f t="shared" si="94"/>
        <v>0</v>
      </c>
      <c r="AP175" s="33">
        <f t="shared" si="95"/>
        <v>0</v>
      </c>
      <c r="AQ175" s="193">
        <f t="shared" si="108"/>
        <v>0</v>
      </c>
      <c r="AR175" s="193">
        <f t="shared" si="109"/>
        <v>0</v>
      </c>
      <c r="AS175" s="193">
        <f t="shared" si="110"/>
        <v>0</v>
      </c>
      <c r="AT175" s="193">
        <f t="shared" si="111"/>
        <v>0</v>
      </c>
      <c r="AU175" s="33"/>
      <c r="AV175" s="33"/>
      <c r="AW175" s="33"/>
      <c r="AX175" s="33"/>
      <c r="AY175" s="76"/>
    </row>
    <row r="176" spans="3:51">
      <c r="C176" s="165" t="s">
        <v>51</v>
      </c>
      <c r="D176" s="4">
        <v>0.44</v>
      </c>
      <c r="E176" s="187" t="s">
        <v>229</v>
      </c>
      <c r="F176" s="342">
        <f>IF(OR(Tableau145[[#This Row],[Type]]="Feuillus",Tableau145[[#This Row],[Type]]="Peupliers"),1.56,1.3)</f>
        <v>1.3</v>
      </c>
      <c r="I176" s="55">
        <v>171</v>
      </c>
      <c r="J176" s="33">
        <f t="shared" si="98"/>
        <v>0</v>
      </c>
      <c r="K176" s="33">
        <f t="shared" si="99"/>
        <v>0</v>
      </c>
      <c r="L176" s="33">
        <f t="shared" si="100"/>
        <v>0</v>
      </c>
      <c r="M176" s="33">
        <f t="shared" si="101"/>
        <v>0</v>
      </c>
      <c r="N176" s="33">
        <f t="shared" si="81"/>
        <v>0</v>
      </c>
      <c r="O176" s="34">
        <f t="shared" si="82"/>
        <v>0</v>
      </c>
      <c r="P176" s="55">
        <v>171</v>
      </c>
      <c r="Q176" s="33">
        <f t="shared" si="96"/>
        <v>0</v>
      </c>
      <c r="R176" s="33">
        <f t="shared" si="102"/>
        <v>0</v>
      </c>
      <c r="S176" s="33">
        <f t="shared" si="103"/>
        <v>0</v>
      </c>
      <c r="T176" s="33">
        <f t="shared" si="83"/>
        <v>0</v>
      </c>
      <c r="U176" s="33">
        <f t="shared" si="97"/>
        <v>0</v>
      </c>
      <c r="V176" s="33">
        <f t="shared" si="84"/>
        <v>0</v>
      </c>
      <c r="W176" s="33">
        <v>0</v>
      </c>
      <c r="X176" s="33">
        <f t="shared" si="85"/>
        <v>0</v>
      </c>
      <c r="Y176" s="38">
        <f t="shared" si="86"/>
        <v>0</v>
      </c>
      <c r="AA176" s="71">
        <v>171</v>
      </c>
      <c r="AB176" s="33">
        <f t="shared" si="87"/>
        <v>0</v>
      </c>
      <c r="AC176" s="304">
        <f t="shared" si="88"/>
        <v>0</v>
      </c>
      <c r="AD176" s="100">
        <f t="shared" si="89"/>
        <v>0</v>
      </c>
      <c r="AE176" s="100">
        <f t="shared" si="90"/>
        <v>0</v>
      </c>
      <c r="AF176" s="193">
        <f t="shared" si="104"/>
        <v>0</v>
      </c>
      <c r="AG176" s="193">
        <f t="shared" si="105"/>
        <v>0</v>
      </c>
      <c r="AH176" s="193">
        <f t="shared" si="106"/>
        <v>0</v>
      </c>
      <c r="AI176" s="198">
        <f t="shared" si="107"/>
        <v>0</v>
      </c>
      <c r="AK176" s="71">
        <v>171</v>
      </c>
      <c r="AL176" s="33">
        <f t="shared" si="91"/>
        <v>0</v>
      </c>
      <c r="AM176" s="33">
        <f t="shared" si="92"/>
        <v>0</v>
      </c>
      <c r="AN176" s="33">
        <f t="shared" si="93"/>
        <v>0</v>
      </c>
      <c r="AO176" s="33">
        <f t="shared" si="94"/>
        <v>0</v>
      </c>
      <c r="AP176" s="33">
        <f t="shared" si="95"/>
        <v>0</v>
      </c>
      <c r="AQ176" s="193">
        <f t="shared" si="108"/>
        <v>0</v>
      </c>
      <c r="AR176" s="193">
        <f t="shared" si="109"/>
        <v>0</v>
      </c>
      <c r="AS176" s="193">
        <f t="shared" si="110"/>
        <v>0</v>
      </c>
      <c r="AT176" s="193">
        <f t="shared" si="111"/>
        <v>0</v>
      </c>
      <c r="AU176" s="33"/>
      <c r="AV176" s="33"/>
      <c r="AW176" s="33"/>
      <c r="AX176" s="33"/>
      <c r="AY176" s="76"/>
    </row>
    <row r="177" spans="3:51">
      <c r="C177" s="165" t="s">
        <v>52</v>
      </c>
      <c r="D177" s="4">
        <v>0.46</v>
      </c>
      <c r="E177" s="187" t="s">
        <v>229</v>
      </c>
      <c r="F177" s="342">
        <f>IF(OR(Tableau145[[#This Row],[Type]]="Feuillus",Tableau145[[#This Row],[Type]]="Peupliers"),1.56,1.3)</f>
        <v>1.3</v>
      </c>
      <c r="I177" s="55">
        <v>172</v>
      </c>
      <c r="J177" s="33">
        <f t="shared" si="98"/>
        <v>0</v>
      </c>
      <c r="K177" s="33">
        <f t="shared" si="99"/>
        <v>0</v>
      </c>
      <c r="L177" s="33">
        <f t="shared" si="100"/>
        <v>0</v>
      </c>
      <c r="M177" s="33">
        <f t="shared" si="101"/>
        <v>0</v>
      </c>
      <c r="N177" s="33">
        <f t="shared" si="81"/>
        <v>0</v>
      </c>
      <c r="O177" s="34">
        <f t="shared" si="82"/>
        <v>0</v>
      </c>
      <c r="P177" s="55">
        <v>172</v>
      </c>
      <c r="Q177" s="33">
        <f t="shared" si="96"/>
        <v>0</v>
      </c>
      <c r="R177" s="33">
        <f t="shared" si="102"/>
        <v>0</v>
      </c>
      <c r="S177" s="33">
        <f t="shared" si="103"/>
        <v>0</v>
      </c>
      <c r="T177" s="33">
        <f t="shared" si="83"/>
        <v>0</v>
      </c>
      <c r="U177" s="33">
        <f t="shared" si="97"/>
        <v>0</v>
      </c>
      <c r="V177" s="33">
        <f t="shared" si="84"/>
        <v>0</v>
      </c>
      <c r="W177" s="33">
        <v>0</v>
      </c>
      <c r="X177" s="33">
        <f t="shared" si="85"/>
        <v>0</v>
      </c>
      <c r="Y177" s="38">
        <f t="shared" si="86"/>
        <v>0</v>
      </c>
      <c r="AA177" s="71">
        <v>172</v>
      </c>
      <c r="AB177" s="33">
        <f t="shared" si="87"/>
        <v>0</v>
      </c>
      <c r="AC177" s="304">
        <f t="shared" si="88"/>
        <v>0</v>
      </c>
      <c r="AD177" s="100">
        <f t="shared" si="89"/>
        <v>0</v>
      </c>
      <c r="AE177" s="100">
        <f t="shared" si="90"/>
        <v>0</v>
      </c>
      <c r="AF177" s="193">
        <f t="shared" si="104"/>
        <v>0</v>
      </c>
      <c r="AG177" s="193">
        <f t="shared" si="105"/>
        <v>0</v>
      </c>
      <c r="AH177" s="193">
        <f t="shared" si="106"/>
        <v>0</v>
      </c>
      <c r="AI177" s="198">
        <f t="shared" si="107"/>
        <v>0</v>
      </c>
      <c r="AK177" s="71">
        <v>172</v>
      </c>
      <c r="AL177" s="33">
        <f t="shared" si="91"/>
        <v>0</v>
      </c>
      <c r="AM177" s="33">
        <f t="shared" si="92"/>
        <v>0</v>
      </c>
      <c r="AN177" s="33">
        <f t="shared" si="93"/>
        <v>0</v>
      </c>
      <c r="AO177" s="33">
        <f t="shared" si="94"/>
        <v>0</v>
      </c>
      <c r="AP177" s="33">
        <f t="shared" si="95"/>
        <v>0</v>
      </c>
      <c r="AQ177" s="193">
        <f t="shared" si="108"/>
        <v>0</v>
      </c>
      <c r="AR177" s="193">
        <f t="shared" si="109"/>
        <v>0</v>
      </c>
      <c r="AS177" s="193">
        <f t="shared" si="110"/>
        <v>0</v>
      </c>
      <c r="AT177" s="193">
        <f t="shared" si="111"/>
        <v>0</v>
      </c>
      <c r="AU177" s="33"/>
      <c r="AV177" s="33"/>
      <c r="AW177" s="33"/>
      <c r="AX177" s="33"/>
      <c r="AY177" s="76"/>
    </row>
    <row r="178" spans="3:51" ht="30">
      <c r="C178" s="165" t="s">
        <v>53</v>
      </c>
      <c r="D178" s="4">
        <v>0.46</v>
      </c>
      <c r="E178" s="187" t="s">
        <v>231</v>
      </c>
      <c r="F178" s="342">
        <f>IF(OR(Tableau145[[#This Row],[Type]]="Feuillus",Tableau145[[#This Row],[Type]]="Peupliers"),1.56,1.3)</f>
        <v>1.3</v>
      </c>
      <c r="I178" s="55">
        <v>173</v>
      </c>
      <c r="J178" s="33">
        <f t="shared" si="98"/>
        <v>0</v>
      </c>
      <c r="K178" s="33">
        <f t="shared" si="99"/>
        <v>0</v>
      </c>
      <c r="L178" s="33">
        <f t="shared" si="100"/>
        <v>0</v>
      </c>
      <c r="M178" s="33">
        <f t="shared" si="101"/>
        <v>0</v>
      </c>
      <c r="N178" s="33">
        <f t="shared" si="81"/>
        <v>0</v>
      </c>
      <c r="O178" s="34">
        <f t="shared" si="82"/>
        <v>0</v>
      </c>
      <c r="P178" s="55">
        <v>173</v>
      </c>
      <c r="Q178" s="33">
        <f t="shared" si="96"/>
        <v>0</v>
      </c>
      <c r="R178" s="33">
        <f t="shared" si="102"/>
        <v>0</v>
      </c>
      <c r="S178" s="33">
        <f t="shared" si="103"/>
        <v>0</v>
      </c>
      <c r="T178" s="33">
        <f t="shared" si="83"/>
        <v>0</v>
      </c>
      <c r="U178" s="33">
        <f t="shared" si="97"/>
        <v>0</v>
      </c>
      <c r="V178" s="33">
        <f t="shared" si="84"/>
        <v>0</v>
      </c>
      <c r="W178" s="33">
        <v>0</v>
      </c>
      <c r="X178" s="33">
        <f t="shared" si="85"/>
        <v>0</v>
      </c>
      <c r="Y178" s="38">
        <f t="shared" si="86"/>
        <v>0</v>
      </c>
      <c r="AA178" s="71">
        <v>173</v>
      </c>
      <c r="AB178" s="33">
        <f t="shared" si="87"/>
        <v>0</v>
      </c>
      <c r="AC178" s="304">
        <f t="shared" si="88"/>
        <v>0</v>
      </c>
      <c r="AD178" s="100">
        <f t="shared" si="89"/>
        <v>0</v>
      </c>
      <c r="AE178" s="100">
        <f t="shared" si="90"/>
        <v>0</v>
      </c>
      <c r="AF178" s="193">
        <f t="shared" si="104"/>
        <v>0</v>
      </c>
      <c r="AG178" s="193">
        <f t="shared" si="105"/>
        <v>0</v>
      </c>
      <c r="AH178" s="193">
        <f t="shared" si="106"/>
        <v>0</v>
      </c>
      <c r="AI178" s="198">
        <f t="shared" si="107"/>
        <v>0</v>
      </c>
      <c r="AK178" s="71">
        <v>173</v>
      </c>
      <c r="AL178" s="33">
        <f t="shared" si="91"/>
        <v>0</v>
      </c>
      <c r="AM178" s="33">
        <f t="shared" si="92"/>
        <v>0</v>
      </c>
      <c r="AN178" s="33">
        <f t="shared" si="93"/>
        <v>0</v>
      </c>
      <c r="AO178" s="33">
        <f t="shared" si="94"/>
        <v>0</v>
      </c>
      <c r="AP178" s="33">
        <f t="shared" si="95"/>
        <v>0</v>
      </c>
      <c r="AQ178" s="193">
        <f t="shared" si="108"/>
        <v>0</v>
      </c>
      <c r="AR178" s="193">
        <f t="shared" si="109"/>
        <v>0</v>
      </c>
      <c r="AS178" s="193">
        <f t="shared" si="110"/>
        <v>0</v>
      </c>
      <c r="AT178" s="193">
        <f t="shared" si="111"/>
        <v>0</v>
      </c>
      <c r="AU178" s="33"/>
      <c r="AV178" s="33"/>
      <c r="AW178" s="33"/>
      <c r="AX178" s="33"/>
      <c r="AY178" s="76"/>
    </row>
    <row r="179" spans="3:51">
      <c r="C179" s="165" t="s">
        <v>54</v>
      </c>
      <c r="D179" s="4">
        <v>0.44</v>
      </c>
      <c r="E179" s="187" t="s">
        <v>229</v>
      </c>
      <c r="F179" s="342">
        <f>IF(OR(Tableau145[[#This Row],[Type]]="Feuillus",Tableau145[[#This Row],[Type]]="Peupliers"),1.56,1.3)</f>
        <v>1.3</v>
      </c>
      <c r="I179" s="55">
        <v>174</v>
      </c>
      <c r="J179" s="33">
        <f t="shared" si="98"/>
        <v>0</v>
      </c>
      <c r="K179" s="33">
        <f t="shared" si="99"/>
        <v>0</v>
      </c>
      <c r="L179" s="33">
        <f t="shared" si="100"/>
        <v>0</v>
      </c>
      <c r="M179" s="33">
        <f t="shared" si="101"/>
        <v>0</v>
      </c>
      <c r="N179" s="33">
        <f t="shared" si="81"/>
        <v>0</v>
      </c>
      <c r="O179" s="34">
        <f t="shared" si="82"/>
        <v>0</v>
      </c>
      <c r="P179" s="55">
        <v>174</v>
      </c>
      <c r="Q179" s="33">
        <f t="shared" si="96"/>
        <v>0</v>
      </c>
      <c r="R179" s="33">
        <f t="shared" si="102"/>
        <v>0</v>
      </c>
      <c r="S179" s="33">
        <f t="shared" si="103"/>
        <v>0</v>
      </c>
      <c r="T179" s="33">
        <f t="shared" si="83"/>
        <v>0</v>
      </c>
      <c r="U179" s="33">
        <f t="shared" si="97"/>
        <v>0</v>
      </c>
      <c r="V179" s="33">
        <f t="shared" si="84"/>
        <v>0</v>
      </c>
      <c r="W179" s="33">
        <v>0</v>
      </c>
      <c r="X179" s="33">
        <f t="shared" si="85"/>
        <v>0</v>
      </c>
      <c r="Y179" s="38">
        <f t="shared" si="86"/>
        <v>0</v>
      </c>
      <c r="AA179" s="71">
        <v>174</v>
      </c>
      <c r="AB179" s="33">
        <f t="shared" si="87"/>
        <v>0</v>
      </c>
      <c r="AC179" s="304">
        <f t="shared" si="88"/>
        <v>0</v>
      </c>
      <c r="AD179" s="100">
        <f t="shared" si="89"/>
        <v>0</v>
      </c>
      <c r="AE179" s="100">
        <f t="shared" si="90"/>
        <v>0</v>
      </c>
      <c r="AF179" s="193">
        <f t="shared" si="104"/>
        <v>0</v>
      </c>
      <c r="AG179" s="193">
        <f t="shared" si="105"/>
        <v>0</v>
      </c>
      <c r="AH179" s="193">
        <f t="shared" si="106"/>
        <v>0</v>
      </c>
      <c r="AI179" s="198">
        <f t="shared" si="107"/>
        <v>0</v>
      </c>
      <c r="AK179" s="71">
        <v>174</v>
      </c>
      <c r="AL179" s="33">
        <f t="shared" si="91"/>
        <v>0</v>
      </c>
      <c r="AM179" s="33">
        <f t="shared" si="92"/>
        <v>0</v>
      </c>
      <c r="AN179" s="33">
        <f t="shared" si="93"/>
        <v>0</v>
      </c>
      <c r="AO179" s="33">
        <f t="shared" si="94"/>
        <v>0</v>
      </c>
      <c r="AP179" s="33">
        <f t="shared" si="95"/>
        <v>0</v>
      </c>
      <c r="AQ179" s="193">
        <f t="shared" si="108"/>
        <v>0</v>
      </c>
      <c r="AR179" s="193">
        <f t="shared" si="109"/>
        <v>0</v>
      </c>
      <c r="AS179" s="193">
        <f t="shared" si="110"/>
        <v>0</v>
      </c>
      <c r="AT179" s="193">
        <f t="shared" si="111"/>
        <v>0</v>
      </c>
      <c r="AU179" s="33"/>
      <c r="AV179" s="33"/>
      <c r="AW179" s="33"/>
      <c r="AX179" s="33"/>
      <c r="AY179" s="76"/>
    </row>
    <row r="180" spans="3:51">
      <c r="C180" s="165" t="s">
        <v>55</v>
      </c>
      <c r="D180" s="4">
        <v>0.46</v>
      </c>
      <c r="E180" s="187" t="s">
        <v>229</v>
      </c>
      <c r="F180" s="342">
        <f>IF(OR(Tableau145[[#This Row],[Type]]="Feuillus",Tableau145[[#This Row],[Type]]="Peupliers"),1.56,1.3)</f>
        <v>1.3</v>
      </c>
      <c r="I180" s="55">
        <v>175</v>
      </c>
      <c r="J180" s="33">
        <f t="shared" si="98"/>
        <v>0</v>
      </c>
      <c r="K180" s="33">
        <f t="shared" si="99"/>
        <v>0</v>
      </c>
      <c r="L180" s="33">
        <f t="shared" si="100"/>
        <v>0</v>
      </c>
      <c r="M180" s="33">
        <f t="shared" si="101"/>
        <v>0</v>
      </c>
      <c r="N180" s="33">
        <f t="shared" si="81"/>
        <v>0</v>
      </c>
      <c r="O180" s="34">
        <f t="shared" si="82"/>
        <v>0</v>
      </c>
      <c r="P180" s="55">
        <v>175</v>
      </c>
      <c r="Q180" s="33">
        <f t="shared" si="96"/>
        <v>0</v>
      </c>
      <c r="R180" s="33">
        <f t="shared" si="102"/>
        <v>0</v>
      </c>
      <c r="S180" s="33">
        <f t="shared" si="103"/>
        <v>0</v>
      </c>
      <c r="T180" s="33">
        <f t="shared" si="83"/>
        <v>0</v>
      </c>
      <c r="U180" s="33">
        <f t="shared" si="97"/>
        <v>0</v>
      </c>
      <c r="V180" s="33">
        <f t="shared" si="84"/>
        <v>0</v>
      </c>
      <c r="W180" s="33">
        <v>0</v>
      </c>
      <c r="X180" s="33">
        <f t="shared" si="85"/>
        <v>0</v>
      </c>
      <c r="Y180" s="38">
        <f t="shared" si="86"/>
        <v>0</v>
      </c>
      <c r="AA180" s="71">
        <v>175</v>
      </c>
      <c r="AB180" s="33">
        <f t="shared" si="87"/>
        <v>0</v>
      </c>
      <c r="AC180" s="304">
        <f t="shared" si="88"/>
        <v>0</v>
      </c>
      <c r="AD180" s="100">
        <f t="shared" si="89"/>
        <v>0</v>
      </c>
      <c r="AE180" s="100">
        <f t="shared" si="90"/>
        <v>0</v>
      </c>
      <c r="AF180" s="193">
        <f t="shared" si="104"/>
        <v>0</v>
      </c>
      <c r="AG180" s="193">
        <f t="shared" si="105"/>
        <v>0</v>
      </c>
      <c r="AH180" s="193">
        <f t="shared" si="106"/>
        <v>0</v>
      </c>
      <c r="AI180" s="198">
        <f t="shared" si="107"/>
        <v>0</v>
      </c>
      <c r="AK180" s="71">
        <v>175</v>
      </c>
      <c r="AL180" s="33">
        <f t="shared" si="91"/>
        <v>0</v>
      </c>
      <c r="AM180" s="33">
        <f t="shared" si="92"/>
        <v>0</v>
      </c>
      <c r="AN180" s="33">
        <f t="shared" si="93"/>
        <v>0</v>
      </c>
      <c r="AO180" s="33">
        <f t="shared" si="94"/>
        <v>0</v>
      </c>
      <c r="AP180" s="33">
        <f t="shared" si="95"/>
        <v>0</v>
      </c>
      <c r="AQ180" s="193">
        <f t="shared" si="108"/>
        <v>0</v>
      </c>
      <c r="AR180" s="193">
        <f t="shared" si="109"/>
        <v>0</v>
      </c>
      <c r="AS180" s="193">
        <f t="shared" si="110"/>
        <v>0</v>
      </c>
      <c r="AT180" s="193">
        <f t="shared" si="111"/>
        <v>0</v>
      </c>
      <c r="AU180" s="33"/>
      <c r="AV180" s="33"/>
      <c r="AW180" s="33"/>
      <c r="AX180" s="33"/>
      <c r="AY180" s="76"/>
    </row>
    <row r="181" spans="3:51">
      <c r="C181" s="165" t="s">
        <v>56</v>
      </c>
      <c r="D181" s="4">
        <v>0.48</v>
      </c>
      <c r="E181" s="187" t="s">
        <v>229</v>
      </c>
      <c r="F181" s="342">
        <f>IF(OR(Tableau145[[#This Row],[Type]]="Feuillus",Tableau145[[#This Row],[Type]]="Peupliers"),1.56,1.3)</f>
        <v>1.3</v>
      </c>
      <c r="I181" s="55">
        <v>176</v>
      </c>
      <c r="J181" s="33">
        <f t="shared" si="98"/>
        <v>0</v>
      </c>
      <c r="K181" s="33">
        <f t="shared" si="99"/>
        <v>0</v>
      </c>
      <c r="L181" s="33">
        <f t="shared" si="100"/>
        <v>0</v>
      </c>
      <c r="M181" s="33">
        <f t="shared" si="101"/>
        <v>0</v>
      </c>
      <c r="N181" s="33">
        <f t="shared" si="81"/>
        <v>0</v>
      </c>
      <c r="O181" s="34">
        <f t="shared" si="82"/>
        <v>0</v>
      </c>
      <c r="P181" s="55">
        <v>176</v>
      </c>
      <c r="Q181" s="33">
        <f t="shared" si="96"/>
        <v>0</v>
      </c>
      <c r="R181" s="33">
        <f t="shared" si="102"/>
        <v>0</v>
      </c>
      <c r="S181" s="33">
        <f t="shared" si="103"/>
        <v>0</v>
      </c>
      <c r="T181" s="33">
        <f t="shared" si="83"/>
        <v>0</v>
      </c>
      <c r="U181" s="33">
        <f t="shared" si="97"/>
        <v>0</v>
      </c>
      <c r="V181" s="33">
        <f t="shared" si="84"/>
        <v>0</v>
      </c>
      <c r="W181" s="33">
        <v>0</v>
      </c>
      <c r="X181" s="33">
        <f t="shared" si="85"/>
        <v>0</v>
      </c>
      <c r="Y181" s="38">
        <f t="shared" si="86"/>
        <v>0</v>
      </c>
      <c r="AA181" s="71">
        <v>176</v>
      </c>
      <c r="AB181" s="33">
        <f t="shared" si="87"/>
        <v>0</v>
      </c>
      <c r="AC181" s="304">
        <f t="shared" si="88"/>
        <v>0</v>
      </c>
      <c r="AD181" s="100">
        <f t="shared" si="89"/>
        <v>0</v>
      </c>
      <c r="AE181" s="100">
        <f t="shared" si="90"/>
        <v>0</v>
      </c>
      <c r="AF181" s="193">
        <f t="shared" si="104"/>
        <v>0</v>
      </c>
      <c r="AG181" s="193">
        <f t="shared" si="105"/>
        <v>0</v>
      </c>
      <c r="AH181" s="193">
        <f t="shared" si="106"/>
        <v>0</v>
      </c>
      <c r="AI181" s="198">
        <f t="shared" si="107"/>
        <v>0</v>
      </c>
      <c r="AK181" s="71">
        <v>176</v>
      </c>
      <c r="AL181" s="33">
        <f t="shared" si="91"/>
        <v>0</v>
      </c>
      <c r="AM181" s="33">
        <f t="shared" si="92"/>
        <v>0</v>
      </c>
      <c r="AN181" s="33">
        <f t="shared" si="93"/>
        <v>0</v>
      </c>
      <c r="AO181" s="33">
        <f t="shared" si="94"/>
        <v>0</v>
      </c>
      <c r="AP181" s="33">
        <f t="shared" si="95"/>
        <v>0</v>
      </c>
      <c r="AQ181" s="193">
        <f t="shared" si="108"/>
        <v>0</v>
      </c>
      <c r="AR181" s="193">
        <f t="shared" si="109"/>
        <v>0</v>
      </c>
      <c r="AS181" s="193">
        <f t="shared" si="110"/>
        <v>0</v>
      </c>
      <c r="AT181" s="193">
        <f t="shared" si="111"/>
        <v>0</v>
      </c>
      <c r="AU181" s="33"/>
      <c r="AV181" s="33"/>
      <c r="AW181" s="33"/>
      <c r="AX181" s="33"/>
      <c r="AY181" s="76"/>
    </row>
    <row r="182" spans="3:51">
      <c r="C182" s="165" t="s">
        <v>57</v>
      </c>
      <c r="D182" s="4">
        <v>0.44</v>
      </c>
      <c r="E182" s="187" t="s">
        <v>229</v>
      </c>
      <c r="F182" s="342">
        <f>IF(OR(Tableau145[[#This Row],[Type]]="Feuillus",Tableau145[[#This Row],[Type]]="Peupliers"),1.56,1.3)</f>
        <v>1.3</v>
      </c>
      <c r="I182" s="55">
        <v>177</v>
      </c>
      <c r="J182" s="33">
        <f t="shared" si="98"/>
        <v>0</v>
      </c>
      <c r="K182" s="33">
        <f t="shared" si="99"/>
        <v>0</v>
      </c>
      <c r="L182" s="33">
        <f t="shared" si="100"/>
        <v>0</v>
      </c>
      <c r="M182" s="33">
        <f t="shared" si="101"/>
        <v>0</v>
      </c>
      <c r="N182" s="33">
        <f t="shared" si="81"/>
        <v>0</v>
      </c>
      <c r="O182" s="34">
        <f t="shared" si="82"/>
        <v>0</v>
      </c>
      <c r="P182" s="55">
        <v>177</v>
      </c>
      <c r="Q182" s="33">
        <f t="shared" si="96"/>
        <v>0</v>
      </c>
      <c r="R182" s="33">
        <f t="shared" si="102"/>
        <v>0</v>
      </c>
      <c r="S182" s="33">
        <f t="shared" si="103"/>
        <v>0</v>
      </c>
      <c r="T182" s="33">
        <f t="shared" si="83"/>
        <v>0</v>
      </c>
      <c r="U182" s="33">
        <f t="shared" si="97"/>
        <v>0</v>
      </c>
      <c r="V182" s="33">
        <f t="shared" si="84"/>
        <v>0</v>
      </c>
      <c r="W182" s="33">
        <v>0</v>
      </c>
      <c r="X182" s="33">
        <f t="shared" si="85"/>
        <v>0</v>
      </c>
      <c r="Y182" s="38">
        <f t="shared" si="86"/>
        <v>0</v>
      </c>
      <c r="AA182" s="71">
        <v>177</v>
      </c>
      <c r="AB182" s="33">
        <f t="shared" si="87"/>
        <v>0</v>
      </c>
      <c r="AC182" s="304">
        <f t="shared" si="88"/>
        <v>0</v>
      </c>
      <c r="AD182" s="100">
        <f t="shared" si="89"/>
        <v>0</v>
      </c>
      <c r="AE182" s="100">
        <f t="shared" si="90"/>
        <v>0</v>
      </c>
      <c r="AF182" s="193">
        <f t="shared" si="104"/>
        <v>0</v>
      </c>
      <c r="AG182" s="193">
        <f t="shared" si="105"/>
        <v>0</v>
      </c>
      <c r="AH182" s="193">
        <f t="shared" si="106"/>
        <v>0</v>
      </c>
      <c r="AI182" s="198">
        <f t="shared" si="107"/>
        <v>0</v>
      </c>
      <c r="AK182" s="71">
        <v>177</v>
      </c>
      <c r="AL182" s="33">
        <f t="shared" si="91"/>
        <v>0</v>
      </c>
      <c r="AM182" s="33">
        <f t="shared" si="92"/>
        <v>0</v>
      </c>
      <c r="AN182" s="33">
        <f t="shared" si="93"/>
        <v>0</v>
      </c>
      <c r="AO182" s="33">
        <f t="shared" si="94"/>
        <v>0</v>
      </c>
      <c r="AP182" s="33">
        <f t="shared" si="95"/>
        <v>0</v>
      </c>
      <c r="AQ182" s="193">
        <f t="shared" si="108"/>
        <v>0</v>
      </c>
      <c r="AR182" s="193">
        <f t="shared" si="109"/>
        <v>0</v>
      </c>
      <c r="AS182" s="193">
        <f t="shared" si="110"/>
        <v>0</v>
      </c>
      <c r="AT182" s="193">
        <f t="shared" si="111"/>
        <v>0</v>
      </c>
      <c r="AU182" s="33"/>
      <c r="AV182" s="33"/>
      <c r="AW182" s="33"/>
      <c r="AX182" s="33"/>
      <c r="AY182" s="76"/>
    </row>
    <row r="183" spans="3:51">
      <c r="C183" s="165" t="s">
        <v>58</v>
      </c>
      <c r="D183" s="4">
        <v>0.34</v>
      </c>
      <c r="E183" s="187" t="s">
        <v>229</v>
      </c>
      <c r="F183" s="342">
        <f>IF(OR(Tableau145[[#This Row],[Type]]="Feuillus",Tableau145[[#This Row],[Type]]="Peupliers"),1.56,1.3)</f>
        <v>1.3</v>
      </c>
      <c r="I183" s="55">
        <v>178</v>
      </c>
      <c r="J183" s="33">
        <f t="shared" si="98"/>
        <v>0</v>
      </c>
      <c r="K183" s="33">
        <f t="shared" si="99"/>
        <v>0</v>
      </c>
      <c r="L183" s="33">
        <f t="shared" si="100"/>
        <v>0</v>
      </c>
      <c r="M183" s="33">
        <f t="shared" si="101"/>
        <v>0</v>
      </c>
      <c r="N183" s="33">
        <f t="shared" si="81"/>
        <v>0</v>
      </c>
      <c r="O183" s="34">
        <f t="shared" si="82"/>
        <v>0</v>
      </c>
      <c r="P183" s="55">
        <v>178</v>
      </c>
      <c r="Q183" s="33">
        <f t="shared" si="96"/>
        <v>0</v>
      </c>
      <c r="R183" s="33">
        <f t="shared" si="102"/>
        <v>0</v>
      </c>
      <c r="S183" s="33">
        <f t="shared" si="103"/>
        <v>0</v>
      </c>
      <c r="T183" s="33">
        <f t="shared" si="83"/>
        <v>0</v>
      </c>
      <c r="U183" s="33">
        <f t="shared" si="97"/>
        <v>0</v>
      </c>
      <c r="V183" s="33">
        <f t="shared" si="84"/>
        <v>0</v>
      </c>
      <c r="W183" s="33">
        <v>0</v>
      </c>
      <c r="X183" s="33">
        <f t="shared" si="85"/>
        <v>0</v>
      </c>
      <c r="Y183" s="38">
        <f t="shared" si="86"/>
        <v>0</v>
      </c>
      <c r="AA183" s="71">
        <v>178</v>
      </c>
      <c r="AB183" s="33">
        <f t="shared" si="87"/>
        <v>0</v>
      </c>
      <c r="AC183" s="304">
        <f t="shared" si="88"/>
        <v>0</v>
      </c>
      <c r="AD183" s="100">
        <f t="shared" si="89"/>
        <v>0</v>
      </c>
      <c r="AE183" s="100">
        <f t="shared" si="90"/>
        <v>0</v>
      </c>
      <c r="AF183" s="193">
        <f t="shared" si="104"/>
        <v>0</v>
      </c>
      <c r="AG183" s="193">
        <f t="shared" si="105"/>
        <v>0</v>
      </c>
      <c r="AH183" s="193">
        <f t="shared" si="106"/>
        <v>0</v>
      </c>
      <c r="AI183" s="198">
        <f t="shared" si="107"/>
        <v>0</v>
      </c>
      <c r="AK183" s="71">
        <v>178</v>
      </c>
      <c r="AL183" s="33">
        <f t="shared" si="91"/>
        <v>0</v>
      </c>
      <c r="AM183" s="33">
        <f t="shared" si="92"/>
        <v>0</v>
      </c>
      <c r="AN183" s="33">
        <f t="shared" si="93"/>
        <v>0</v>
      </c>
      <c r="AO183" s="33">
        <f t="shared" si="94"/>
        <v>0</v>
      </c>
      <c r="AP183" s="33">
        <f t="shared" si="95"/>
        <v>0</v>
      </c>
      <c r="AQ183" s="193">
        <f t="shared" si="108"/>
        <v>0</v>
      </c>
      <c r="AR183" s="193">
        <f t="shared" si="109"/>
        <v>0</v>
      </c>
      <c r="AS183" s="193">
        <f t="shared" si="110"/>
        <v>0</v>
      </c>
      <c r="AT183" s="193">
        <f t="shared" si="111"/>
        <v>0</v>
      </c>
      <c r="AU183" s="33"/>
      <c r="AV183" s="33"/>
      <c r="AW183" s="33"/>
      <c r="AX183" s="33"/>
      <c r="AY183" s="76"/>
    </row>
    <row r="184" spans="3:51">
      <c r="C184" s="165" t="s">
        <v>59</v>
      </c>
      <c r="D184" s="4">
        <v>0.5</v>
      </c>
      <c r="E184" s="187" t="s">
        <v>228</v>
      </c>
      <c r="F184" s="342">
        <f>IF(OR(Tableau145[[#This Row],[Type]]="Feuillus",Tableau145[[#This Row],[Type]]="Peupliers"),1.56,1.3)</f>
        <v>1.56</v>
      </c>
      <c r="I184" s="55">
        <v>179</v>
      </c>
      <c r="J184" s="33">
        <f t="shared" si="98"/>
        <v>0</v>
      </c>
      <c r="K184" s="33">
        <f t="shared" si="99"/>
        <v>0</v>
      </c>
      <c r="L184" s="33">
        <f t="shared" si="100"/>
        <v>0</v>
      </c>
      <c r="M184" s="33">
        <f t="shared" si="101"/>
        <v>0</v>
      </c>
      <c r="N184" s="33">
        <f t="shared" si="81"/>
        <v>0</v>
      </c>
      <c r="O184" s="34">
        <f t="shared" si="82"/>
        <v>0</v>
      </c>
      <c r="P184" s="55">
        <v>179</v>
      </c>
      <c r="Q184" s="33">
        <f t="shared" si="96"/>
        <v>0</v>
      </c>
      <c r="R184" s="33">
        <f t="shared" si="102"/>
        <v>0</v>
      </c>
      <c r="S184" s="33">
        <f t="shared" si="103"/>
        <v>0</v>
      </c>
      <c r="T184" s="33">
        <f t="shared" si="83"/>
        <v>0</v>
      </c>
      <c r="U184" s="33">
        <f t="shared" si="97"/>
        <v>0</v>
      </c>
      <c r="V184" s="33">
        <f t="shared" si="84"/>
        <v>0</v>
      </c>
      <c r="W184" s="33">
        <v>0</v>
      </c>
      <c r="X184" s="33">
        <f t="shared" si="85"/>
        <v>0</v>
      </c>
      <c r="Y184" s="38">
        <f t="shared" si="86"/>
        <v>0</v>
      </c>
      <c r="AA184" s="71">
        <v>179</v>
      </c>
      <c r="AB184" s="33">
        <f t="shared" si="87"/>
        <v>0</v>
      </c>
      <c r="AC184" s="304">
        <f t="shared" si="88"/>
        <v>0</v>
      </c>
      <c r="AD184" s="100">
        <f t="shared" si="89"/>
        <v>0</v>
      </c>
      <c r="AE184" s="100">
        <f t="shared" si="90"/>
        <v>0</v>
      </c>
      <c r="AF184" s="193">
        <f t="shared" si="104"/>
        <v>0</v>
      </c>
      <c r="AG184" s="193">
        <f t="shared" si="105"/>
        <v>0</v>
      </c>
      <c r="AH184" s="193">
        <f t="shared" si="106"/>
        <v>0</v>
      </c>
      <c r="AI184" s="198">
        <f t="shared" si="107"/>
        <v>0</v>
      </c>
      <c r="AK184" s="71">
        <v>179</v>
      </c>
      <c r="AL184" s="33">
        <f t="shared" si="91"/>
        <v>0</v>
      </c>
      <c r="AM184" s="33">
        <f t="shared" si="92"/>
        <v>0</v>
      </c>
      <c r="AN184" s="33">
        <f t="shared" si="93"/>
        <v>0</v>
      </c>
      <c r="AO184" s="33">
        <f t="shared" si="94"/>
        <v>0</v>
      </c>
      <c r="AP184" s="33">
        <f t="shared" si="95"/>
        <v>0</v>
      </c>
      <c r="AQ184" s="193">
        <f t="shared" si="108"/>
        <v>0</v>
      </c>
      <c r="AR184" s="193">
        <f t="shared" si="109"/>
        <v>0</v>
      </c>
      <c r="AS184" s="193">
        <f t="shared" si="110"/>
        <v>0</v>
      </c>
      <c r="AT184" s="193">
        <f t="shared" si="111"/>
        <v>0</v>
      </c>
      <c r="AU184" s="33"/>
      <c r="AV184" s="33"/>
      <c r="AW184" s="33"/>
      <c r="AX184" s="33"/>
      <c r="AY184" s="76"/>
    </row>
    <row r="185" spans="3:51">
      <c r="C185" s="165" t="s">
        <v>60</v>
      </c>
      <c r="D185" s="4">
        <v>0.57999999999999996</v>
      </c>
      <c r="E185" s="187" t="s">
        <v>228</v>
      </c>
      <c r="F185" s="342">
        <f>IF(OR(Tableau145[[#This Row],[Type]]="Feuillus",Tableau145[[#This Row],[Type]]="Peupliers"),1.56,1.3)</f>
        <v>1.56</v>
      </c>
      <c r="I185" s="55">
        <v>180</v>
      </c>
      <c r="J185" s="33">
        <f t="shared" si="98"/>
        <v>0</v>
      </c>
      <c r="K185" s="33">
        <f t="shared" si="99"/>
        <v>0</v>
      </c>
      <c r="L185" s="33">
        <f t="shared" si="100"/>
        <v>0</v>
      </c>
      <c r="M185" s="33">
        <f t="shared" si="101"/>
        <v>0</v>
      </c>
      <c r="N185" s="33">
        <f t="shared" si="81"/>
        <v>0</v>
      </c>
      <c r="O185" s="34">
        <f t="shared" si="82"/>
        <v>0</v>
      </c>
      <c r="P185" s="55">
        <v>180</v>
      </c>
      <c r="Q185" s="33">
        <f t="shared" si="96"/>
        <v>0</v>
      </c>
      <c r="R185" s="33">
        <f t="shared" si="102"/>
        <v>0</v>
      </c>
      <c r="S185" s="33">
        <f t="shared" si="103"/>
        <v>0</v>
      </c>
      <c r="T185" s="33">
        <f t="shared" si="83"/>
        <v>0</v>
      </c>
      <c r="U185" s="33">
        <f t="shared" si="97"/>
        <v>0</v>
      </c>
      <c r="V185" s="33">
        <f t="shared" si="84"/>
        <v>0</v>
      </c>
      <c r="W185" s="33">
        <v>0</v>
      </c>
      <c r="X185" s="33">
        <f t="shared" si="85"/>
        <v>0</v>
      </c>
      <c r="Y185" s="38">
        <f t="shared" si="86"/>
        <v>0</v>
      </c>
      <c r="AA185" s="71">
        <v>180</v>
      </c>
      <c r="AB185" s="33">
        <f t="shared" si="87"/>
        <v>0</v>
      </c>
      <c r="AC185" s="304">
        <f t="shared" si="88"/>
        <v>0</v>
      </c>
      <c r="AD185" s="100">
        <f t="shared" si="89"/>
        <v>0</v>
      </c>
      <c r="AE185" s="100">
        <f t="shared" si="90"/>
        <v>0</v>
      </c>
      <c r="AF185" s="193">
        <f t="shared" si="104"/>
        <v>0</v>
      </c>
      <c r="AG185" s="193">
        <f t="shared" si="105"/>
        <v>0</v>
      </c>
      <c r="AH185" s="193">
        <f t="shared" si="106"/>
        <v>0</v>
      </c>
      <c r="AI185" s="198">
        <f t="shared" si="107"/>
        <v>0</v>
      </c>
      <c r="AK185" s="71">
        <v>180</v>
      </c>
      <c r="AL185" s="33">
        <f t="shared" si="91"/>
        <v>0</v>
      </c>
      <c r="AM185" s="33">
        <f t="shared" si="92"/>
        <v>0</v>
      </c>
      <c r="AN185" s="33">
        <f t="shared" si="93"/>
        <v>0</v>
      </c>
      <c r="AO185" s="33">
        <f t="shared" si="94"/>
        <v>0</v>
      </c>
      <c r="AP185" s="33">
        <f t="shared" si="95"/>
        <v>0</v>
      </c>
      <c r="AQ185" s="193">
        <f t="shared" si="108"/>
        <v>0</v>
      </c>
      <c r="AR185" s="193">
        <f t="shared" si="109"/>
        <v>0</v>
      </c>
      <c r="AS185" s="193">
        <f t="shared" si="110"/>
        <v>0</v>
      </c>
      <c r="AT185" s="193">
        <f t="shared" si="111"/>
        <v>0</v>
      </c>
      <c r="AU185" s="33"/>
      <c r="AV185" s="33"/>
      <c r="AW185" s="33"/>
      <c r="AX185" s="33"/>
      <c r="AY185" s="76"/>
    </row>
    <row r="186" spans="3:51">
      <c r="C186" s="165" t="s">
        <v>61</v>
      </c>
      <c r="D186" s="4">
        <v>0.37</v>
      </c>
      <c r="E186" s="187" t="s">
        <v>229</v>
      </c>
      <c r="F186" s="342">
        <f>IF(OR(Tableau145[[#This Row],[Type]]="Feuillus",Tableau145[[#This Row],[Type]]="Peupliers"),1.56,1.3)</f>
        <v>1.3</v>
      </c>
      <c r="I186" s="55">
        <v>181</v>
      </c>
      <c r="J186" s="33">
        <f t="shared" si="98"/>
        <v>0</v>
      </c>
      <c r="K186" s="33">
        <f t="shared" si="99"/>
        <v>0</v>
      </c>
      <c r="L186" s="33">
        <f t="shared" si="100"/>
        <v>0</v>
      </c>
      <c r="M186" s="33">
        <f t="shared" si="101"/>
        <v>0</v>
      </c>
      <c r="N186" s="33">
        <f t="shared" si="81"/>
        <v>0</v>
      </c>
      <c r="O186" s="34">
        <f t="shared" si="82"/>
        <v>0</v>
      </c>
      <c r="P186" s="55">
        <v>181</v>
      </c>
      <c r="Q186" s="33">
        <f t="shared" si="96"/>
        <v>0</v>
      </c>
      <c r="R186" s="33">
        <f t="shared" si="102"/>
        <v>0</v>
      </c>
      <c r="S186" s="33">
        <f t="shared" si="103"/>
        <v>0</v>
      </c>
      <c r="T186" s="33">
        <f t="shared" si="83"/>
        <v>0</v>
      </c>
      <c r="U186" s="33">
        <f t="shared" si="97"/>
        <v>0</v>
      </c>
      <c r="V186" s="33">
        <f t="shared" si="84"/>
        <v>0</v>
      </c>
      <c r="W186" s="33">
        <v>0</v>
      </c>
      <c r="X186" s="33">
        <f t="shared" si="85"/>
        <v>0</v>
      </c>
      <c r="Y186" s="38">
        <f t="shared" si="86"/>
        <v>0</v>
      </c>
      <c r="AA186" s="71">
        <v>181</v>
      </c>
      <c r="AB186" s="33">
        <f t="shared" si="87"/>
        <v>0</v>
      </c>
      <c r="AC186" s="304">
        <f t="shared" si="88"/>
        <v>0</v>
      </c>
      <c r="AD186" s="100">
        <f t="shared" si="89"/>
        <v>0</v>
      </c>
      <c r="AE186" s="100">
        <f t="shared" si="90"/>
        <v>0</v>
      </c>
      <c r="AF186" s="193">
        <f t="shared" si="104"/>
        <v>0</v>
      </c>
      <c r="AG186" s="193">
        <f t="shared" si="105"/>
        <v>0</v>
      </c>
      <c r="AH186" s="193">
        <f t="shared" si="106"/>
        <v>0</v>
      </c>
      <c r="AI186" s="198">
        <f t="shared" si="107"/>
        <v>0</v>
      </c>
      <c r="AK186" s="71">
        <v>181</v>
      </c>
      <c r="AL186" s="33">
        <f t="shared" si="91"/>
        <v>0</v>
      </c>
      <c r="AM186" s="33">
        <f t="shared" si="92"/>
        <v>0</v>
      </c>
      <c r="AN186" s="33">
        <f t="shared" si="93"/>
        <v>0</v>
      </c>
      <c r="AO186" s="33">
        <f t="shared" si="94"/>
        <v>0</v>
      </c>
      <c r="AP186" s="33">
        <f t="shared" si="95"/>
        <v>0</v>
      </c>
      <c r="AQ186" s="193">
        <f t="shared" si="108"/>
        <v>0</v>
      </c>
      <c r="AR186" s="193">
        <f t="shared" si="109"/>
        <v>0</v>
      </c>
      <c r="AS186" s="193">
        <f t="shared" si="110"/>
        <v>0</v>
      </c>
      <c r="AT186" s="193">
        <f t="shared" si="111"/>
        <v>0</v>
      </c>
      <c r="AU186" s="33"/>
      <c r="AV186" s="33"/>
      <c r="AW186" s="33"/>
      <c r="AX186" s="33"/>
      <c r="AY186" s="76"/>
    </row>
    <row r="187" spans="3:51">
      <c r="C187" s="165" t="s">
        <v>62</v>
      </c>
      <c r="D187" s="4">
        <v>0.37</v>
      </c>
      <c r="E187" s="187" t="s">
        <v>229</v>
      </c>
      <c r="F187" s="342">
        <f>IF(OR(Tableau145[[#This Row],[Type]]="Feuillus",Tableau145[[#This Row],[Type]]="Peupliers"),1.56,1.3)</f>
        <v>1.3</v>
      </c>
      <c r="I187" s="55">
        <v>182</v>
      </c>
      <c r="J187" s="33">
        <f t="shared" si="98"/>
        <v>0</v>
      </c>
      <c r="K187" s="33">
        <f t="shared" si="99"/>
        <v>0</v>
      </c>
      <c r="L187" s="33">
        <f t="shared" si="100"/>
        <v>0</v>
      </c>
      <c r="M187" s="33">
        <f t="shared" si="101"/>
        <v>0</v>
      </c>
      <c r="N187" s="33">
        <f t="shared" si="81"/>
        <v>0</v>
      </c>
      <c r="O187" s="34">
        <f t="shared" si="82"/>
        <v>0</v>
      </c>
      <c r="P187" s="55">
        <v>182</v>
      </c>
      <c r="Q187" s="33">
        <f t="shared" si="96"/>
        <v>0</v>
      </c>
      <c r="R187" s="33">
        <f t="shared" si="102"/>
        <v>0</v>
      </c>
      <c r="S187" s="33">
        <f t="shared" si="103"/>
        <v>0</v>
      </c>
      <c r="T187" s="33">
        <f t="shared" si="83"/>
        <v>0</v>
      </c>
      <c r="U187" s="33">
        <f t="shared" si="97"/>
        <v>0</v>
      </c>
      <c r="V187" s="33">
        <f t="shared" si="84"/>
        <v>0</v>
      </c>
      <c r="W187" s="33">
        <v>0</v>
      </c>
      <c r="X187" s="33">
        <f t="shared" si="85"/>
        <v>0</v>
      </c>
      <c r="Y187" s="38">
        <f t="shared" si="86"/>
        <v>0</v>
      </c>
      <c r="AA187" s="71">
        <v>182</v>
      </c>
      <c r="AB187" s="33">
        <f t="shared" si="87"/>
        <v>0</v>
      </c>
      <c r="AC187" s="304">
        <f t="shared" si="88"/>
        <v>0</v>
      </c>
      <c r="AD187" s="100">
        <f t="shared" si="89"/>
        <v>0</v>
      </c>
      <c r="AE187" s="100">
        <f t="shared" si="90"/>
        <v>0</v>
      </c>
      <c r="AF187" s="193">
        <f t="shared" si="104"/>
        <v>0</v>
      </c>
      <c r="AG187" s="193">
        <f t="shared" si="105"/>
        <v>0</v>
      </c>
      <c r="AH187" s="193">
        <f t="shared" si="106"/>
        <v>0</v>
      </c>
      <c r="AI187" s="198">
        <f t="shared" si="107"/>
        <v>0</v>
      </c>
      <c r="AK187" s="71">
        <v>182</v>
      </c>
      <c r="AL187" s="33">
        <f t="shared" si="91"/>
        <v>0</v>
      </c>
      <c r="AM187" s="33">
        <f t="shared" si="92"/>
        <v>0</v>
      </c>
      <c r="AN187" s="33">
        <f t="shared" si="93"/>
        <v>0</v>
      </c>
      <c r="AO187" s="33">
        <f t="shared" si="94"/>
        <v>0</v>
      </c>
      <c r="AP187" s="33">
        <f t="shared" si="95"/>
        <v>0</v>
      </c>
      <c r="AQ187" s="193">
        <f t="shared" si="108"/>
        <v>0</v>
      </c>
      <c r="AR187" s="193">
        <f t="shared" si="109"/>
        <v>0</v>
      </c>
      <c r="AS187" s="193">
        <f t="shared" si="110"/>
        <v>0</v>
      </c>
      <c r="AT187" s="193">
        <f t="shared" si="111"/>
        <v>0</v>
      </c>
      <c r="AU187" s="33"/>
      <c r="AV187" s="33"/>
      <c r="AW187" s="33"/>
      <c r="AX187" s="33"/>
      <c r="AY187" s="76"/>
    </row>
    <row r="188" spans="3:51">
      <c r="C188" s="165" t="s">
        <v>63</v>
      </c>
      <c r="D188" s="4">
        <v>0.38</v>
      </c>
      <c r="E188" s="187" t="s">
        <v>229</v>
      </c>
      <c r="F188" s="342">
        <f>IF(OR(Tableau145[[#This Row],[Type]]="Feuillus",Tableau145[[#This Row],[Type]]="Peupliers"),1.56,1.3)</f>
        <v>1.3</v>
      </c>
      <c r="I188" s="55">
        <v>183</v>
      </c>
      <c r="J188" s="33">
        <f t="shared" si="98"/>
        <v>0</v>
      </c>
      <c r="K188" s="33">
        <f t="shared" si="99"/>
        <v>0</v>
      </c>
      <c r="L188" s="33">
        <f t="shared" si="100"/>
        <v>0</v>
      </c>
      <c r="M188" s="33">
        <f t="shared" si="101"/>
        <v>0</v>
      </c>
      <c r="N188" s="33">
        <f t="shared" si="81"/>
        <v>0</v>
      </c>
      <c r="O188" s="34">
        <f t="shared" si="82"/>
        <v>0</v>
      </c>
      <c r="P188" s="55">
        <v>183</v>
      </c>
      <c r="Q188" s="33">
        <f t="shared" si="96"/>
        <v>0</v>
      </c>
      <c r="R188" s="33">
        <f t="shared" si="102"/>
        <v>0</v>
      </c>
      <c r="S188" s="33">
        <f t="shared" si="103"/>
        <v>0</v>
      </c>
      <c r="T188" s="33">
        <f t="shared" si="83"/>
        <v>0</v>
      </c>
      <c r="U188" s="33">
        <f t="shared" si="97"/>
        <v>0</v>
      </c>
      <c r="V188" s="33">
        <f t="shared" si="84"/>
        <v>0</v>
      </c>
      <c r="W188" s="33">
        <v>0</v>
      </c>
      <c r="X188" s="33">
        <f t="shared" si="85"/>
        <v>0</v>
      </c>
      <c r="Y188" s="38">
        <f t="shared" si="86"/>
        <v>0</v>
      </c>
      <c r="AA188" s="71">
        <v>183</v>
      </c>
      <c r="AB188" s="33">
        <f t="shared" si="87"/>
        <v>0</v>
      </c>
      <c r="AC188" s="304">
        <f t="shared" si="88"/>
        <v>0</v>
      </c>
      <c r="AD188" s="100">
        <f t="shared" si="89"/>
        <v>0</v>
      </c>
      <c r="AE188" s="100">
        <f t="shared" si="90"/>
        <v>0</v>
      </c>
      <c r="AF188" s="193">
        <f t="shared" si="104"/>
        <v>0</v>
      </c>
      <c r="AG188" s="193">
        <f t="shared" si="105"/>
        <v>0</v>
      </c>
      <c r="AH188" s="193">
        <f t="shared" si="106"/>
        <v>0</v>
      </c>
      <c r="AI188" s="198">
        <f t="shared" si="107"/>
        <v>0</v>
      </c>
      <c r="AK188" s="71">
        <v>183</v>
      </c>
      <c r="AL188" s="33">
        <f t="shared" si="91"/>
        <v>0</v>
      </c>
      <c r="AM188" s="33">
        <f t="shared" si="92"/>
        <v>0</v>
      </c>
      <c r="AN188" s="33">
        <f t="shared" si="93"/>
        <v>0</v>
      </c>
      <c r="AO188" s="33">
        <f t="shared" si="94"/>
        <v>0</v>
      </c>
      <c r="AP188" s="33">
        <f t="shared" si="95"/>
        <v>0</v>
      </c>
      <c r="AQ188" s="193">
        <f t="shared" si="108"/>
        <v>0</v>
      </c>
      <c r="AR188" s="193">
        <f t="shared" si="109"/>
        <v>0</v>
      </c>
      <c r="AS188" s="193">
        <f t="shared" si="110"/>
        <v>0</v>
      </c>
      <c r="AT188" s="193">
        <f t="shared" si="111"/>
        <v>0</v>
      </c>
      <c r="AU188" s="33"/>
      <c r="AV188" s="33"/>
      <c r="AW188" s="33"/>
      <c r="AX188" s="33"/>
      <c r="AY188" s="76"/>
    </row>
    <row r="189" spans="3:51">
      <c r="C189" s="165" t="s">
        <v>64</v>
      </c>
      <c r="D189" s="4">
        <v>0.36</v>
      </c>
      <c r="E189" s="187" t="s">
        <v>229</v>
      </c>
      <c r="F189" s="342">
        <f>IF(OR(Tableau145[[#This Row],[Type]]="Feuillus",Tableau145[[#This Row],[Type]]="Peupliers"),1.56,1.3)</f>
        <v>1.3</v>
      </c>
      <c r="I189" s="55">
        <v>184</v>
      </c>
      <c r="J189" s="33">
        <f t="shared" si="98"/>
        <v>0</v>
      </c>
      <c r="K189" s="33">
        <f t="shared" si="99"/>
        <v>0</v>
      </c>
      <c r="L189" s="33">
        <f t="shared" si="100"/>
        <v>0</v>
      </c>
      <c r="M189" s="33">
        <f t="shared" si="101"/>
        <v>0</v>
      </c>
      <c r="N189" s="33">
        <f t="shared" si="81"/>
        <v>0</v>
      </c>
      <c r="O189" s="34">
        <f t="shared" si="82"/>
        <v>0</v>
      </c>
      <c r="P189" s="55">
        <v>184</v>
      </c>
      <c r="Q189" s="33">
        <f t="shared" si="96"/>
        <v>0</v>
      </c>
      <c r="R189" s="33">
        <f t="shared" si="102"/>
        <v>0</v>
      </c>
      <c r="S189" s="33">
        <f t="shared" si="103"/>
        <v>0</v>
      </c>
      <c r="T189" s="33">
        <f t="shared" si="83"/>
        <v>0</v>
      </c>
      <c r="U189" s="33">
        <f t="shared" si="97"/>
        <v>0</v>
      </c>
      <c r="V189" s="33">
        <f t="shared" si="84"/>
        <v>0</v>
      </c>
      <c r="W189" s="33">
        <v>0</v>
      </c>
      <c r="X189" s="33">
        <f t="shared" si="85"/>
        <v>0</v>
      </c>
      <c r="Y189" s="38">
        <f t="shared" si="86"/>
        <v>0</v>
      </c>
      <c r="AA189" s="71">
        <v>184</v>
      </c>
      <c r="AB189" s="33">
        <f t="shared" si="87"/>
        <v>0</v>
      </c>
      <c r="AC189" s="304">
        <f t="shared" si="88"/>
        <v>0</v>
      </c>
      <c r="AD189" s="100">
        <f t="shared" si="89"/>
        <v>0</v>
      </c>
      <c r="AE189" s="100">
        <f t="shared" si="90"/>
        <v>0</v>
      </c>
      <c r="AF189" s="193">
        <f t="shared" si="104"/>
        <v>0</v>
      </c>
      <c r="AG189" s="193">
        <f t="shared" si="105"/>
        <v>0</v>
      </c>
      <c r="AH189" s="193">
        <f t="shared" si="106"/>
        <v>0</v>
      </c>
      <c r="AI189" s="198">
        <f t="shared" si="107"/>
        <v>0</v>
      </c>
      <c r="AK189" s="71">
        <v>184</v>
      </c>
      <c r="AL189" s="33">
        <f t="shared" si="91"/>
        <v>0</v>
      </c>
      <c r="AM189" s="33">
        <f t="shared" si="92"/>
        <v>0</v>
      </c>
      <c r="AN189" s="33">
        <f t="shared" si="93"/>
        <v>0</v>
      </c>
      <c r="AO189" s="33">
        <f t="shared" si="94"/>
        <v>0</v>
      </c>
      <c r="AP189" s="33">
        <f t="shared" si="95"/>
        <v>0</v>
      </c>
      <c r="AQ189" s="193">
        <f t="shared" si="108"/>
        <v>0</v>
      </c>
      <c r="AR189" s="193">
        <f t="shared" si="109"/>
        <v>0</v>
      </c>
      <c r="AS189" s="193">
        <f t="shared" si="110"/>
        <v>0</v>
      </c>
      <c r="AT189" s="193">
        <f t="shared" si="111"/>
        <v>0</v>
      </c>
      <c r="AU189" s="33"/>
      <c r="AV189" s="33"/>
      <c r="AW189" s="33"/>
      <c r="AX189" s="33"/>
      <c r="AY189" s="76"/>
    </row>
    <row r="190" spans="3:51">
      <c r="C190" s="165" t="s">
        <v>65</v>
      </c>
      <c r="D190" s="4">
        <v>0.37</v>
      </c>
      <c r="E190" s="187" t="s">
        <v>228</v>
      </c>
      <c r="F190" s="342">
        <f>IF(OR(Tableau145[[#This Row],[Type]]="Feuillus",Tableau145[[#This Row],[Type]]="Peupliers"),1.56,1.3)</f>
        <v>1.56</v>
      </c>
      <c r="I190" s="55">
        <v>185</v>
      </c>
      <c r="J190" s="33">
        <f t="shared" si="98"/>
        <v>0</v>
      </c>
      <c r="K190" s="33">
        <f t="shared" si="99"/>
        <v>0</v>
      </c>
      <c r="L190" s="33">
        <f t="shared" si="100"/>
        <v>0</v>
      </c>
      <c r="M190" s="33">
        <f t="shared" si="101"/>
        <v>0</v>
      </c>
      <c r="N190" s="33">
        <f t="shared" si="81"/>
        <v>0</v>
      </c>
      <c r="O190" s="34">
        <f t="shared" si="82"/>
        <v>0</v>
      </c>
      <c r="P190" s="55">
        <v>185</v>
      </c>
      <c r="Q190" s="33">
        <f t="shared" si="96"/>
        <v>0</v>
      </c>
      <c r="R190" s="33">
        <f t="shared" si="102"/>
        <v>0</v>
      </c>
      <c r="S190" s="33">
        <f t="shared" si="103"/>
        <v>0</v>
      </c>
      <c r="T190" s="33">
        <f t="shared" si="83"/>
        <v>0</v>
      </c>
      <c r="U190" s="33">
        <f t="shared" si="97"/>
        <v>0</v>
      </c>
      <c r="V190" s="33">
        <f t="shared" si="84"/>
        <v>0</v>
      </c>
      <c r="W190" s="33">
        <v>0</v>
      </c>
      <c r="X190" s="33">
        <f t="shared" si="85"/>
        <v>0</v>
      </c>
      <c r="Y190" s="38">
        <f t="shared" si="86"/>
        <v>0</v>
      </c>
      <c r="AA190" s="71">
        <v>185</v>
      </c>
      <c r="AB190" s="33">
        <f t="shared" si="87"/>
        <v>0</v>
      </c>
      <c r="AC190" s="304">
        <f t="shared" si="88"/>
        <v>0</v>
      </c>
      <c r="AD190" s="100">
        <f t="shared" si="89"/>
        <v>0</v>
      </c>
      <c r="AE190" s="100">
        <f t="shared" si="90"/>
        <v>0</v>
      </c>
      <c r="AF190" s="193">
        <f t="shared" si="104"/>
        <v>0</v>
      </c>
      <c r="AG190" s="193">
        <f t="shared" si="105"/>
        <v>0</v>
      </c>
      <c r="AH190" s="193">
        <f t="shared" si="106"/>
        <v>0</v>
      </c>
      <c r="AI190" s="198">
        <f t="shared" si="107"/>
        <v>0</v>
      </c>
      <c r="AK190" s="71">
        <v>185</v>
      </c>
      <c r="AL190" s="33">
        <f t="shared" si="91"/>
        <v>0</v>
      </c>
      <c r="AM190" s="33">
        <f t="shared" si="92"/>
        <v>0</v>
      </c>
      <c r="AN190" s="33">
        <f t="shared" si="93"/>
        <v>0</v>
      </c>
      <c r="AO190" s="33">
        <f t="shared" si="94"/>
        <v>0</v>
      </c>
      <c r="AP190" s="33">
        <f t="shared" si="95"/>
        <v>0</v>
      </c>
      <c r="AQ190" s="193">
        <f t="shared" si="108"/>
        <v>0</v>
      </c>
      <c r="AR190" s="193">
        <f t="shared" si="109"/>
        <v>0</v>
      </c>
      <c r="AS190" s="193">
        <f t="shared" si="110"/>
        <v>0</v>
      </c>
      <c r="AT190" s="193">
        <f t="shared" si="111"/>
        <v>0</v>
      </c>
      <c r="AU190" s="33"/>
      <c r="AV190" s="33"/>
      <c r="AW190" s="33"/>
      <c r="AX190" s="33"/>
      <c r="AY190" s="76"/>
    </row>
    <row r="191" spans="3:51">
      <c r="C191" s="165" t="s">
        <v>66</v>
      </c>
      <c r="D191" s="4">
        <v>0.53</v>
      </c>
      <c r="E191" s="187" t="s">
        <v>228</v>
      </c>
      <c r="F191" s="342">
        <f>IF(OR(Tableau145[[#This Row],[Type]]="Feuillus",Tableau145[[#This Row],[Type]]="Peupliers"),1.56,1.3)</f>
        <v>1.56</v>
      </c>
      <c r="I191" s="55">
        <v>186</v>
      </c>
      <c r="J191" s="33">
        <f t="shared" si="98"/>
        <v>0</v>
      </c>
      <c r="K191" s="33">
        <f t="shared" si="99"/>
        <v>0</v>
      </c>
      <c r="L191" s="33">
        <f t="shared" si="100"/>
        <v>0</v>
      </c>
      <c r="M191" s="33">
        <f t="shared" si="101"/>
        <v>0</v>
      </c>
      <c r="N191" s="33">
        <f t="shared" si="81"/>
        <v>0</v>
      </c>
      <c r="O191" s="34">
        <f t="shared" si="82"/>
        <v>0</v>
      </c>
      <c r="P191" s="55">
        <v>186</v>
      </c>
      <c r="Q191" s="33">
        <f t="shared" si="96"/>
        <v>0</v>
      </c>
      <c r="R191" s="33">
        <f t="shared" si="102"/>
        <v>0</v>
      </c>
      <c r="S191" s="33">
        <f t="shared" si="103"/>
        <v>0</v>
      </c>
      <c r="T191" s="33">
        <f t="shared" si="83"/>
        <v>0</v>
      </c>
      <c r="U191" s="33">
        <f t="shared" si="97"/>
        <v>0</v>
      </c>
      <c r="V191" s="33">
        <f t="shared" si="84"/>
        <v>0</v>
      </c>
      <c r="W191" s="33">
        <v>0</v>
      </c>
      <c r="X191" s="33">
        <f t="shared" si="85"/>
        <v>0</v>
      </c>
      <c r="Y191" s="38">
        <f t="shared" si="86"/>
        <v>0</v>
      </c>
      <c r="AA191" s="71">
        <v>186</v>
      </c>
      <c r="AB191" s="33">
        <f t="shared" si="87"/>
        <v>0</v>
      </c>
      <c r="AC191" s="304">
        <f t="shared" si="88"/>
        <v>0</v>
      </c>
      <c r="AD191" s="100">
        <f t="shared" si="89"/>
        <v>0</v>
      </c>
      <c r="AE191" s="100">
        <f t="shared" si="90"/>
        <v>0</v>
      </c>
      <c r="AF191" s="193">
        <f t="shared" si="104"/>
        <v>0</v>
      </c>
      <c r="AG191" s="193">
        <f t="shared" si="105"/>
        <v>0</v>
      </c>
      <c r="AH191" s="193">
        <f t="shared" si="106"/>
        <v>0</v>
      </c>
      <c r="AI191" s="198">
        <f t="shared" si="107"/>
        <v>0</v>
      </c>
      <c r="AK191" s="71">
        <v>186</v>
      </c>
      <c r="AL191" s="33">
        <f t="shared" si="91"/>
        <v>0</v>
      </c>
      <c r="AM191" s="33">
        <f t="shared" si="92"/>
        <v>0</v>
      </c>
      <c r="AN191" s="33">
        <f t="shared" si="93"/>
        <v>0</v>
      </c>
      <c r="AO191" s="33">
        <f t="shared" si="94"/>
        <v>0</v>
      </c>
      <c r="AP191" s="33">
        <f t="shared" si="95"/>
        <v>0</v>
      </c>
      <c r="AQ191" s="193">
        <f t="shared" si="108"/>
        <v>0</v>
      </c>
      <c r="AR191" s="193">
        <f t="shared" si="109"/>
        <v>0</v>
      </c>
      <c r="AS191" s="193">
        <f t="shared" si="110"/>
        <v>0</v>
      </c>
      <c r="AT191" s="193">
        <f t="shared" si="111"/>
        <v>0</v>
      </c>
      <c r="AU191" s="33"/>
      <c r="AV191" s="33"/>
      <c r="AW191" s="33"/>
      <c r="AX191" s="33"/>
      <c r="AY191" s="76"/>
    </row>
    <row r="192" spans="3:51">
      <c r="C192" s="165" t="s">
        <v>67</v>
      </c>
      <c r="D192" s="4">
        <v>0.43</v>
      </c>
      <c r="E192" s="187" t="s">
        <v>228</v>
      </c>
      <c r="F192" s="342">
        <f>IF(OR(Tableau145[[#This Row],[Type]]="Feuillus",Tableau145[[#This Row],[Type]]="Peupliers"),1.56,1.3)</f>
        <v>1.56</v>
      </c>
      <c r="I192" s="55">
        <v>187</v>
      </c>
      <c r="J192" s="33">
        <f t="shared" si="98"/>
        <v>0</v>
      </c>
      <c r="K192" s="33">
        <f t="shared" si="99"/>
        <v>0</v>
      </c>
      <c r="L192" s="33">
        <f t="shared" si="100"/>
        <v>0</v>
      </c>
      <c r="M192" s="33">
        <f t="shared" si="101"/>
        <v>0</v>
      </c>
      <c r="N192" s="33">
        <f t="shared" si="81"/>
        <v>0</v>
      </c>
      <c r="O192" s="34">
        <f t="shared" si="82"/>
        <v>0</v>
      </c>
      <c r="P192" s="55">
        <v>187</v>
      </c>
      <c r="Q192" s="33">
        <f t="shared" si="96"/>
        <v>0</v>
      </c>
      <c r="R192" s="33">
        <f t="shared" si="102"/>
        <v>0</v>
      </c>
      <c r="S192" s="33">
        <f t="shared" si="103"/>
        <v>0</v>
      </c>
      <c r="T192" s="33">
        <f t="shared" si="83"/>
        <v>0</v>
      </c>
      <c r="U192" s="33">
        <f t="shared" si="97"/>
        <v>0</v>
      </c>
      <c r="V192" s="33">
        <f t="shared" si="84"/>
        <v>0</v>
      </c>
      <c r="W192" s="33">
        <v>0</v>
      </c>
      <c r="X192" s="33">
        <f t="shared" si="85"/>
        <v>0</v>
      </c>
      <c r="Y192" s="38">
        <f t="shared" si="86"/>
        <v>0</v>
      </c>
      <c r="AA192" s="71">
        <v>187</v>
      </c>
      <c r="AB192" s="33">
        <f t="shared" si="87"/>
        <v>0</v>
      </c>
      <c r="AC192" s="304">
        <f t="shared" si="88"/>
        <v>0</v>
      </c>
      <c r="AD192" s="100">
        <f t="shared" si="89"/>
        <v>0</v>
      </c>
      <c r="AE192" s="100">
        <f t="shared" si="90"/>
        <v>0</v>
      </c>
      <c r="AF192" s="193">
        <f t="shared" si="104"/>
        <v>0</v>
      </c>
      <c r="AG192" s="193">
        <f t="shared" si="105"/>
        <v>0</v>
      </c>
      <c r="AH192" s="193">
        <f t="shared" si="106"/>
        <v>0</v>
      </c>
      <c r="AI192" s="198">
        <f t="shared" si="107"/>
        <v>0</v>
      </c>
      <c r="AK192" s="71">
        <v>187</v>
      </c>
      <c r="AL192" s="33">
        <f t="shared" si="91"/>
        <v>0</v>
      </c>
      <c r="AM192" s="33">
        <f t="shared" si="92"/>
        <v>0</v>
      </c>
      <c r="AN192" s="33">
        <f t="shared" si="93"/>
        <v>0</v>
      </c>
      <c r="AO192" s="33">
        <f t="shared" si="94"/>
        <v>0</v>
      </c>
      <c r="AP192" s="33">
        <f t="shared" si="95"/>
        <v>0</v>
      </c>
      <c r="AQ192" s="193">
        <f t="shared" si="108"/>
        <v>0</v>
      </c>
      <c r="AR192" s="193">
        <f t="shared" si="109"/>
        <v>0</v>
      </c>
      <c r="AS192" s="193">
        <f t="shared" si="110"/>
        <v>0</v>
      </c>
      <c r="AT192" s="193">
        <f t="shared" si="111"/>
        <v>0</v>
      </c>
      <c r="AU192" s="33"/>
      <c r="AV192" s="33"/>
      <c r="AW192" s="33"/>
      <c r="AX192" s="33"/>
      <c r="AY192" s="76"/>
    </row>
    <row r="193" spans="3:51">
      <c r="C193" s="165" t="s">
        <v>68</v>
      </c>
      <c r="D193" s="4">
        <v>0.38</v>
      </c>
      <c r="E193" s="187" t="s">
        <v>228</v>
      </c>
      <c r="F193" s="342">
        <f>IF(OR(Tableau145[[#This Row],[Type]]="Feuillus",Tableau145[[#This Row],[Type]]="Peupliers"),1.56,1.3)</f>
        <v>1.56</v>
      </c>
      <c r="I193" s="55">
        <v>188</v>
      </c>
      <c r="J193" s="33">
        <f t="shared" si="98"/>
        <v>0</v>
      </c>
      <c r="K193" s="33">
        <f t="shared" si="99"/>
        <v>0</v>
      </c>
      <c r="L193" s="33">
        <f t="shared" si="100"/>
        <v>0</v>
      </c>
      <c r="M193" s="33">
        <f t="shared" si="101"/>
        <v>0</v>
      </c>
      <c r="N193" s="33">
        <f t="shared" si="81"/>
        <v>0</v>
      </c>
      <c r="O193" s="34">
        <f t="shared" si="82"/>
        <v>0</v>
      </c>
      <c r="P193" s="55">
        <v>188</v>
      </c>
      <c r="Q193" s="33">
        <f t="shared" si="96"/>
        <v>0</v>
      </c>
      <c r="R193" s="33">
        <f t="shared" si="102"/>
        <v>0</v>
      </c>
      <c r="S193" s="33">
        <f t="shared" si="103"/>
        <v>0</v>
      </c>
      <c r="T193" s="33">
        <f t="shared" si="83"/>
        <v>0</v>
      </c>
      <c r="U193" s="33">
        <f t="shared" si="97"/>
        <v>0</v>
      </c>
      <c r="V193" s="33">
        <f t="shared" si="84"/>
        <v>0</v>
      </c>
      <c r="W193" s="33">
        <v>0</v>
      </c>
      <c r="X193" s="33">
        <f t="shared" si="85"/>
        <v>0</v>
      </c>
      <c r="Y193" s="38">
        <f t="shared" si="86"/>
        <v>0</v>
      </c>
      <c r="AA193" s="71">
        <v>188</v>
      </c>
      <c r="AB193" s="33">
        <f t="shared" si="87"/>
        <v>0</v>
      </c>
      <c r="AC193" s="304">
        <f t="shared" si="88"/>
        <v>0</v>
      </c>
      <c r="AD193" s="100">
        <f t="shared" si="89"/>
        <v>0</v>
      </c>
      <c r="AE193" s="100">
        <f t="shared" si="90"/>
        <v>0</v>
      </c>
      <c r="AF193" s="193">
        <f t="shared" si="104"/>
        <v>0</v>
      </c>
      <c r="AG193" s="193">
        <f t="shared" si="105"/>
        <v>0</v>
      </c>
      <c r="AH193" s="193">
        <f t="shared" si="106"/>
        <v>0</v>
      </c>
      <c r="AI193" s="198">
        <f t="shared" si="107"/>
        <v>0</v>
      </c>
      <c r="AK193" s="71">
        <v>188</v>
      </c>
      <c r="AL193" s="33">
        <f t="shared" si="91"/>
        <v>0</v>
      </c>
      <c r="AM193" s="33">
        <f t="shared" si="92"/>
        <v>0</v>
      </c>
      <c r="AN193" s="33">
        <f t="shared" si="93"/>
        <v>0</v>
      </c>
      <c r="AO193" s="33">
        <f t="shared" si="94"/>
        <v>0</v>
      </c>
      <c r="AP193" s="33">
        <f t="shared" si="95"/>
        <v>0</v>
      </c>
      <c r="AQ193" s="193">
        <f t="shared" si="108"/>
        <v>0</v>
      </c>
      <c r="AR193" s="193">
        <f t="shared" si="109"/>
        <v>0</v>
      </c>
      <c r="AS193" s="193">
        <f t="shared" si="110"/>
        <v>0</v>
      </c>
      <c r="AT193" s="193">
        <f t="shared" si="111"/>
        <v>0</v>
      </c>
      <c r="AU193" s="33"/>
      <c r="AV193" s="33"/>
      <c r="AW193" s="33"/>
      <c r="AX193" s="33"/>
      <c r="AY193" s="76"/>
    </row>
    <row r="194" spans="3:51">
      <c r="C194" s="167" t="s">
        <v>69</v>
      </c>
      <c r="D194" s="3">
        <v>0.42</v>
      </c>
      <c r="E194" s="187" t="s">
        <v>229</v>
      </c>
      <c r="F194" s="342">
        <f>IF(OR(Tableau145[[#This Row],[Type]]="Feuillus",Tableau145[[#This Row],[Type]]="Peupliers"),1.56,1.3)</f>
        <v>1.3</v>
      </c>
      <c r="I194" s="55">
        <v>189</v>
      </c>
      <c r="J194" s="33">
        <f t="shared" si="98"/>
        <v>0</v>
      </c>
      <c r="K194" s="33">
        <f t="shared" si="99"/>
        <v>0</v>
      </c>
      <c r="L194" s="33">
        <f t="shared" si="100"/>
        <v>0</v>
      </c>
      <c r="M194" s="33">
        <f t="shared" si="101"/>
        <v>0</v>
      </c>
      <c r="N194" s="33">
        <f t="shared" si="81"/>
        <v>0</v>
      </c>
      <c r="O194" s="34">
        <f t="shared" si="82"/>
        <v>0</v>
      </c>
      <c r="P194" s="55">
        <v>189</v>
      </c>
      <c r="Q194" s="33">
        <f t="shared" si="96"/>
        <v>0</v>
      </c>
      <c r="R194" s="33">
        <f t="shared" si="102"/>
        <v>0</v>
      </c>
      <c r="S194" s="33">
        <f t="shared" si="103"/>
        <v>0</v>
      </c>
      <c r="T194" s="33">
        <f t="shared" si="83"/>
        <v>0</v>
      </c>
      <c r="U194" s="33">
        <f t="shared" si="97"/>
        <v>0</v>
      </c>
      <c r="V194" s="33">
        <f t="shared" si="84"/>
        <v>0</v>
      </c>
      <c r="W194" s="33">
        <v>0</v>
      </c>
      <c r="X194" s="33">
        <f t="shared" si="85"/>
        <v>0</v>
      </c>
      <c r="Y194" s="38">
        <f t="shared" si="86"/>
        <v>0</v>
      </c>
      <c r="AA194" s="71">
        <v>189</v>
      </c>
      <c r="AB194" s="33">
        <f t="shared" si="87"/>
        <v>0</v>
      </c>
      <c r="AC194" s="304">
        <f t="shared" si="88"/>
        <v>0</v>
      </c>
      <c r="AD194" s="100">
        <f t="shared" si="89"/>
        <v>0</v>
      </c>
      <c r="AE194" s="100">
        <f t="shared" si="90"/>
        <v>0</v>
      </c>
      <c r="AF194" s="193">
        <f t="shared" si="104"/>
        <v>0</v>
      </c>
      <c r="AG194" s="193">
        <f t="shared" si="105"/>
        <v>0</v>
      </c>
      <c r="AH194" s="193">
        <f t="shared" si="106"/>
        <v>0</v>
      </c>
      <c r="AI194" s="198">
        <f t="shared" si="107"/>
        <v>0</v>
      </c>
      <c r="AK194" s="71">
        <v>189</v>
      </c>
      <c r="AL194" s="33">
        <f t="shared" si="91"/>
        <v>0</v>
      </c>
      <c r="AM194" s="33">
        <f t="shared" si="92"/>
        <v>0</v>
      </c>
      <c r="AN194" s="33">
        <f t="shared" si="93"/>
        <v>0</v>
      </c>
      <c r="AO194" s="33">
        <f t="shared" si="94"/>
        <v>0</v>
      </c>
      <c r="AP194" s="33">
        <f t="shared" si="95"/>
        <v>0</v>
      </c>
      <c r="AQ194" s="193">
        <f t="shared" si="108"/>
        <v>0</v>
      </c>
      <c r="AR194" s="193">
        <f t="shared" si="109"/>
        <v>0</v>
      </c>
      <c r="AS194" s="193">
        <f t="shared" si="110"/>
        <v>0</v>
      </c>
      <c r="AT194" s="193">
        <f t="shared" si="111"/>
        <v>0</v>
      </c>
      <c r="AU194" s="33"/>
      <c r="AV194" s="33"/>
      <c r="AW194" s="33"/>
      <c r="AX194" s="33"/>
      <c r="AY194" s="76"/>
    </row>
    <row r="195" spans="3:51">
      <c r="C195" s="167" t="s">
        <v>70</v>
      </c>
      <c r="D195" s="3">
        <v>0.56999999999999995</v>
      </c>
      <c r="E195" s="187" t="s">
        <v>228</v>
      </c>
      <c r="F195" s="342">
        <f>IF(OR(Tableau145[[#This Row],[Type]]="Feuillus",Tableau145[[#This Row],[Type]]="Peupliers"),1.56,1.3)</f>
        <v>1.56</v>
      </c>
      <c r="I195" s="55">
        <v>190</v>
      </c>
      <c r="J195" s="33">
        <f t="shared" si="98"/>
        <v>0</v>
      </c>
      <c r="K195" s="33">
        <f t="shared" si="99"/>
        <v>0</v>
      </c>
      <c r="L195" s="33">
        <f t="shared" si="100"/>
        <v>0</v>
      </c>
      <c r="M195" s="33">
        <f t="shared" si="101"/>
        <v>0</v>
      </c>
      <c r="N195" s="33">
        <f t="shared" si="81"/>
        <v>0</v>
      </c>
      <c r="O195" s="34">
        <f t="shared" si="82"/>
        <v>0</v>
      </c>
      <c r="P195" s="55">
        <v>190</v>
      </c>
      <c r="Q195" s="33">
        <f t="shared" si="96"/>
        <v>0</v>
      </c>
      <c r="R195" s="33">
        <f t="shared" si="102"/>
        <v>0</v>
      </c>
      <c r="S195" s="33">
        <f t="shared" si="103"/>
        <v>0</v>
      </c>
      <c r="T195" s="33">
        <f t="shared" si="83"/>
        <v>0</v>
      </c>
      <c r="U195" s="33">
        <f t="shared" si="97"/>
        <v>0</v>
      </c>
      <c r="V195" s="33">
        <f t="shared" si="84"/>
        <v>0</v>
      </c>
      <c r="W195" s="33">
        <v>0</v>
      </c>
      <c r="X195" s="33">
        <f t="shared" si="85"/>
        <v>0</v>
      </c>
      <c r="Y195" s="38">
        <f t="shared" si="86"/>
        <v>0</v>
      </c>
      <c r="AA195" s="71">
        <v>190</v>
      </c>
      <c r="AB195" s="33">
        <f t="shared" si="87"/>
        <v>0</v>
      </c>
      <c r="AC195" s="304">
        <f t="shared" si="88"/>
        <v>0</v>
      </c>
      <c r="AD195" s="100">
        <f t="shared" si="89"/>
        <v>0</v>
      </c>
      <c r="AE195" s="100">
        <f t="shared" si="90"/>
        <v>0</v>
      </c>
      <c r="AF195" s="193">
        <f t="shared" si="104"/>
        <v>0</v>
      </c>
      <c r="AG195" s="193">
        <f t="shared" si="105"/>
        <v>0</v>
      </c>
      <c r="AH195" s="193">
        <f t="shared" si="106"/>
        <v>0</v>
      </c>
      <c r="AI195" s="198">
        <f t="shared" si="107"/>
        <v>0</v>
      </c>
      <c r="AK195" s="71">
        <v>190</v>
      </c>
      <c r="AL195" s="33">
        <f t="shared" si="91"/>
        <v>0</v>
      </c>
      <c r="AM195" s="33">
        <f t="shared" si="92"/>
        <v>0</v>
      </c>
      <c r="AN195" s="33">
        <f t="shared" si="93"/>
        <v>0</v>
      </c>
      <c r="AO195" s="33">
        <f t="shared" si="94"/>
        <v>0</v>
      </c>
      <c r="AP195" s="33">
        <f t="shared" si="95"/>
        <v>0</v>
      </c>
      <c r="AQ195" s="193">
        <f t="shared" si="108"/>
        <v>0</v>
      </c>
      <c r="AR195" s="193">
        <f t="shared" si="109"/>
        <v>0</v>
      </c>
      <c r="AS195" s="193">
        <f t="shared" si="110"/>
        <v>0</v>
      </c>
      <c r="AT195" s="193">
        <f t="shared" si="111"/>
        <v>0</v>
      </c>
      <c r="AU195" s="33"/>
      <c r="AV195" s="33"/>
      <c r="AW195" s="33"/>
      <c r="AX195" s="33"/>
      <c r="AY195" s="76"/>
    </row>
    <row r="196" spans="3:51">
      <c r="C196" s="167" t="s">
        <v>71</v>
      </c>
      <c r="D196" s="3">
        <v>0.54</v>
      </c>
      <c r="E196" s="187"/>
      <c r="F196" s="342">
        <f>IF(OR(Tableau145[[#This Row],[Type]]="Feuillus",Tableau145[[#This Row],[Type]]="Peupliers"),1.56,1.3)</f>
        <v>1.3</v>
      </c>
      <c r="I196" s="55">
        <v>191</v>
      </c>
      <c r="J196" s="33">
        <f t="shared" si="98"/>
        <v>0</v>
      </c>
      <c r="K196" s="33">
        <f t="shared" si="99"/>
        <v>0</v>
      </c>
      <c r="L196" s="33">
        <f t="shared" si="100"/>
        <v>0</v>
      </c>
      <c r="M196" s="33">
        <f t="shared" si="101"/>
        <v>0</v>
      </c>
      <c r="N196" s="33">
        <f t="shared" si="81"/>
        <v>0</v>
      </c>
      <c r="O196" s="34">
        <f t="shared" si="82"/>
        <v>0</v>
      </c>
      <c r="P196" s="55">
        <v>191</v>
      </c>
      <c r="Q196" s="33">
        <f t="shared" si="96"/>
        <v>0</v>
      </c>
      <c r="R196" s="33">
        <f t="shared" si="102"/>
        <v>0</v>
      </c>
      <c r="S196" s="33">
        <f t="shared" si="103"/>
        <v>0</v>
      </c>
      <c r="T196" s="33">
        <f t="shared" si="83"/>
        <v>0</v>
      </c>
      <c r="U196" s="33">
        <f t="shared" si="97"/>
        <v>0</v>
      </c>
      <c r="V196" s="33">
        <f t="shared" si="84"/>
        <v>0</v>
      </c>
      <c r="W196" s="33">
        <v>0</v>
      </c>
      <c r="X196" s="33">
        <f t="shared" si="85"/>
        <v>0</v>
      </c>
      <c r="Y196" s="38">
        <f t="shared" si="86"/>
        <v>0</v>
      </c>
      <c r="AA196" s="71">
        <v>191</v>
      </c>
      <c r="AB196" s="33">
        <f t="shared" si="87"/>
        <v>0</v>
      </c>
      <c r="AC196" s="304">
        <f t="shared" si="88"/>
        <v>0</v>
      </c>
      <c r="AD196" s="100">
        <f t="shared" si="89"/>
        <v>0</v>
      </c>
      <c r="AE196" s="100">
        <f t="shared" si="90"/>
        <v>0</v>
      </c>
      <c r="AF196" s="193">
        <f t="shared" si="104"/>
        <v>0</v>
      </c>
      <c r="AG196" s="193">
        <f t="shared" si="105"/>
        <v>0</v>
      </c>
      <c r="AH196" s="193">
        <f t="shared" si="106"/>
        <v>0</v>
      </c>
      <c r="AI196" s="198">
        <f t="shared" si="107"/>
        <v>0</v>
      </c>
      <c r="AK196" s="71">
        <v>191</v>
      </c>
      <c r="AL196" s="33">
        <f t="shared" si="91"/>
        <v>0</v>
      </c>
      <c r="AM196" s="33">
        <f t="shared" si="92"/>
        <v>0</v>
      </c>
      <c r="AN196" s="33">
        <f t="shared" si="93"/>
        <v>0</v>
      </c>
      <c r="AO196" s="33">
        <f t="shared" si="94"/>
        <v>0</v>
      </c>
      <c r="AP196" s="33">
        <f t="shared" si="95"/>
        <v>0</v>
      </c>
      <c r="AQ196" s="193">
        <f t="shared" si="108"/>
        <v>0</v>
      </c>
      <c r="AR196" s="193">
        <f t="shared" si="109"/>
        <v>0</v>
      </c>
      <c r="AS196" s="193">
        <f t="shared" si="110"/>
        <v>0</v>
      </c>
      <c r="AT196" s="193">
        <f t="shared" si="111"/>
        <v>0</v>
      </c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98"/>
        <v>0</v>
      </c>
      <c r="K197" s="33">
        <f t="shared" si="99"/>
        <v>0</v>
      </c>
      <c r="L197" s="33">
        <f t="shared" si="100"/>
        <v>0</v>
      </c>
      <c r="M197" s="33">
        <f t="shared" si="101"/>
        <v>0</v>
      </c>
      <c r="N197" s="33">
        <f t="shared" ref="N197:N204" si="112">IF(P198&lt;=$F$18,0,)</f>
        <v>0</v>
      </c>
      <c r="O197" s="34">
        <f t="shared" ref="O197:O205" si="113">((J197+K197)*0.475+L197+M197+N197)*44/12</f>
        <v>0</v>
      </c>
      <c r="P197" s="55">
        <v>192</v>
      </c>
      <c r="Q197" s="33">
        <f t="shared" si="96"/>
        <v>0</v>
      </c>
      <c r="R197" s="33">
        <f t="shared" si="102"/>
        <v>0</v>
      </c>
      <c r="S197" s="33">
        <f t="shared" si="103"/>
        <v>0</v>
      </c>
      <c r="T197" s="33">
        <f t="shared" ref="T197:T205" si="114">IF(S197=0,0,EXP(-1.0587+0.8836*LN(S197)+0.284))</f>
        <v>0</v>
      </c>
      <c r="U197" s="33">
        <f t="shared" si="97"/>
        <v>0</v>
      </c>
      <c r="V197" s="33">
        <f t="shared" ref="V197:V205" si="115">IF(P197&lt;=$F$18,IF(P197&lt;=30,P197*($F$16-$F$6)/30,$F$16-$F$6),)</f>
        <v>0</v>
      </c>
      <c r="W197" s="33">
        <v>0</v>
      </c>
      <c r="X197" s="33">
        <f t="shared" ref="X197:X205" si="116">((S197+T197)*0.475+U197+V197+W197)*44/12</f>
        <v>0</v>
      </c>
      <c r="Y197" s="38">
        <f t="shared" ref="Y197:Y205" si="117">IF(P197&lt;=$F$18,X197-O197,)</f>
        <v>0</v>
      </c>
      <c r="AA197" s="71">
        <v>192</v>
      </c>
      <c r="AB197" s="33">
        <f t="shared" ref="AB197:AB205" si="118">IF(AA197&lt;=$F$18,IFERROR(VLOOKUP($AA197,$B$82:$G$95,2,FALSE),0),)</f>
        <v>0</v>
      </c>
      <c r="AC197" s="304">
        <f t="shared" ref="AC197:AC205" si="119">IF(AA197&lt;=$F$18,IFERROR(VLOOKUP($AA197,$B$82:$G$95,3,FALSE),0),)*50%</f>
        <v>0</v>
      </c>
      <c r="AD197" s="100">
        <f t="shared" ref="AD197:AD205" si="120">IF(AA197&lt;=$F$18,IFERROR(VLOOKUP($AA197,$B$82:$G$95,4,FALSE),0),)</f>
        <v>0</v>
      </c>
      <c r="AE197" s="100">
        <f t="shared" ref="AE197:AE205" si="121">IF(AA197&lt;=$F$18,IFERROR(VLOOKUP($AA197,$B$82:$G$95,5,FALSE),0),)</f>
        <v>0</v>
      </c>
      <c r="AF197" s="193">
        <f t="shared" si="104"/>
        <v>0</v>
      </c>
      <c r="AG197" s="193">
        <f t="shared" si="105"/>
        <v>0</v>
      </c>
      <c r="AH197" s="193">
        <f t="shared" si="106"/>
        <v>0</v>
      </c>
      <c r="AI197" s="198">
        <f t="shared" si="107"/>
        <v>0</v>
      </c>
      <c r="AK197" s="71">
        <v>192</v>
      </c>
      <c r="AL197" s="33">
        <f t="shared" ref="AL197:AL205" si="122">IF(AK197&lt;=$F$18,IFERROR(VLOOKUP($AA197,$B$82:$G$95,2,FALSE),0),)</f>
        <v>0</v>
      </c>
      <c r="AM197" s="33">
        <f t="shared" ref="AM197:AM205" si="123">IF(AK197&lt;=$F$18,IFERROR(VLOOKUP($AA197,$B$82:$G$95,3,FALSE),0),)</f>
        <v>0</v>
      </c>
      <c r="AN197" s="33">
        <f t="shared" ref="AN197:AN205" si="124">IF(AK197&lt;=$F$18,IFERROR(VLOOKUP($AA197,$B$82:$G$95,4,FALSE),0),)</f>
        <v>0</v>
      </c>
      <c r="AO197" s="33">
        <f t="shared" ref="AO197:AO205" si="125">IF(AK197&lt;=$F$18,IFERROR(VLOOKUP($AA197,$B$82:$G$95,5,FALSE),0),)</f>
        <v>0</v>
      </c>
      <c r="AP197" s="33">
        <f t="shared" ref="AP197:AP205" si="126">IF(AK197&lt;=$F$18,IFERROR(VLOOKUP($AA197,$B$82:$G$95,6,FALSE),0),)</f>
        <v>0</v>
      </c>
      <c r="AQ197" s="193">
        <f t="shared" si="108"/>
        <v>0</v>
      </c>
      <c r="AR197" s="193">
        <f t="shared" si="109"/>
        <v>0</v>
      </c>
      <c r="AS197" s="193">
        <f t="shared" si="110"/>
        <v>0</v>
      </c>
      <c r="AT197" s="193">
        <f t="shared" si="111"/>
        <v>0</v>
      </c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98"/>
        <v>0</v>
      </c>
      <c r="K198" s="33">
        <f t="shared" si="99"/>
        <v>0</v>
      </c>
      <c r="L198" s="33">
        <f t="shared" si="100"/>
        <v>0</v>
      </c>
      <c r="M198" s="33">
        <f t="shared" si="101"/>
        <v>0</v>
      </c>
      <c r="N198" s="33">
        <f t="shared" si="112"/>
        <v>0</v>
      </c>
      <c r="O198" s="34">
        <f t="shared" si="113"/>
        <v>0</v>
      </c>
      <c r="P198" s="55">
        <v>193</v>
      </c>
      <c r="Q198" s="33">
        <f t="shared" ref="Q198:Q205" si="127">IF(P198&lt;=$F$18,LOOKUP(P198-1,$B$25:$B$78,$G$25:$G$78),)</f>
        <v>0</v>
      </c>
      <c r="R198" s="33">
        <f t="shared" si="102"/>
        <v>0</v>
      </c>
      <c r="S198" s="33">
        <f t="shared" si="103"/>
        <v>0</v>
      </c>
      <c r="T198" s="33">
        <f t="shared" si="114"/>
        <v>0</v>
      </c>
      <c r="U198" s="33">
        <f t="shared" ref="U198:U205" si="128">IF(P198&lt;=$F$18,$F$5+($F$15-$F$5)*(1-EXP(-0.0175*P198)),)</f>
        <v>0</v>
      </c>
      <c r="V198" s="33">
        <f t="shared" si="115"/>
        <v>0</v>
      </c>
      <c r="W198" s="33">
        <v>0</v>
      </c>
      <c r="X198" s="33">
        <f t="shared" si="116"/>
        <v>0</v>
      </c>
      <c r="Y198" s="38">
        <f t="shared" si="117"/>
        <v>0</v>
      </c>
      <c r="AA198" s="71">
        <v>193</v>
      </c>
      <c r="AB198" s="33">
        <f t="shared" si="118"/>
        <v>0</v>
      </c>
      <c r="AC198" s="304">
        <f t="shared" si="119"/>
        <v>0</v>
      </c>
      <c r="AD198" s="100">
        <f t="shared" si="120"/>
        <v>0</v>
      </c>
      <c r="AE198" s="100">
        <f t="shared" si="121"/>
        <v>0</v>
      </c>
      <c r="AF198" s="193">
        <f t="shared" si="104"/>
        <v>0</v>
      </c>
      <c r="AG198" s="193">
        <f t="shared" si="105"/>
        <v>0</v>
      </c>
      <c r="AH198" s="193">
        <f t="shared" si="106"/>
        <v>0</v>
      </c>
      <c r="AI198" s="198">
        <f t="shared" si="107"/>
        <v>0</v>
      </c>
      <c r="AK198" s="71">
        <v>193</v>
      </c>
      <c r="AL198" s="33">
        <f t="shared" si="122"/>
        <v>0</v>
      </c>
      <c r="AM198" s="33">
        <f t="shared" si="123"/>
        <v>0</v>
      </c>
      <c r="AN198" s="33">
        <f t="shared" si="124"/>
        <v>0</v>
      </c>
      <c r="AO198" s="33">
        <f t="shared" si="125"/>
        <v>0</v>
      </c>
      <c r="AP198" s="33">
        <f t="shared" si="126"/>
        <v>0</v>
      </c>
      <c r="AQ198" s="193">
        <f t="shared" si="108"/>
        <v>0</v>
      </c>
      <c r="AR198" s="193">
        <f t="shared" si="109"/>
        <v>0</v>
      </c>
      <c r="AS198" s="193">
        <f t="shared" si="110"/>
        <v>0</v>
      </c>
      <c r="AT198" s="193">
        <f t="shared" si="111"/>
        <v>0</v>
      </c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129">IF($I199&lt;=$F$10,$F$11*$F$13+J198,)</f>
        <v>0</v>
      </c>
      <c r="K199" s="33">
        <f t="shared" ref="K199:K205" si="130">IF(J199=0,0,EXP(-1.0587+0.8836*LN(J199)+0.284))</f>
        <v>0</v>
      </c>
      <c r="L199" s="33">
        <f t="shared" ref="L199:L205" si="131">IF(I199&lt;=$F$10,$F$5+($F$8-$F$5)*(1-EXP(-0.0175*I199)),)</f>
        <v>0</v>
      </c>
      <c r="M199" s="33">
        <f t="shared" ref="M199:M205" si="132">IF(I199&lt;=$F$10,IF(I199&lt;=30,I199*($F$9-$F$6)/30,$F$9-$F$6),)</f>
        <v>0</v>
      </c>
      <c r="N199" s="33">
        <f t="shared" si="112"/>
        <v>0</v>
      </c>
      <c r="O199" s="34">
        <f t="shared" si="113"/>
        <v>0</v>
      </c>
      <c r="P199" s="55">
        <v>194</v>
      </c>
      <c r="Q199" s="33">
        <f t="shared" si="127"/>
        <v>0</v>
      </c>
      <c r="R199" s="33">
        <f t="shared" ref="R199:R205" si="133">IF(P199&lt;=$F$18,Q199+R198,)</f>
        <v>0</v>
      </c>
      <c r="S199" s="33">
        <f t="shared" ref="S199:S205" si="134">$F$19*R199</f>
        <v>0</v>
      </c>
      <c r="T199" s="33">
        <f t="shared" si="114"/>
        <v>0</v>
      </c>
      <c r="U199" s="33">
        <f t="shared" si="128"/>
        <v>0</v>
      </c>
      <c r="V199" s="33">
        <f t="shared" si="115"/>
        <v>0</v>
      </c>
      <c r="W199" s="33">
        <v>0</v>
      </c>
      <c r="X199" s="33">
        <f t="shared" si="116"/>
        <v>0</v>
      </c>
      <c r="Y199" s="38">
        <f t="shared" si="117"/>
        <v>0</v>
      </c>
      <c r="AA199" s="71">
        <v>194</v>
      </c>
      <c r="AB199" s="33">
        <f t="shared" si="118"/>
        <v>0</v>
      </c>
      <c r="AC199" s="304">
        <f t="shared" si="119"/>
        <v>0</v>
      </c>
      <c r="AD199" s="100">
        <f t="shared" si="120"/>
        <v>0</v>
      </c>
      <c r="AE199" s="100">
        <f t="shared" si="121"/>
        <v>0</v>
      </c>
      <c r="AF199" s="193">
        <f t="shared" si="104"/>
        <v>0</v>
      </c>
      <c r="AG199" s="193">
        <f t="shared" si="105"/>
        <v>0</v>
      </c>
      <c r="AH199" s="193">
        <f t="shared" si="106"/>
        <v>0</v>
      </c>
      <c r="AI199" s="198">
        <f t="shared" si="107"/>
        <v>0</v>
      </c>
      <c r="AK199" s="71">
        <v>194</v>
      </c>
      <c r="AL199" s="33">
        <f t="shared" si="122"/>
        <v>0</v>
      </c>
      <c r="AM199" s="33">
        <f t="shared" si="123"/>
        <v>0</v>
      </c>
      <c r="AN199" s="33">
        <f t="shared" si="124"/>
        <v>0</v>
      </c>
      <c r="AO199" s="33">
        <f t="shared" si="125"/>
        <v>0</v>
      </c>
      <c r="AP199" s="33">
        <f t="shared" si="126"/>
        <v>0</v>
      </c>
      <c r="AQ199" s="193">
        <f t="shared" si="108"/>
        <v>0</v>
      </c>
      <c r="AR199" s="193">
        <f t="shared" si="109"/>
        <v>0</v>
      </c>
      <c r="AS199" s="193">
        <f t="shared" si="110"/>
        <v>0</v>
      </c>
      <c r="AT199" s="193">
        <f t="shared" si="111"/>
        <v>0</v>
      </c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129"/>
        <v>0</v>
      </c>
      <c r="K200" s="33">
        <f t="shared" si="130"/>
        <v>0</v>
      </c>
      <c r="L200" s="33">
        <f t="shared" si="131"/>
        <v>0</v>
      </c>
      <c r="M200" s="33">
        <f t="shared" si="132"/>
        <v>0</v>
      </c>
      <c r="N200" s="33">
        <f t="shared" si="112"/>
        <v>0</v>
      </c>
      <c r="O200" s="34">
        <f t="shared" si="113"/>
        <v>0</v>
      </c>
      <c r="P200" s="55">
        <v>195</v>
      </c>
      <c r="Q200" s="33">
        <f t="shared" si="127"/>
        <v>0</v>
      </c>
      <c r="R200" s="33">
        <f t="shared" si="133"/>
        <v>0</v>
      </c>
      <c r="S200" s="33">
        <f t="shared" si="134"/>
        <v>0</v>
      </c>
      <c r="T200" s="33">
        <f t="shared" si="114"/>
        <v>0</v>
      </c>
      <c r="U200" s="33">
        <f t="shared" si="128"/>
        <v>0</v>
      </c>
      <c r="V200" s="33">
        <f t="shared" si="115"/>
        <v>0</v>
      </c>
      <c r="W200" s="33">
        <v>0</v>
      </c>
      <c r="X200" s="33">
        <f t="shared" si="116"/>
        <v>0</v>
      </c>
      <c r="Y200" s="38">
        <f t="shared" si="117"/>
        <v>0</v>
      </c>
      <c r="AA200" s="71">
        <v>195</v>
      </c>
      <c r="AB200" s="33">
        <f t="shared" si="118"/>
        <v>0</v>
      </c>
      <c r="AC200" s="304">
        <f t="shared" si="119"/>
        <v>0</v>
      </c>
      <c r="AD200" s="100">
        <f t="shared" si="120"/>
        <v>0</v>
      </c>
      <c r="AE200" s="100">
        <f t="shared" si="121"/>
        <v>0</v>
      </c>
      <c r="AF200" s="193">
        <f t="shared" si="104"/>
        <v>0</v>
      </c>
      <c r="AG200" s="193">
        <f t="shared" si="105"/>
        <v>0</v>
      </c>
      <c r="AH200" s="193">
        <f t="shared" si="106"/>
        <v>0</v>
      </c>
      <c r="AI200" s="198">
        <f t="shared" si="107"/>
        <v>0</v>
      </c>
      <c r="AK200" s="71">
        <v>195</v>
      </c>
      <c r="AL200" s="33">
        <f t="shared" si="122"/>
        <v>0</v>
      </c>
      <c r="AM200" s="33">
        <f t="shared" si="123"/>
        <v>0</v>
      </c>
      <c r="AN200" s="33">
        <f t="shared" si="124"/>
        <v>0</v>
      </c>
      <c r="AO200" s="33">
        <f t="shared" si="125"/>
        <v>0</v>
      </c>
      <c r="AP200" s="33">
        <f t="shared" si="126"/>
        <v>0</v>
      </c>
      <c r="AQ200" s="193">
        <f t="shared" si="108"/>
        <v>0</v>
      </c>
      <c r="AR200" s="193">
        <f t="shared" si="109"/>
        <v>0</v>
      </c>
      <c r="AS200" s="193">
        <f t="shared" si="110"/>
        <v>0</v>
      </c>
      <c r="AT200" s="193">
        <f t="shared" si="111"/>
        <v>0</v>
      </c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129"/>
        <v>0</v>
      </c>
      <c r="K201" s="33">
        <f t="shared" si="130"/>
        <v>0</v>
      </c>
      <c r="L201" s="33">
        <f t="shared" si="131"/>
        <v>0</v>
      </c>
      <c r="M201" s="33">
        <f t="shared" si="132"/>
        <v>0</v>
      </c>
      <c r="N201" s="33">
        <f t="shared" si="112"/>
        <v>0</v>
      </c>
      <c r="O201" s="34">
        <f t="shared" si="113"/>
        <v>0</v>
      </c>
      <c r="P201" s="55">
        <v>196</v>
      </c>
      <c r="Q201" s="33">
        <f t="shared" si="127"/>
        <v>0</v>
      </c>
      <c r="R201" s="33">
        <f t="shared" si="133"/>
        <v>0</v>
      </c>
      <c r="S201" s="33">
        <f t="shared" si="134"/>
        <v>0</v>
      </c>
      <c r="T201" s="33">
        <f t="shared" si="114"/>
        <v>0</v>
      </c>
      <c r="U201" s="33">
        <f t="shared" si="128"/>
        <v>0</v>
      </c>
      <c r="V201" s="33">
        <f t="shared" si="115"/>
        <v>0</v>
      </c>
      <c r="W201" s="33">
        <v>0</v>
      </c>
      <c r="X201" s="33">
        <f t="shared" si="116"/>
        <v>0</v>
      </c>
      <c r="Y201" s="38">
        <f t="shared" si="117"/>
        <v>0</v>
      </c>
      <c r="AA201" s="71">
        <v>196</v>
      </c>
      <c r="AB201" s="33">
        <f t="shared" si="118"/>
        <v>0</v>
      </c>
      <c r="AC201" s="304">
        <f t="shared" si="119"/>
        <v>0</v>
      </c>
      <c r="AD201" s="100">
        <f t="shared" si="120"/>
        <v>0</v>
      </c>
      <c r="AE201" s="100">
        <f t="shared" si="121"/>
        <v>0</v>
      </c>
      <c r="AF201" s="193">
        <f t="shared" si="104"/>
        <v>0</v>
      </c>
      <c r="AG201" s="193">
        <f t="shared" si="105"/>
        <v>0</v>
      </c>
      <c r="AH201" s="193">
        <f t="shared" si="106"/>
        <v>0</v>
      </c>
      <c r="AI201" s="198">
        <f t="shared" si="107"/>
        <v>0</v>
      </c>
      <c r="AK201" s="71">
        <v>196</v>
      </c>
      <c r="AL201" s="33">
        <f t="shared" si="122"/>
        <v>0</v>
      </c>
      <c r="AM201" s="33">
        <f t="shared" si="123"/>
        <v>0</v>
      </c>
      <c r="AN201" s="33">
        <f t="shared" si="124"/>
        <v>0</v>
      </c>
      <c r="AO201" s="33">
        <f t="shared" si="125"/>
        <v>0</v>
      </c>
      <c r="AP201" s="33">
        <f t="shared" si="126"/>
        <v>0</v>
      </c>
      <c r="AQ201" s="193">
        <f t="shared" si="108"/>
        <v>0</v>
      </c>
      <c r="AR201" s="193">
        <f t="shared" si="109"/>
        <v>0</v>
      </c>
      <c r="AS201" s="193">
        <f t="shared" si="110"/>
        <v>0</v>
      </c>
      <c r="AT201" s="193">
        <f t="shared" si="111"/>
        <v>0</v>
      </c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129"/>
        <v>0</v>
      </c>
      <c r="K202" s="33">
        <f t="shared" si="130"/>
        <v>0</v>
      </c>
      <c r="L202" s="33">
        <f t="shared" si="131"/>
        <v>0</v>
      </c>
      <c r="M202" s="33">
        <f t="shared" si="132"/>
        <v>0</v>
      </c>
      <c r="N202" s="33">
        <f t="shared" si="112"/>
        <v>0</v>
      </c>
      <c r="O202" s="34">
        <f t="shared" si="113"/>
        <v>0</v>
      </c>
      <c r="P202" s="55">
        <v>197</v>
      </c>
      <c r="Q202" s="33">
        <f t="shared" si="127"/>
        <v>0</v>
      </c>
      <c r="R202" s="33">
        <f t="shared" si="133"/>
        <v>0</v>
      </c>
      <c r="S202" s="33">
        <f t="shared" si="134"/>
        <v>0</v>
      </c>
      <c r="T202" s="33">
        <f t="shared" si="114"/>
        <v>0</v>
      </c>
      <c r="U202" s="33">
        <f t="shared" si="128"/>
        <v>0</v>
      </c>
      <c r="V202" s="33">
        <f t="shared" si="115"/>
        <v>0</v>
      </c>
      <c r="W202" s="33">
        <v>0</v>
      </c>
      <c r="X202" s="33">
        <f t="shared" si="116"/>
        <v>0</v>
      </c>
      <c r="Y202" s="38">
        <f t="shared" si="117"/>
        <v>0</v>
      </c>
      <c r="AA202" s="71">
        <v>197</v>
      </c>
      <c r="AB202" s="33">
        <f t="shared" si="118"/>
        <v>0</v>
      </c>
      <c r="AC202" s="304">
        <f t="shared" si="119"/>
        <v>0</v>
      </c>
      <c r="AD202" s="100">
        <f t="shared" si="120"/>
        <v>0</v>
      </c>
      <c r="AE202" s="100">
        <f t="shared" si="121"/>
        <v>0</v>
      </c>
      <c r="AF202" s="193">
        <f t="shared" si="104"/>
        <v>0</v>
      </c>
      <c r="AG202" s="193">
        <f t="shared" si="105"/>
        <v>0</v>
      </c>
      <c r="AH202" s="193">
        <f t="shared" si="106"/>
        <v>0</v>
      </c>
      <c r="AI202" s="198">
        <f t="shared" si="107"/>
        <v>0</v>
      </c>
      <c r="AK202" s="71">
        <v>197</v>
      </c>
      <c r="AL202" s="33">
        <f t="shared" si="122"/>
        <v>0</v>
      </c>
      <c r="AM202" s="33">
        <f t="shared" si="123"/>
        <v>0</v>
      </c>
      <c r="AN202" s="33">
        <f t="shared" si="124"/>
        <v>0</v>
      </c>
      <c r="AO202" s="33">
        <f t="shared" si="125"/>
        <v>0</v>
      </c>
      <c r="AP202" s="33">
        <f t="shared" si="126"/>
        <v>0</v>
      </c>
      <c r="AQ202" s="193">
        <f t="shared" si="108"/>
        <v>0</v>
      </c>
      <c r="AR202" s="193">
        <f t="shared" si="109"/>
        <v>0</v>
      </c>
      <c r="AS202" s="193">
        <f t="shared" si="110"/>
        <v>0</v>
      </c>
      <c r="AT202" s="193">
        <f t="shared" si="111"/>
        <v>0</v>
      </c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129"/>
        <v>0</v>
      </c>
      <c r="K203" s="33">
        <f t="shared" si="130"/>
        <v>0</v>
      </c>
      <c r="L203" s="33">
        <f t="shared" si="131"/>
        <v>0</v>
      </c>
      <c r="M203" s="33">
        <f t="shared" si="132"/>
        <v>0</v>
      </c>
      <c r="N203" s="33">
        <f t="shared" si="112"/>
        <v>0</v>
      </c>
      <c r="O203" s="34">
        <f t="shared" si="113"/>
        <v>0</v>
      </c>
      <c r="P203" s="55">
        <v>198</v>
      </c>
      <c r="Q203" s="33">
        <f t="shared" si="127"/>
        <v>0</v>
      </c>
      <c r="R203" s="33">
        <f t="shared" si="133"/>
        <v>0</v>
      </c>
      <c r="S203" s="33">
        <f t="shared" si="134"/>
        <v>0</v>
      </c>
      <c r="T203" s="33">
        <f t="shared" si="114"/>
        <v>0</v>
      </c>
      <c r="U203" s="33">
        <f t="shared" si="128"/>
        <v>0</v>
      </c>
      <c r="V203" s="33">
        <f t="shared" si="115"/>
        <v>0</v>
      </c>
      <c r="W203" s="33">
        <v>0</v>
      </c>
      <c r="X203" s="33">
        <f t="shared" si="116"/>
        <v>0</v>
      </c>
      <c r="Y203" s="38">
        <f t="shared" si="117"/>
        <v>0</v>
      </c>
      <c r="AA203" s="71">
        <v>198</v>
      </c>
      <c r="AB203" s="33">
        <f t="shared" si="118"/>
        <v>0</v>
      </c>
      <c r="AC203" s="304">
        <f t="shared" si="119"/>
        <v>0</v>
      </c>
      <c r="AD203" s="100">
        <f t="shared" si="120"/>
        <v>0</v>
      </c>
      <c r="AE203" s="100">
        <f t="shared" si="121"/>
        <v>0</v>
      </c>
      <c r="AF203" s="193">
        <f t="shared" si="104"/>
        <v>0</v>
      </c>
      <c r="AG203" s="193">
        <f t="shared" si="105"/>
        <v>0</v>
      </c>
      <c r="AH203" s="193">
        <f t="shared" si="106"/>
        <v>0</v>
      </c>
      <c r="AI203" s="198">
        <f t="shared" si="107"/>
        <v>0</v>
      </c>
      <c r="AK203" s="71">
        <v>198</v>
      </c>
      <c r="AL203" s="33">
        <f t="shared" si="122"/>
        <v>0</v>
      </c>
      <c r="AM203" s="33">
        <f t="shared" si="123"/>
        <v>0</v>
      </c>
      <c r="AN203" s="33">
        <f t="shared" si="124"/>
        <v>0</v>
      </c>
      <c r="AO203" s="33">
        <f t="shared" si="125"/>
        <v>0</v>
      </c>
      <c r="AP203" s="33">
        <f t="shared" si="126"/>
        <v>0</v>
      </c>
      <c r="AQ203" s="193">
        <f t="shared" si="108"/>
        <v>0</v>
      </c>
      <c r="AR203" s="193">
        <f t="shared" si="109"/>
        <v>0</v>
      </c>
      <c r="AS203" s="193">
        <f t="shared" si="110"/>
        <v>0</v>
      </c>
      <c r="AT203" s="193">
        <f t="shared" si="111"/>
        <v>0</v>
      </c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129"/>
        <v>0</v>
      </c>
      <c r="K204" s="33">
        <f t="shared" si="130"/>
        <v>0</v>
      </c>
      <c r="L204" s="33">
        <f t="shared" si="131"/>
        <v>0</v>
      </c>
      <c r="M204" s="33">
        <f t="shared" si="132"/>
        <v>0</v>
      </c>
      <c r="N204" s="33">
        <f t="shared" si="112"/>
        <v>0</v>
      </c>
      <c r="O204" s="34">
        <f t="shared" si="113"/>
        <v>0</v>
      </c>
      <c r="P204" s="55">
        <v>199</v>
      </c>
      <c r="Q204" s="33">
        <f t="shared" si="127"/>
        <v>0</v>
      </c>
      <c r="R204" s="33">
        <f t="shared" si="133"/>
        <v>0</v>
      </c>
      <c r="S204" s="33">
        <f t="shared" si="134"/>
        <v>0</v>
      </c>
      <c r="T204" s="33">
        <f t="shared" si="114"/>
        <v>0</v>
      </c>
      <c r="U204" s="33">
        <f t="shared" si="128"/>
        <v>0</v>
      </c>
      <c r="V204" s="33">
        <f t="shared" si="115"/>
        <v>0</v>
      </c>
      <c r="W204" s="33">
        <v>0</v>
      </c>
      <c r="X204" s="33">
        <f t="shared" si="116"/>
        <v>0</v>
      </c>
      <c r="Y204" s="38">
        <f t="shared" si="117"/>
        <v>0</v>
      </c>
      <c r="AA204" s="71">
        <v>199</v>
      </c>
      <c r="AB204" s="33">
        <f t="shared" si="118"/>
        <v>0</v>
      </c>
      <c r="AC204" s="304">
        <f t="shared" si="119"/>
        <v>0</v>
      </c>
      <c r="AD204" s="100">
        <f t="shared" si="120"/>
        <v>0</v>
      </c>
      <c r="AE204" s="100">
        <f t="shared" si="121"/>
        <v>0</v>
      </c>
      <c r="AF204" s="193">
        <f t="shared" si="104"/>
        <v>0</v>
      </c>
      <c r="AG204" s="193">
        <f t="shared" si="105"/>
        <v>0</v>
      </c>
      <c r="AH204" s="193">
        <f t="shared" si="106"/>
        <v>0</v>
      </c>
      <c r="AI204" s="198">
        <f t="shared" si="107"/>
        <v>0</v>
      </c>
      <c r="AK204" s="71">
        <v>199</v>
      </c>
      <c r="AL204" s="33">
        <f t="shared" si="122"/>
        <v>0</v>
      </c>
      <c r="AM204" s="33">
        <f t="shared" si="123"/>
        <v>0</v>
      </c>
      <c r="AN204" s="33">
        <f t="shared" si="124"/>
        <v>0</v>
      </c>
      <c r="AO204" s="33">
        <f t="shared" si="125"/>
        <v>0</v>
      </c>
      <c r="AP204" s="33">
        <f t="shared" si="126"/>
        <v>0</v>
      </c>
      <c r="AQ204" s="193">
        <f t="shared" si="108"/>
        <v>0</v>
      </c>
      <c r="AR204" s="193">
        <f t="shared" si="109"/>
        <v>0</v>
      </c>
      <c r="AS204" s="193">
        <f t="shared" si="110"/>
        <v>0</v>
      </c>
      <c r="AT204" s="193">
        <f t="shared" si="111"/>
        <v>0</v>
      </c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129"/>
        <v>0</v>
      </c>
      <c r="K205" s="33">
        <f t="shared" si="130"/>
        <v>0</v>
      </c>
      <c r="L205" s="33">
        <f t="shared" si="131"/>
        <v>0</v>
      </c>
      <c r="M205" s="33">
        <f t="shared" si="132"/>
        <v>0</v>
      </c>
      <c r="N205" s="35">
        <f>IF(F208&lt;=$F$18,0,)</f>
        <v>0</v>
      </c>
      <c r="O205" s="34">
        <f t="shared" si="113"/>
        <v>0</v>
      </c>
      <c r="P205" s="56">
        <v>200</v>
      </c>
      <c r="Q205" s="35">
        <f t="shared" si="127"/>
        <v>0</v>
      </c>
      <c r="R205" s="35">
        <f t="shared" si="133"/>
        <v>0</v>
      </c>
      <c r="S205" s="35">
        <f t="shared" si="134"/>
        <v>0</v>
      </c>
      <c r="T205" s="35">
        <f t="shared" si="114"/>
        <v>0</v>
      </c>
      <c r="U205" s="35">
        <f t="shared" si="128"/>
        <v>0</v>
      </c>
      <c r="V205" s="35">
        <f t="shared" si="115"/>
        <v>0</v>
      </c>
      <c r="W205" s="35">
        <v>0</v>
      </c>
      <c r="X205" s="154">
        <f t="shared" si="116"/>
        <v>0</v>
      </c>
      <c r="Y205" s="39">
        <f t="shared" si="117"/>
        <v>0</v>
      </c>
      <c r="AA205" s="72">
        <v>200</v>
      </c>
      <c r="AB205" s="142">
        <f t="shared" si="118"/>
        <v>0</v>
      </c>
      <c r="AC205" s="304">
        <f t="shared" si="119"/>
        <v>0</v>
      </c>
      <c r="AD205" s="101">
        <f t="shared" si="120"/>
        <v>0</v>
      </c>
      <c r="AE205" s="101">
        <f t="shared" si="121"/>
        <v>0</v>
      </c>
      <c r="AF205" s="195">
        <f t="shared" si="104"/>
        <v>0</v>
      </c>
      <c r="AG205" s="195">
        <f t="shared" si="105"/>
        <v>0</v>
      </c>
      <c r="AH205" s="195">
        <f t="shared" si="106"/>
        <v>0</v>
      </c>
      <c r="AI205" s="202">
        <f t="shared" si="107"/>
        <v>0</v>
      </c>
      <c r="AK205" s="72">
        <v>200</v>
      </c>
      <c r="AL205" s="142">
        <f t="shared" si="122"/>
        <v>0</v>
      </c>
      <c r="AM205" s="35">
        <f t="shared" si="123"/>
        <v>0</v>
      </c>
      <c r="AN205" s="35">
        <f t="shared" si="124"/>
        <v>0</v>
      </c>
      <c r="AO205" s="35">
        <f t="shared" si="125"/>
        <v>0</v>
      </c>
      <c r="AP205" s="35">
        <f t="shared" si="126"/>
        <v>0</v>
      </c>
      <c r="AQ205" s="195">
        <f t="shared" si="108"/>
        <v>0</v>
      </c>
      <c r="AR205" s="195">
        <f t="shared" si="109"/>
        <v>0</v>
      </c>
      <c r="AS205" s="195">
        <f t="shared" si="110"/>
        <v>0</v>
      </c>
      <c r="AT205" s="195">
        <f t="shared" si="111"/>
        <v>0</v>
      </c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AA3:AI3"/>
    <mergeCell ref="B14:B21"/>
    <mergeCell ref="C17:C21"/>
    <mergeCell ref="AK3:AY3"/>
    <mergeCell ref="B7:B13"/>
    <mergeCell ref="B4:F4"/>
    <mergeCell ref="D19:E19"/>
    <mergeCell ref="D20:E20"/>
    <mergeCell ref="D21:E21"/>
    <mergeCell ref="D8:E8"/>
    <mergeCell ref="D5:E5"/>
    <mergeCell ref="C7:F7"/>
    <mergeCell ref="D6:E6"/>
    <mergeCell ref="D9:E9"/>
    <mergeCell ref="I3:O3"/>
    <mergeCell ref="P3:X3"/>
    <mergeCell ref="B23:G23"/>
    <mergeCell ref="B80:G80"/>
    <mergeCell ref="C14:F14"/>
    <mergeCell ref="D18:E18"/>
    <mergeCell ref="B5:B6"/>
    <mergeCell ref="D10:E10"/>
    <mergeCell ref="D11:E11"/>
    <mergeCell ref="D12:E12"/>
    <mergeCell ref="D13:E13"/>
    <mergeCell ref="C10:C13"/>
    <mergeCell ref="D15:E15"/>
    <mergeCell ref="D16:E16"/>
    <mergeCell ref="D17:E17"/>
  </mergeCells>
  <dataValidations count="4">
    <dataValidation type="list" allowBlank="1" showInputMessage="1" showErrorMessage="1" sqref="D81:G81" xr:uid="{00000000-0002-0000-0200-000000000000}">
      <formula1>$B$104:$B$108</formula1>
    </dataValidation>
    <dataValidation type="list" allowBlank="1" showInputMessage="1" showErrorMessage="1" sqref="F12" xr:uid="{00000000-0002-0000-0200-000001000000}">
      <formula1>$C$194:$C$195</formula1>
    </dataValidation>
    <dataValidation type="list" allowBlank="1" showInputMessage="1" showErrorMessage="1" sqref="F17" xr:uid="{00000000-0002-0000-0200-000002000000}">
      <formula1>$C$130:$C$195</formula1>
    </dataValidation>
    <dataValidation type="list" allowBlank="1" showInputMessage="1" showErrorMessage="1" sqref="D8:E8 D15 D5:E5" xr:uid="{00000000-0002-0000-0200-000003000000}">
      <formula1>$B$98:$B$101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B3:AY207"/>
  <sheetViews>
    <sheetView topLeftCell="A4" zoomScale="85" zoomScaleNormal="85" workbookViewId="0">
      <selection activeCell="F22" sqref="F22"/>
    </sheetView>
  </sheetViews>
  <sheetFormatPr baseColWidth="10" defaultRowHeight="15"/>
  <cols>
    <col min="3" max="5" width="13.664062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2" customWidth="1"/>
    <col min="47" max="51" width="10.5" customWidth="1"/>
    <col min="54" max="54" width="19.33203125" customWidth="1"/>
  </cols>
  <sheetData>
    <row r="3" spans="2:51" ht="16">
      <c r="I3" s="380" t="s">
        <v>172</v>
      </c>
      <c r="J3" s="381"/>
      <c r="K3" s="381"/>
      <c r="L3" s="381"/>
      <c r="M3" s="381"/>
      <c r="N3" s="381"/>
      <c r="O3" s="382"/>
      <c r="P3" s="383" t="s">
        <v>144</v>
      </c>
      <c r="Q3" s="384"/>
      <c r="R3" s="384"/>
      <c r="S3" s="384"/>
      <c r="T3" s="384"/>
      <c r="U3" s="384"/>
      <c r="V3" s="384"/>
      <c r="W3" s="384"/>
      <c r="X3" s="385"/>
      <c r="Y3" s="90"/>
      <c r="Z3" s="90"/>
      <c r="AA3" s="371" t="s">
        <v>159</v>
      </c>
      <c r="AB3" s="372"/>
      <c r="AC3" s="372"/>
      <c r="AD3" s="372"/>
      <c r="AE3" s="372"/>
      <c r="AF3" s="372"/>
      <c r="AG3" s="372"/>
      <c r="AH3" s="372"/>
      <c r="AI3" s="373"/>
      <c r="AJ3" s="90"/>
      <c r="AK3" s="371" t="s">
        <v>171</v>
      </c>
      <c r="AL3" s="372"/>
      <c r="AM3" s="372"/>
      <c r="AN3" s="372"/>
      <c r="AO3" s="372"/>
      <c r="AP3" s="372"/>
      <c r="AQ3" s="372"/>
      <c r="AR3" s="372"/>
      <c r="AS3" s="372"/>
      <c r="AT3" s="372"/>
      <c r="AU3" s="372"/>
      <c r="AV3" s="372"/>
      <c r="AW3" s="372"/>
      <c r="AX3" s="372"/>
      <c r="AY3" s="373"/>
    </row>
    <row r="4" spans="2:51" ht="45" customHeight="1">
      <c r="B4" s="375" t="s">
        <v>173</v>
      </c>
      <c r="C4" s="375"/>
      <c r="D4" s="375"/>
      <c r="E4" s="375"/>
      <c r="F4" s="375"/>
      <c r="I4" s="59" t="s">
        <v>76</v>
      </c>
      <c r="J4" s="60" t="s">
        <v>108</v>
      </c>
      <c r="K4" s="60" t="s">
        <v>109</v>
      </c>
      <c r="L4" s="60" t="s">
        <v>72</v>
      </c>
      <c r="M4" s="60" t="s">
        <v>110</v>
      </c>
      <c r="N4" s="60" t="s">
        <v>111</v>
      </c>
      <c r="O4" s="88" t="s">
        <v>113</v>
      </c>
      <c r="P4" s="59" t="s">
        <v>76</v>
      </c>
      <c r="Q4" s="61" t="s">
        <v>118</v>
      </c>
      <c r="R4" s="61" t="s">
        <v>119</v>
      </c>
      <c r="S4" s="62" t="s">
        <v>105</v>
      </c>
      <c r="T4" s="63" t="s">
        <v>104</v>
      </c>
      <c r="U4" s="60" t="s">
        <v>3</v>
      </c>
      <c r="V4" s="60" t="s">
        <v>106</v>
      </c>
      <c r="W4" s="60" t="s">
        <v>107</v>
      </c>
      <c r="X4" s="89" t="s">
        <v>112</v>
      </c>
      <c r="Y4" s="66" t="s">
        <v>120</v>
      </c>
      <c r="AA4" s="70" t="s">
        <v>76</v>
      </c>
      <c r="AB4" s="61" t="s">
        <v>146</v>
      </c>
      <c r="AC4" s="62" t="s">
        <v>147</v>
      </c>
      <c r="AD4" s="68" t="s">
        <v>148</v>
      </c>
      <c r="AE4" s="64" t="s">
        <v>149</v>
      </c>
      <c r="AF4" s="64" t="s">
        <v>150</v>
      </c>
      <c r="AG4" s="64" t="s">
        <v>151</v>
      </c>
      <c r="AH4" s="64" t="s">
        <v>152</v>
      </c>
      <c r="AI4" s="75" t="s">
        <v>153</v>
      </c>
      <c r="AK4" s="70" t="s">
        <v>76</v>
      </c>
      <c r="AL4" s="61" t="s">
        <v>146</v>
      </c>
      <c r="AM4" s="62" t="s">
        <v>147</v>
      </c>
      <c r="AN4" s="68" t="s">
        <v>148</v>
      </c>
      <c r="AO4" s="64" t="s">
        <v>149</v>
      </c>
      <c r="AP4" s="64" t="s">
        <v>161</v>
      </c>
      <c r="AQ4" s="192" t="s">
        <v>187</v>
      </c>
      <c r="AR4" s="192" t="s">
        <v>188</v>
      </c>
      <c r="AS4" s="192" t="s">
        <v>189</v>
      </c>
      <c r="AT4" s="192" t="s">
        <v>190</v>
      </c>
      <c r="AU4" s="64" t="s">
        <v>162</v>
      </c>
      <c r="AV4" s="64" t="s">
        <v>163</v>
      </c>
      <c r="AW4" s="64" t="s">
        <v>164</v>
      </c>
      <c r="AX4" s="64" t="s">
        <v>165</v>
      </c>
      <c r="AY4" s="75" t="s">
        <v>153</v>
      </c>
    </row>
    <row r="5" spans="2:51">
      <c r="B5" s="364" t="s">
        <v>133</v>
      </c>
      <c r="C5" s="91" t="s">
        <v>73</v>
      </c>
      <c r="D5" s="376" t="s">
        <v>135</v>
      </c>
      <c r="E5" s="376"/>
      <c r="F5" s="92">
        <f>IF(D5="","",VLOOKUP(D5,$B$97:$C$100,2,0))</f>
        <v>70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IF(AA5&lt;=$F$18,IFERROR(VLOOKUP($AA5,$B$82:$G$94,2,FALSE),0),)</f>
        <v>0</v>
      </c>
      <c r="AC5" s="304">
        <f t="shared" ref="AC5:AC29" si="7">IF(AA5&lt;=$F$18,IFERROR(VLOOKUP($AA5,$B$82:$G$94,3,FALSE),0),)*50%</f>
        <v>0</v>
      </c>
      <c r="AD5" s="100">
        <f t="shared" ref="AD5:AD68" si="8">IF(AA5&lt;=$F$18,IFERROR(VLOOKUP($AA5,$B$82:$G$94,4,FALSE),0),)</f>
        <v>0</v>
      </c>
      <c r="AE5" s="100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68" si="10">IF(AK5&lt;=$F$18,IFERROR(VLOOKUP($AA5,$B$82:$G$94,2,FALSE),0),)</f>
        <v>0</v>
      </c>
      <c r="AM5" s="33">
        <f t="shared" ref="AM5:AM68" si="11">IF(AK5&lt;=$F$18,IFERROR(VLOOKUP($AA5,$B$82:$G$94,3,FALSE),0),)</f>
        <v>0</v>
      </c>
      <c r="AN5" s="33">
        <f t="shared" ref="AN5:AN68" si="12">IF(AK5&lt;=$F$18,IFERROR(VLOOKUP($AA5,$B$82:$G$94,4,FALSE),0),)</f>
        <v>0</v>
      </c>
      <c r="AO5" s="33">
        <f t="shared" ref="AO5:AO68" si="13">IF(AK5&lt;=$F$18,IFERROR(VLOOKUP($AA5,$B$82:$G$94,5,FALSE),0),)</f>
        <v>0</v>
      </c>
      <c r="AP5" s="33">
        <f t="shared" ref="AP5:AP68" si="14">IF(AK5&lt;=$F$18,IFERROR(VLOOKUP($AA5,$B$82:$G$94,6,FALSE),0),)</f>
        <v>0</v>
      </c>
      <c r="AQ5" s="193">
        <f t="shared" ref="AQ5:AQ68" si="15">IF($AK5&lt;=$F$18,$AL5*AM5,)</f>
        <v>0</v>
      </c>
      <c r="AR5" s="193">
        <f t="shared" ref="AR5:AR68" si="16">IF($AK5&lt;=$F$18,$AL5*AN5,)</f>
        <v>0</v>
      </c>
      <c r="AS5" s="193">
        <f t="shared" ref="AS5:AS68" si="17">IF($AK5&lt;=$F$18,$AL5*AO5,)</f>
        <v>0</v>
      </c>
      <c r="AT5" s="193">
        <f t="shared" ref="AT5:AT68" si="18">IF($AK5&lt;=$F$18,$AL5*AP5,)</f>
        <v>0</v>
      </c>
      <c r="AU5" s="33"/>
      <c r="AV5" s="33"/>
      <c r="AW5" s="33"/>
      <c r="AX5" s="33"/>
      <c r="AY5" s="163">
        <v>0</v>
      </c>
    </row>
    <row r="6" spans="2:51">
      <c r="B6" s="365"/>
      <c r="C6" s="98" t="s">
        <v>74</v>
      </c>
      <c r="D6" s="367" t="s">
        <v>260</v>
      </c>
      <c r="E6" s="367"/>
      <c r="F6" s="99">
        <f>VLOOKUP(D5,$B$97:$D$100,3,FALSE)</f>
        <v>0</v>
      </c>
      <c r="I6" s="55">
        <v>1</v>
      </c>
      <c r="J6" s="33">
        <f>IF(D8&lt;&gt;"Cultures",IF($I6&lt;=$F$10,$F$11*$F$13+J5,),5)</f>
        <v>0.42</v>
      </c>
      <c r="K6" s="33">
        <f>IF(J6=0,0,EXP(-1.0587+0.8836*LN(J6)+0.284))</f>
        <v>0.2141189661953912</v>
      </c>
      <c r="L6" s="33">
        <f>IF(I6&lt;=$F$10,$F$5+($F$8-$F$5)*(1-EXP(-0.0175*I6)),)</f>
        <v>70</v>
      </c>
      <c r="M6" s="33">
        <f>IF(I6&lt;=$F$10,IF(I6&lt;=30,I6*($F$9-$F$6)/30,$F$9-$F$6),)</f>
        <v>0.33333333333333331</v>
      </c>
      <c r="N6" s="33">
        <f t="shared" si="0"/>
        <v>0</v>
      </c>
      <c r="O6" s="34">
        <f t="shared" si="1"/>
        <v>258.99331275501248</v>
      </c>
      <c r="P6" s="55">
        <v>1</v>
      </c>
      <c r="Q6" s="33">
        <f t="shared" ref="Q6:Q69" si="19">IF(P6&lt;=$F$18,LOOKUP(P6-1,$B$25:$B$78,$G$25:$G$78),)</f>
        <v>3.5100000000000002</v>
      </c>
      <c r="R6" s="33">
        <f>IF(P6&lt;=$F$18,Q6+R5,)</f>
        <v>3.5100000000000002</v>
      </c>
      <c r="S6" s="33">
        <f>$F$19*R6</f>
        <v>1.5093000000000001</v>
      </c>
      <c r="T6" s="33">
        <f t="shared" si="2"/>
        <v>0.66300707119750424</v>
      </c>
      <c r="U6" s="33">
        <f t="shared" ref="U6:U69" si="20">IF(P6&lt;=$F$18,$F$5+($F$15-$F$5)*(1-EXP(-0.0175*P6)),)</f>
        <v>70</v>
      </c>
      <c r="V6" s="33">
        <f t="shared" si="3"/>
        <v>0.33333333333333331</v>
      </c>
      <c r="W6" s="33">
        <v>0</v>
      </c>
      <c r="X6" s="33">
        <f t="shared" si="4"/>
        <v>261.67232370455787</v>
      </c>
      <c r="Y6" s="38">
        <f t="shared" si="5"/>
        <v>2.6790109495453862</v>
      </c>
      <c r="AA6" s="71">
        <v>1</v>
      </c>
      <c r="AB6" s="33">
        <f t="shared" si="6"/>
        <v>0</v>
      </c>
      <c r="AC6" s="304">
        <f t="shared" si="7"/>
        <v>0</v>
      </c>
      <c r="AD6" s="100">
        <f t="shared" si="8"/>
        <v>0</v>
      </c>
      <c r="AE6" s="100">
        <f t="shared" si="9"/>
        <v>0</v>
      </c>
      <c r="AF6" s="193">
        <f>IF(OR(AA6&lt;=$F$18,AA6&lt;=30),EXP(-LN(2)/$D$104)*AF5+((1-EXP(-LN(2)/$D$104))/(LN(2)/$D$104))*$AB6*AC6*0.475*$F$19*44/12,)</f>
        <v>0</v>
      </c>
      <c r="AG6" s="193">
        <f>IF(OR(AA6&lt;=$F$18,AA6&lt;=30),EXP(-LN(2)/$D$106)*AG5+((1-EXP(-LN(2)/$D$106))/(LN(2)/$D$106))*$AB6*AD6*0.475*$F$19*44/12,)</f>
        <v>0</v>
      </c>
      <c r="AH6" s="193">
        <f>IF(OR(AA6&lt;=$F$18,AA6&lt;=30),EXP(-LN(2)/$D$105)*AH5+((1-EXP(-LN(2)/$D$105))/(LN(2)/$D$105))*$AB6*AE6*0.475*$F$19*44/12,)</f>
        <v>0</v>
      </c>
      <c r="AI6" s="198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3">
        <f t="shared" si="15"/>
        <v>0</v>
      </c>
      <c r="AR6" s="193">
        <f t="shared" si="16"/>
        <v>0</v>
      </c>
      <c r="AS6" s="193">
        <f t="shared" si="17"/>
        <v>0</v>
      </c>
      <c r="AT6" s="193">
        <f t="shared" si="18"/>
        <v>0</v>
      </c>
      <c r="AU6" s="33"/>
      <c r="AV6" s="33"/>
      <c r="AW6" s="33"/>
      <c r="AX6" s="33"/>
      <c r="AY6" s="163">
        <f>IF(AK6&lt;=$F$18,AL6*$G$108+AY5,)</f>
        <v>0</v>
      </c>
    </row>
    <row r="7" spans="2:51">
      <c r="B7" s="364" t="s">
        <v>134</v>
      </c>
      <c r="C7" s="377"/>
      <c r="D7" s="378"/>
      <c r="E7" s="378"/>
      <c r="F7" s="379"/>
      <c r="I7" s="55">
        <v>2</v>
      </c>
      <c r="J7" s="33">
        <f t="shared" ref="J7:J70" si="21">IF($I7&lt;=$F$10,$F$11*$F$13+J6,)</f>
        <v>0.84</v>
      </c>
      <c r="K7" s="33">
        <f t="shared" ref="K7:K70" si="22">IF(J7=0,0,EXP(-1.0587+0.8836*LN(J7)+0.284))</f>
        <v>0.39504379260136169</v>
      </c>
      <c r="L7" s="33">
        <f t="shared" ref="L7:L70" si="23">IF(I7&lt;=$F$10,$F$5+($F$8-$F$5)*(1-EXP(-0.0175*I7)),)</f>
        <v>70</v>
      </c>
      <c r="M7" s="33">
        <f t="shared" ref="M7:M70" si="24">IF(I7&lt;=$F$10,IF(I7&lt;=30,I7*($F$9-$F$6)/30,$F$9-$F$6),)</f>
        <v>0.66666666666666663</v>
      </c>
      <c r="N7" s="33">
        <f t="shared" si="0"/>
        <v>0</v>
      </c>
      <c r="O7" s="34">
        <f t="shared" si="1"/>
        <v>261.26214571655851</v>
      </c>
      <c r="P7" s="55">
        <v>2</v>
      </c>
      <c r="Q7" s="33">
        <f t="shared" si="19"/>
        <v>3.5100000000000002</v>
      </c>
      <c r="R7" s="33">
        <f t="shared" ref="R7:R70" si="25">IF(P7&lt;=$F$18,Q7+R6,)</f>
        <v>7.0200000000000005</v>
      </c>
      <c r="S7" s="33">
        <f t="shared" ref="S7:S70" si="26">$F$19*R7</f>
        <v>3.0186000000000002</v>
      </c>
      <c r="T7" s="33">
        <f t="shared" si="2"/>
        <v>1.2232303965468183</v>
      </c>
      <c r="U7" s="33">
        <f t="shared" si="20"/>
        <v>70</v>
      </c>
      <c r="V7" s="33">
        <f t="shared" si="3"/>
        <v>0.66666666666666663</v>
      </c>
      <c r="W7" s="33">
        <v>0</v>
      </c>
      <c r="X7" s="33">
        <f t="shared" si="4"/>
        <v>266.49896571843016</v>
      </c>
      <c r="Y7" s="38">
        <f t="shared" si="5"/>
        <v>5.2368200018716493</v>
      </c>
      <c r="AA7" s="71">
        <v>2</v>
      </c>
      <c r="AB7" s="33">
        <f t="shared" si="6"/>
        <v>0</v>
      </c>
      <c r="AC7" s="304">
        <f t="shared" si="7"/>
        <v>0</v>
      </c>
      <c r="AD7" s="100">
        <f t="shared" si="8"/>
        <v>0</v>
      </c>
      <c r="AE7" s="100">
        <f t="shared" si="9"/>
        <v>0</v>
      </c>
      <c r="AF7" s="193">
        <f>IF(OR(AA7&lt;=$F$18,AA7&lt;=30),EXP(-LN(2)/$D$104)*AF6+((1-EXP(-LN(2)/$D$104))/(LN(2)/$D$104))*$AB7*AC7*0.475*$F$19*44/12,)</f>
        <v>0</v>
      </c>
      <c r="AG7" s="193">
        <f>IF(OR(AA7&lt;=$F$18,AA7&lt;=30),EXP(-LN(2)/$D$106)*AG6+((1-EXP(-LN(2)/$D$106))/(LN(2)/$D$106))*$AB7*AD7*0.475*$F$19*44/12,)</f>
        <v>0</v>
      </c>
      <c r="AH7" s="193">
        <f>IF(OR(AA7&lt;=$F$18,AA7&lt;=30),EXP(-LN(2)/$D$105)*AH6+((1-EXP(-LN(2)/$D$105))/(LN(2)/$D$105))*$AB7*AE7*0.475*$F$19*44/12,)</f>
        <v>0</v>
      </c>
      <c r="AI7" s="198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3">
        <f t="shared" si="15"/>
        <v>0</v>
      </c>
      <c r="AR7" s="193">
        <f t="shared" si="16"/>
        <v>0</v>
      </c>
      <c r="AS7" s="193">
        <f t="shared" si="17"/>
        <v>0</v>
      </c>
      <c r="AT7" s="193">
        <f t="shared" si="18"/>
        <v>0</v>
      </c>
      <c r="AU7" s="33"/>
      <c r="AV7" s="33"/>
      <c r="AW7" s="33"/>
      <c r="AX7" s="33"/>
      <c r="AY7" s="163">
        <f t="shared" ref="AY7:AY35" si="27">IF(AK7&lt;=$F$18,AL7*$G$108+AY6,)</f>
        <v>0</v>
      </c>
    </row>
    <row r="8" spans="2:51">
      <c r="B8" s="374"/>
      <c r="C8" s="93" t="s">
        <v>73</v>
      </c>
      <c r="D8" s="370" t="s">
        <v>135</v>
      </c>
      <c r="E8" s="370"/>
      <c r="F8" s="94">
        <f>IF(D8="","",VLOOKUP(D8,$B$97:$C$100,2,0))</f>
        <v>70</v>
      </c>
      <c r="I8" s="55">
        <v>3</v>
      </c>
      <c r="J8" s="33">
        <f t="shared" si="21"/>
        <v>1.26</v>
      </c>
      <c r="K8" s="33">
        <f t="shared" si="22"/>
        <v>0.56524857809693341</v>
      </c>
      <c r="L8" s="33">
        <f t="shared" si="23"/>
        <v>70</v>
      </c>
      <c r="M8" s="33">
        <f t="shared" si="24"/>
        <v>1</v>
      </c>
      <c r="N8" s="33">
        <f t="shared" si="0"/>
        <v>0</v>
      </c>
      <c r="O8" s="34">
        <f t="shared" si="1"/>
        <v>263.51230794018551</v>
      </c>
      <c r="P8" s="55">
        <v>3</v>
      </c>
      <c r="Q8" s="33">
        <f t="shared" si="19"/>
        <v>3.5100000000000002</v>
      </c>
      <c r="R8" s="33">
        <f t="shared" si="25"/>
        <v>10.530000000000001</v>
      </c>
      <c r="S8" s="33">
        <f t="shared" si="26"/>
        <v>4.5279000000000007</v>
      </c>
      <c r="T8" s="33">
        <f t="shared" si="2"/>
        <v>1.7502597314084556</v>
      </c>
      <c r="U8" s="33">
        <f t="shared" si="20"/>
        <v>70</v>
      </c>
      <c r="V8" s="33">
        <f t="shared" si="3"/>
        <v>1</v>
      </c>
      <c r="W8" s="33">
        <v>0</v>
      </c>
      <c r="X8" s="33">
        <f t="shared" si="4"/>
        <v>271.26779486553642</v>
      </c>
      <c r="Y8" s="38">
        <f t="shared" si="5"/>
        <v>7.7554869253509082</v>
      </c>
      <c r="AA8" s="71">
        <v>3</v>
      </c>
      <c r="AB8" s="33">
        <f t="shared" si="6"/>
        <v>0</v>
      </c>
      <c r="AC8" s="304">
        <f t="shared" si="7"/>
        <v>0</v>
      </c>
      <c r="AD8" s="100">
        <f t="shared" si="8"/>
        <v>0</v>
      </c>
      <c r="AE8" s="100">
        <f t="shared" si="9"/>
        <v>0</v>
      </c>
      <c r="AF8" s="193">
        <f>IF(OR(AA8&lt;=$F$18,AA8&lt;=30),EXP(-LN(2)/$D$104)*AF7+((1-EXP(-LN(2)/$D$104))/(LN(2)/$D$104))*$AB8*AC8*0.475*$F$19*44/12,)</f>
        <v>0</v>
      </c>
      <c r="AG8" s="193">
        <f>IF(OR(AA8&lt;=$F$18,AA8&lt;=30),EXP(-LN(2)/$D$106)*AG7+((1-EXP(-LN(2)/$D$106))/(LN(2)/$D$106))*$AB8*AD8*0.475*$F$19*44/12,)</f>
        <v>0</v>
      </c>
      <c r="AH8" s="193">
        <f>IF(OR(AA8&lt;=$F$18,AA8&lt;=30),EXP(-LN(2)/$D$105)*AH7+((1-EXP(-LN(2)/$D$105))/(LN(2)/$D$105))*$AB8*AE8*0.475*$F$19*44/12,)</f>
        <v>0</v>
      </c>
      <c r="AI8" s="198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3">
        <f t="shared" si="15"/>
        <v>0</v>
      </c>
      <c r="AR8" s="193">
        <f t="shared" si="16"/>
        <v>0</v>
      </c>
      <c r="AS8" s="193">
        <f t="shared" si="17"/>
        <v>0</v>
      </c>
      <c r="AT8" s="193">
        <f t="shared" si="18"/>
        <v>0</v>
      </c>
      <c r="AU8" s="33"/>
      <c r="AV8" s="33"/>
      <c r="AW8" s="33"/>
      <c r="AX8" s="33"/>
      <c r="AY8" s="163">
        <f t="shared" si="27"/>
        <v>0</v>
      </c>
    </row>
    <row r="9" spans="2:51">
      <c r="B9" s="374"/>
      <c r="C9" s="93" t="s">
        <v>74</v>
      </c>
      <c r="D9" s="366" t="str">
        <f>IF(D8=$B$100,"totale","néant")</f>
        <v>totale</v>
      </c>
      <c r="E9" s="366"/>
      <c r="F9" s="94">
        <f>IF(D8=B100,10,VLOOKUP(D8,$B$97:$D$100,3,FALSE))</f>
        <v>10</v>
      </c>
      <c r="I9" s="55">
        <v>4</v>
      </c>
      <c r="J9" s="33">
        <f t="shared" si="21"/>
        <v>1.68</v>
      </c>
      <c r="K9" s="33">
        <f t="shared" si="22"/>
        <v>0.72884528094749779</v>
      </c>
      <c r="L9" s="33">
        <f t="shared" si="23"/>
        <v>70</v>
      </c>
      <c r="M9" s="33">
        <f t="shared" si="24"/>
        <v>1.3333333333333333</v>
      </c>
      <c r="N9" s="33">
        <f t="shared" si="0"/>
        <v>0</v>
      </c>
      <c r="O9" s="34">
        <f t="shared" si="1"/>
        <v>265.75096108653912</v>
      </c>
      <c r="P9" s="55">
        <v>4</v>
      </c>
      <c r="Q9" s="33">
        <f t="shared" si="19"/>
        <v>3.5100000000000002</v>
      </c>
      <c r="R9" s="33">
        <f t="shared" si="25"/>
        <v>14.040000000000001</v>
      </c>
      <c r="S9" s="33">
        <f t="shared" si="26"/>
        <v>6.0372000000000003</v>
      </c>
      <c r="T9" s="33">
        <f t="shared" si="2"/>
        <v>2.2568275181945281</v>
      </c>
      <c r="U9" s="33">
        <f t="shared" si="20"/>
        <v>70</v>
      </c>
      <c r="V9" s="33">
        <f t="shared" si="3"/>
        <v>1.3333333333333333</v>
      </c>
      <c r="W9" s="33">
        <v>0</v>
      </c>
      <c r="X9" s="33">
        <f t="shared" si="4"/>
        <v>276.00098681641106</v>
      </c>
      <c r="Y9" s="38">
        <f t="shared" si="5"/>
        <v>10.250025729871936</v>
      </c>
      <c r="AA9" s="71">
        <v>4</v>
      </c>
      <c r="AB9" s="33">
        <f t="shared" si="6"/>
        <v>0</v>
      </c>
      <c r="AC9" s="304">
        <f t="shared" si="7"/>
        <v>0</v>
      </c>
      <c r="AD9" s="100">
        <f t="shared" si="8"/>
        <v>0</v>
      </c>
      <c r="AE9" s="100">
        <f t="shared" si="9"/>
        <v>0</v>
      </c>
      <c r="AF9" s="193">
        <f>IF(OR(AA9&lt;=$F$18,AA9&lt;=30),EXP(-LN(2)/$D$104)*AF8+((1-EXP(-LN(2)/$D$104))/(LN(2)/$D$104))*$AB9*AC9*0.475*$F$19*44/12,)</f>
        <v>0</v>
      </c>
      <c r="AG9" s="193">
        <f>IF(OR(AA9&lt;=$F$18,AA9&lt;=30),EXP(-LN(2)/$D$106)*AG8+((1-EXP(-LN(2)/$D$106))/(LN(2)/$D$106))*$AB9*AD9*0.475*$F$19*44/12,)</f>
        <v>0</v>
      </c>
      <c r="AH9" s="193">
        <f>IF(OR(AA9&lt;=$F$18,AA9&lt;=30),EXP(-LN(2)/$D$105)*AH8+((1-EXP(-LN(2)/$D$105))/(LN(2)/$D$105))*$AB9*AE9*0.475*$F$19*44/12,)</f>
        <v>0</v>
      </c>
      <c r="AI9" s="198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3">
        <f t="shared" si="15"/>
        <v>0</v>
      </c>
      <c r="AR9" s="193">
        <f t="shared" si="16"/>
        <v>0</v>
      </c>
      <c r="AS9" s="193">
        <f t="shared" si="17"/>
        <v>0</v>
      </c>
      <c r="AT9" s="193">
        <f t="shared" si="18"/>
        <v>0</v>
      </c>
      <c r="AU9" s="33"/>
      <c r="AV9" s="33"/>
      <c r="AW9" s="33"/>
      <c r="AX9" s="33"/>
      <c r="AY9" s="163">
        <f t="shared" si="27"/>
        <v>0</v>
      </c>
    </row>
    <row r="10" spans="2:51">
      <c r="B10" s="374"/>
      <c r="C10" s="368" t="s">
        <v>124</v>
      </c>
      <c r="D10" s="363" t="s">
        <v>136</v>
      </c>
      <c r="E10" s="363"/>
      <c r="F10" s="95">
        <f>F18</f>
        <v>80</v>
      </c>
      <c r="I10" s="55">
        <v>5</v>
      </c>
      <c r="J10" s="33">
        <f t="shared" si="21"/>
        <v>2.1</v>
      </c>
      <c r="K10" s="33">
        <f t="shared" si="22"/>
        <v>0.88769757543783612</v>
      </c>
      <c r="L10" s="33">
        <f t="shared" si="23"/>
        <v>70</v>
      </c>
      <c r="M10" s="33">
        <f t="shared" si="24"/>
        <v>1.6666666666666667</v>
      </c>
      <c r="N10" s="33">
        <f t="shared" si="0"/>
        <v>0</v>
      </c>
      <c r="O10" s="34">
        <f t="shared" si="1"/>
        <v>267.9813510549987</v>
      </c>
      <c r="P10" s="55">
        <v>5</v>
      </c>
      <c r="Q10" s="33">
        <f t="shared" si="19"/>
        <v>3.5100000000000002</v>
      </c>
      <c r="R10" s="33">
        <f t="shared" si="25"/>
        <v>17.55</v>
      </c>
      <c r="S10" s="33">
        <f t="shared" si="26"/>
        <v>7.5465</v>
      </c>
      <c r="T10" s="33">
        <f t="shared" si="2"/>
        <v>2.7487045172032674</v>
      </c>
      <c r="U10" s="33">
        <f t="shared" si="20"/>
        <v>70</v>
      </c>
      <c r="V10" s="33">
        <f t="shared" si="3"/>
        <v>1.6666666666666667</v>
      </c>
      <c r="W10" s="33">
        <v>0</v>
      </c>
      <c r="X10" s="33">
        <f t="shared" si="4"/>
        <v>280.70859231190684</v>
      </c>
      <c r="Y10" s="38">
        <f t="shared" si="5"/>
        <v>12.727241256908144</v>
      </c>
      <c r="AA10" s="71">
        <v>5</v>
      </c>
      <c r="AB10" s="33">
        <f t="shared" si="6"/>
        <v>0</v>
      </c>
      <c r="AC10" s="304">
        <f t="shared" si="7"/>
        <v>0</v>
      </c>
      <c r="AD10" s="100">
        <f t="shared" si="8"/>
        <v>0</v>
      </c>
      <c r="AE10" s="100">
        <f t="shared" si="9"/>
        <v>0</v>
      </c>
      <c r="AF10" s="193">
        <f t="shared" ref="AF10:AF24" si="28">IF(OR(AA10&lt;=$F$18,AA10&lt;=30),EXP(-LN(2)/$D$104)*AF9+((1-EXP(-LN(2)/$D$104))/(LN(2)/$D$104))*$AB10*AC10*0.475*$F$19*44/12,)</f>
        <v>0</v>
      </c>
      <c r="AG10" s="193">
        <f t="shared" ref="AG10:AG24" si="29">IF(OR(AA10&lt;=$F$18,AA10&lt;=30),EXP(-LN(2)/$D$106)*AG9+((1-EXP(-LN(2)/$D$106))/(LN(2)/$D$106))*$AB10*AD10*0.475*$F$19*44/12,)</f>
        <v>0</v>
      </c>
      <c r="AH10" s="193">
        <f t="shared" ref="AH10:AH24" si="30">IF(OR(AA10&lt;=$F$18,AA10&lt;=30),EXP(-LN(2)/$D$105)*AH9+((1-EXP(-LN(2)/$D$105))/(LN(2)/$D$105))*$AB10*AE10*0.475*$F$19*44/12,)</f>
        <v>0</v>
      </c>
      <c r="AI10" s="198">
        <f t="shared" ref="AI10:AI24" si="31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3">
        <f t="shared" si="15"/>
        <v>0</v>
      </c>
      <c r="AR10" s="193">
        <f t="shared" si="16"/>
        <v>0</v>
      </c>
      <c r="AS10" s="193">
        <f t="shared" si="17"/>
        <v>0</v>
      </c>
      <c r="AT10" s="193">
        <f t="shared" si="18"/>
        <v>0</v>
      </c>
      <c r="AU10" s="33"/>
      <c r="AV10" s="33"/>
      <c r="AW10" s="33"/>
      <c r="AX10" s="33"/>
      <c r="AY10" s="163">
        <f t="shared" si="27"/>
        <v>0</v>
      </c>
    </row>
    <row r="11" spans="2:51">
      <c r="B11" s="374"/>
      <c r="C11" s="368"/>
      <c r="D11" s="366" t="s">
        <v>139</v>
      </c>
      <c r="E11" s="366"/>
      <c r="F11" s="36">
        <f>IF(D8=$B$100,1,0)</f>
        <v>1</v>
      </c>
      <c r="I11" s="55">
        <v>6</v>
      </c>
      <c r="J11" s="33">
        <f t="shared" si="21"/>
        <v>2.52</v>
      </c>
      <c r="K11" s="33">
        <f t="shared" si="22"/>
        <v>1.0428685791905616</v>
      </c>
      <c r="L11" s="33">
        <f t="shared" si="23"/>
        <v>70</v>
      </c>
      <c r="M11" s="33">
        <f t="shared" si="24"/>
        <v>2</v>
      </c>
      <c r="N11" s="33">
        <f t="shared" si="0"/>
        <v>0</v>
      </c>
      <c r="O11" s="34">
        <f t="shared" si="1"/>
        <v>270.2053294420902</v>
      </c>
      <c r="P11" s="55">
        <v>6</v>
      </c>
      <c r="Q11" s="33">
        <f t="shared" si="19"/>
        <v>3.5100000000000002</v>
      </c>
      <c r="R11" s="33">
        <f t="shared" si="25"/>
        <v>21.060000000000002</v>
      </c>
      <c r="S11" s="33">
        <f t="shared" si="26"/>
        <v>9.0558000000000014</v>
      </c>
      <c r="T11" s="33">
        <f t="shared" si="2"/>
        <v>3.229182611044755</v>
      </c>
      <c r="U11" s="33">
        <f t="shared" si="20"/>
        <v>70</v>
      </c>
      <c r="V11" s="33">
        <f t="shared" si="3"/>
        <v>2</v>
      </c>
      <c r="W11" s="33">
        <v>0</v>
      </c>
      <c r="X11" s="33">
        <f t="shared" si="4"/>
        <v>285.39634471423625</v>
      </c>
      <c r="Y11" s="38">
        <f t="shared" si="5"/>
        <v>15.191015272146046</v>
      </c>
      <c r="AA11" s="71">
        <v>6</v>
      </c>
      <c r="AB11" s="33">
        <f t="shared" si="6"/>
        <v>0</v>
      </c>
      <c r="AC11" s="304">
        <f t="shared" si="7"/>
        <v>0</v>
      </c>
      <c r="AD11" s="100">
        <f t="shared" si="8"/>
        <v>0</v>
      </c>
      <c r="AE11" s="100">
        <f t="shared" si="9"/>
        <v>0</v>
      </c>
      <c r="AF11" s="193">
        <f t="shared" si="28"/>
        <v>0</v>
      </c>
      <c r="AG11" s="193">
        <f t="shared" si="29"/>
        <v>0</v>
      </c>
      <c r="AH11" s="193">
        <f t="shared" si="30"/>
        <v>0</v>
      </c>
      <c r="AI11" s="198">
        <f t="shared" si="31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3">
        <f t="shared" si="15"/>
        <v>0</v>
      </c>
      <c r="AR11" s="193">
        <f t="shared" si="16"/>
        <v>0</v>
      </c>
      <c r="AS11" s="193">
        <f t="shared" si="17"/>
        <v>0</v>
      </c>
      <c r="AT11" s="193">
        <f t="shared" si="18"/>
        <v>0</v>
      </c>
      <c r="AU11" s="33"/>
      <c r="AV11" s="33"/>
      <c r="AW11" s="33"/>
      <c r="AX11" s="33"/>
      <c r="AY11" s="163">
        <f t="shared" si="27"/>
        <v>0</v>
      </c>
    </row>
    <row r="12" spans="2:51" ht="32">
      <c r="B12" s="374"/>
      <c r="C12" s="368"/>
      <c r="D12" s="363" t="s">
        <v>131</v>
      </c>
      <c r="E12" s="363"/>
      <c r="F12" s="96" t="s">
        <v>69</v>
      </c>
      <c r="I12" s="55">
        <v>7</v>
      </c>
      <c r="J12" s="33">
        <f t="shared" si="21"/>
        <v>2.94</v>
      </c>
      <c r="K12" s="33">
        <f t="shared" si="22"/>
        <v>1.1950436430309317</v>
      </c>
      <c r="L12" s="33">
        <f t="shared" si="23"/>
        <v>70</v>
      </c>
      <c r="M12" s="33">
        <f t="shared" si="24"/>
        <v>2.3333333333333335</v>
      </c>
      <c r="N12" s="33">
        <f t="shared" si="0"/>
        <v>0</v>
      </c>
      <c r="O12" s="34">
        <f t="shared" si="1"/>
        <v>272.42408990050109</v>
      </c>
      <c r="P12" s="55">
        <v>7</v>
      </c>
      <c r="Q12" s="33">
        <f t="shared" si="19"/>
        <v>3.5100000000000002</v>
      </c>
      <c r="R12" s="33">
        <f t="shared" si="25"/>
        <v>24.570000000000004</v>
      </c>
      <c r="S12" s="33">
        <f t="shared" si="26"/>
        <v>10.565100000000001</v>
      </c>
      <c r="T12" s="33">
        <f t="shared" si="2"/>
        <v>3.7003839491552162</v>
      </c>
      <c r="U12" s="33">
        <f t="shared" si="20"/>
        <v>70</v>
      </c>
      <c r="V12" s="33">
        <f t="shared" si="3"/>
        <v>2.3333333333333335</v>
      </c>
      <c r="W12" s="33">
        <v>0</v>
      </c>
      <c r="X12" s="33">
        <f t="shared" si="4"/>
        <v>290.06794010033423</v>
      </c>
      <c r="Y12" s="38">
        <f t="shared" si="5"/>
        <v>17.643850199833139</v>
      </c>
      <c r="AA12" s="71">
        <v>7</v>
      </c>
      <c r="AB12" s="33">
        <f t="shared" si="6"/>
        <v>0</v>
      </c>
      <c r="AC12" s="304">
        <f t="shared" si="7"/>
        <v>0</v>
      </c>
      <c r="AD12" s="100">
        <f t="shared" si="8"/>
        <v>0</v>
      </c>
      <c r="AE12" s="100">
        <f t="shared" si="9"/>
        <v>0</v>
      </c>
      <c r="AF12" s="193">
        <f t="shared" si="28"/>
        <v>0</v>
      </c>
      <c r="AG12" s="193">
        <f t="shared" si="29"/>
        <v>0</v>
      </c>
      <c r="AH12" s="193">
        <f t="shared" si="30"/>
        <v>0</v>
      </c>
      <c r="AI12" s="198">
        <f t="shared" si="31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3">
        <f t="shared" si="15"/>
        <v>0</v>
      </c>
      <c r="AR12" s="193">
        <f t="shared" si="16"/>
        <v>0</v>
      </c>
      <c r="AS12" s="193">
        <f t="shared" si="17"/>
        <v>0</v>
      </c>
      <c r="AT12" s="193">
        <f t="shared" si="18"/>
        <v>0</v>
      </c>
      <c r="AU12" s="33"/>
      <c r="AV12" s="33"/>
      <c r="AW12" s="33"/>
      <c r="AX12" s="33"/>
      <c r="AY12" s="163">
        <f t="shared" si="27"/>
        <v>0</v>
      </c>
    </row>
    <row r="13" spans="2:51">
      <c r="B13" s="365"/>
      <c r="C13" s="369"/>
      <c r="D13" s="367" t="s">
        <v>155</v>
      </c>
      <c r="E13" s="367"/>
      <c r="F13" s="37">
        <f>IF(ISBLANK(F$12),,VLOOKUP(F$12,C131:D195,2,FALSE))</f>
        <v>0.42</v>
      </c>
      <c r="I13" s="55">
        <v>8</v>
      </c>
      <c r="J13" s="33">
        <f t="shared" si="21"/>
        <v>3.36</v>
      </c>
      <c r="K13" s="33">
        <f t="shared" si="22"/>
        <v>1.3447001408663719</v>
      </c>
      <c r="L13" s="33">
        <f t="shared" si="23"/>
        <v>70</v>
      </c>
      <c r="M13" s="33">
        <f t="shared" si="24"/>
        <v>2.6666666666666665</v>
      </c>
      <c r="N13" s="33">
        <f t="shared" si="0"/>
        <v>0</v>
      </c>
      <c r="O13" s="34">
        <f t="shared" si="1"/>
        <v>274.63846385645343</v>
      </c>
      <c r="P13" s="55">
        <v>8</v>
      </c>
      <c r="Q13" s="33">
        <f t="shared" si="19"/>
        <v>3.5100000000000002</v>
      </c>
      <c r="R13" s="33">
        <f t="shared" si="25"/>
        <v>28.080000000000005</v>
      </c>
      <c r="S13" s="33">
        <f t="shared" si="26"/>
        <v>12.074400000000002</v>
      </c>
      <c r="T13" s="33">
        <f t="shared" si="2"/>
        <v>4.1637866923993929</v>
      </c>
      <c r="U13" s="33">
        <f t="shared" si="20"/>
        <v>70</v>
      </c>
      <c r="V13" s="33">
        <f t="shared" si="3"/>
        <v>2.6666666666666665</v>
      </c>
      <c r="W13" s="33">
        <v>0</v>
      </c>
      <c r="X13" s="33">
        <f t="shared" si="4"/>
        <v>294.72595293370671</v>
      </c>
      <c r="Y13" s="38">
        <f t="shared" si="5"/>
        <v>20.087489077253281</v>
      </c>
      <c r="AA13" s="71">
        <v>8</v>
      </c>
      <c r="AB13" s="33">
        <f t="shared" si="6"/>
        <v>0</v>
      </c>
      <c r="AC13" s="304">
        <f t="shared" si="7"/>
        <v>0</v>
      </c>
      <c r="AD13" s="100">
        <f t="shared" si="8"/>
        <v>0</v>
      </c>
      <c r="AE13" s="100">
        <f t="shared" si="9"/>
        <v>0</v>
      </c>
      <c r="AF13" s="193">
        <f t="shared" si="28"/>
        <v>0</v>
      </c>
      <c r="AG13" s="193">
        <f t="shared" si="29"/>
        <v>0</v>
      </c>
      <c r="AH13" s="193">
        <f t="shared" si="30"/>
        <v>0</v>
      </c>
      <c r="AI13" s="198">
        <f t="shared" si="31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3">
        <f t="shared" si="15"/>
        <v>0</v>
      </c>
      <c r="AR13" s="193">
        <f t="shared" si="16"/>
        <v>0</v>
      </c>
      <c r="AS13" s="193">
        <f t="shared" si="17"/>
        <v>0</v>
      </c>
      <c r="AT13" s="193">
        <f t="shared" si="18"/>
        <v>0</v>
      </c>
      <c r="AU13" s="33"/>
      <c r="AV13" s="33"/>
      <c r="AW13" s="33"/>
      <c r="AX13" s="33"/>
      <c r="AY13" s="163">
        <f t="shared" si="27"/>
        <v>0</v>
      </c>
    </row>
    <row r="14" spans="2:51">
      <c r="B14" s="364" t="s">
        <v>132</v>
      </c>
      <c r="C14" s="360"/>
      <c r="D14" s="361"/>
      <c r="E14" s="361"/>
      <c r="F14" s="362"/>
      <c r="I14" s="55">
        <v>9</v>
      </c>
      <c r="J14" s="33">
        <f t="shared" si="21"/>
        <v>3.78</v>
      </c>
      <c r="K14" s="33">
        <f t="shared" si="22"/>
        <v>1.4921889485915243</v>
      </c>
      <c r="L14" s="33">
        <f t="shared" si="23"/>
        <v>70</v>
      </c>
      <c r="M14" s="33">
        <f t="shared" si="24"/>
        <v>3</v>
      </c>
      <c r="N14" s="33">
        <f t="shared" si="0"/>
        <v>0</v>
      </c>
      <c r="O14" s="34">
        <f t="shared" si="1"/>
        <v>276.8490624187969</v>
      </c>
      <c r="P14" s="55">
        <v>9</v>
      </c>
      <c r="Q14" s="33">
        <f t="shared" si="19"/>
        <v>3.5100000000000002</v>
      </c>
      <c r="R14" s="33">
        <f t="shared" si="25"/>
        <v>31.590000000000007</v>
      </c>
      <c r="S14" s="33">
        <f t="shared" si="26"/>
        <v>13.583700000000002</v>
      </c>
      <c r="T14" s="33">
        <f t="shared" si="2"/>
        <v>4.6204773078165786</v>
      </c>
      <c r="U14" s="33">
        <f t="shared" si="20"/>
        <v>70</v>
      </c>
      <c r="V14" s="33">
        <f t="shared" si="3"/>
        <v>3</v>
      </c>
      <c r="W14" s="33">
        <v>0</v>
      </c>
      <c r="X14" s="33">
        <f t="shared" si="4"/>
        <v>299.37227547778053</v>
      </c>
      <c r="Y14" s="38">
        <f t="shared" si="5"/>
        <v>22.523213058983629</v>
      </c>
      <c r="AA14" s="71">
        <v>9</v>
      </c>
      <c r="AB14" s="33">
        <f t="shared" si="6"/>
        <v>0</v>
      </c>
      <c r="AC14" s="304">
        <f t="shared" si="7"/>
        <v>0</v>
      </c>
      <c r="AD14" s="100">
        <f t="shared" si="8"/>
        <v>0</v>
      </c>
      <c r="AE14" s="100">
        <f t="shared" si="9"/>
        <v>0</v>
      </c>
      <c r="AF14" s="193">
        <f t="shared" si="28"/>
        <v>0</v>
      </c>
      <c r="AG14" s="193">
        <f t="shared" si="29"/>
        <v>0</v>
      </c>
      <c r="AH14" s="193">
        <f t="shared" si="30"/>
        <v>0</v>
      </c>
      <c r="AI14" s="198">
        <f t="shared" si="31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3">
        <f t="shared" si="15"/>
        <v>0</v>
      </c>
      <c r="AR14" s="193">
        <f t="shared" si="16"/>
        <v>0</v>
      </c>
      <c r="AS14" s="193">
        <f t="shared" si="17"/>
        <v>0</v>
      </c>
      <c r="AT14" s="193">
        <f t="shared" si="18"/>
        <v>0</v>
      </c>
      <c r="AU14" s="33"/>
      <c r="AV14" s="33"/>
      <c r="AW14" s="33"/>
      <c r="AX14" s="33"/>
      <c r="AY14" s="163">
        <f t="shared" si="27"/>
        <v>0</v>
      </c>
    </row>
    <row r="15" spans="2:51">
      <c r="B15" s="374"/>
      <c r="C15" s="93" t="s">
        <v>73</v>
      </c>
      <c r="D15" s="370" t="s">
        <v>135</v>
      </c>
      <c r="E15" s="370"/>
      <c r="F15" s="94">
        <f>IF(D15="","",VLOOKUP(D15,$B$97:$C$100,2,0))</f>
        <v>70</v>
      </c>
      <c r="I15" s="55">
        <v>10</v>
      </c>
      <c r="J15" s="33">
        <f t="shared" si="21"/>
        <v>4.2</v>
      </c>
      <c r="K15" s="33">
        <f t="shared" si="22"/>
        <v>1.6377783954177545</v>
      </c>
      <c r="L15" s="33">
        <f t="shared" si="23"/>
        <v>70</v>
      </c>
      <c r="M15" s="33">
        <f t="shared" si="24"/>
        <v>3.3333333333333335</v>
      </c>
      <c r="N15" s="33">
        <f t="shared" si="0"/>
        <v>0</v>
      </c>
      <c r="O15" s="34">
        <f t="shared" si="1"/>
        <v>279.05635292757478</v>
      </c>
      <c r="P15" s="55">
        <v>10</v>
      </c>
      <c r="Q15" s="33">
        <f t="shared" si="19"/>
        <v>3.5100000000000002</v>
      </c>
      <c r="R15" s="33">
        <f t="shared" si="25"/>
        <v>35.100000000000009</v>
      </c>
      <c r="S15" s="33">
        <f t="shared" si="26"/>
        <v>15.093000000000004</v>
      </c>
      <c r="T15" s="33">
        <f t="shared" si="2"/>
        <v>5.0712866613861234</v>
      </c>
      <c r="U15" s="33">
        <f t="shared" si="20"/>
        <v>70</v>
      </c>
      <c r="V15" s="33">
        <f t="shared" si="3"/>
        <v>3.3333333333333335</v>
      </c>
      <c r="W15" s="33">
        <v>0</v>
      </c>
      <c r="X15" s="33">
        <f t="shared" si="4"/>
        <v>304.00835482413635</v>
      </c>
      <c r="Y15" s="38">
        <f t="shared" si="5"/>
        <v>24.952001896561569</v>
      </c>
      <c r="AA15" s="71">
        <v>10</v>
      </c>
      <c r="AB15" s="33">
        <f t="shared" si="6"/>
        <v>0</v>
      </c>
      <c r="AC15" s="304">
        <f t="shared" si="7"/>
        <v>0</v>
      </c>
      <c r="AD15" s="100">
        <f t="shared" si="8"/>
        <v>0</v>
      </c>
      <c r="AE15" s="100">
        <f t="shared" si="9"/>
        <v>0</v>
      </c>
      <c r="AF15" s="193">
        <f t="shared" si="28"/>
        <v>0</v>
      </c>
      <c r="AG15" s="193">
        <f t="shared" si="29"/>
        <v>0</v>
      </c>
      <c r="AH15" s="193">
        <f t="shared" si="30"/>
        <v>0</v>
      </c>
      <c r="AI15" s="198">
        <f t="shared" si="31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3">
        <f t="shared" si="15"/>
        <v>0</v>
      </c>
      <c r="AR15" s="193">
        <f t="shared" si="16"/>
        <v>0</v>
      </c>
      <c r="AS15" s="193">
        <f t="shared" si="17"/>
        <v>0</v>
      </c>
      <c r="AT15" s="193">
        <f t="shared" si="18"/>
        <v>0</v>
      </c>
      <c r="AU15" s="33"/>
      <c r="AV15" s="33"/>
      <c r="AW15" s="33"/>
      <c r="AX15" s="33"/>
      <c r="AY15" s="163">
        <f t="shared" si="27"/>
        <v>0</v>
      </c>
    </row>
    <row r="16" spans="2:51">
      <c r="B16" s="374"/>
      <c r="C16" s="93" t="s">
        <v>74</v>
      </c>
      <c r="D16" s="366" t="s">
        <v>138</v>
      </c>
      <c r="E16" s="366"/>
      <c r="F16" s="94">
        <v>10</v>
      </c>
      <c r="I16" s="55">
        <v>11</v>
      </c>
      <c r="J16" s="33">
        <f t="shared" si="21"/>
        <v>4.62</v>
      </c>
      <c r="K16" s="33">
        <f t="shared" si="22"/>
        <v>1.7816800392152941</v>
      </c>
      <c r="L16" s="33">
        <f t="shared" si="23"/>
        <v>70</v>
      </c>
      <c r="M16" s="33">
        <f t="shared" si="24"/>
        <v>3.6666666666666665</v>
      </c>
      <c r="N16" s="33">
        <f t="shared" si="0"/>
        <v>0</v>
      </c>
      <c r="O16" s="34">
        <f t="shared" si="1"/>
        <v>281.26070384607777</v>
      </c>
      <c r="P16" s="55">
        <v>11</v>
      </c>
      <c r="Q16" s="33">
        <f t="shared" si="19"/>
        <v>0</v>
      </c>
      <c r="R16" s="33">
        <f t="shared" si="25"/>
        <v>35.100000000000009</v>
      </c>
      <c r="S16" s="33">
        <f t="shared" si="26"/>
        <v>15.093000000000004</v>
      </c>
      <c r="T16" s="33">
        <f t="shared" si="2"/>
        <v>5.0712866613861234</v>
      </c>
      <c r="U16" s="33">
        <f t="shared" si="20"/>
        <v>70</v>
      </c>
      <c r="V16" s="33">
        <f t="shared" si="3"/>
        <v>3.6666666666666665</v>
      </c>
      <c r="W16" s="33">
        <v>0</v>
      </c>
      <c r="X16" s="33">
        <f t="shared" si="4"/>
        <v>305.23057704635863</v>
      </c>
      <c r="Y16" s="38">
        <f t="shared" si="5"/>
        <v>23.969873200280858</v>
      </c>
      <c r="AA16" s="71">
        <v>11</v>
      </c>
      <c r="AB16" s="33">
        <f t="shared" si="6"/>
        <v>0</v>
      </c>
      <c r="AC16" s="304">
        <f t="shared" si="7"/>
        <v>0</v>
      </c>
      <c r="AD16" s="100">
        <f t="shared" si="8"/>
        <v>0.56000000000000005</v>
      </c>
      <c r="AE16" s="100">
        <f t="shared" si="9"/>
        <v>0.44</v>
      </c>
      <c r="AF16" s="193">
        <f t="shared" si="28"/>
        <v>0</v>
      </c>
      <c r="AG16" s="193">
        <f t="shared" si="29"/>
        <v>0</v>
      </c>
      <c r="AH16" s="193">
        <f t="shared" si="30"/>
        <v>0</v>
      </c>
      <c r="AI16" s="198">
        <f t="shared" si="31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0.56000000000000005</v>
      </c>
      <c r="AO16" s="33">
        <f t="shared" si="13"/>
        <v>0.44</v>
      </c>
      <c r="AP16" s="33">
        <f t="shared" si="14"/>
        <v>0</v>
      </c>
      <c r="AQ16" s="193">
        <f t="shared" si="15"/>
        <v>0</v>
      </c>
      <c r="AR16" s="193">
        <f t="shared" si="16"/>
        <v>0</v>
      </c>
      <c r="AS16" s="193">
        <f t="shared" si="17"/>
        <v>0</v>
      </c>
      <c r="AT16" s="193">
        <f t="shared" si="18"/>
        <v>0</v>
      </c>
      <c r="AU16" s="33"/>
      <c r="AV16" s="33"/>
      <c r="AW16" s="33"/>
      <c r="AX16" s="33"/>
      <c r="AY16" s="163">
        <f t="shared" si="27"/>
        <v>0</v>
      </c>
    </row>
    <row r="17" spans="2:51" ht="16">
      <c r="B17" s="374"/>
      <c r="C17" s="368" t="s">
        <v>124</v>
      </c>
      <c r="D17" s="363" t="s">
        <v>131</v>
      </c>
      <c r="E17" s="363"/>
      <c r="F17" s="96" t="s">
        <v>27</v>
      </c>
      <c r="I17" s="55">
        <v>12</v>
      </c>
      <c r="J17" s="33">
        <f t="shared" si="21"/>
        <v>5.04</v>
      </c>
      <c r="K17" s="33">
        <f t="shared" si="22"/>
        <v>1.9240647665573338</v>
      </c>
      <c r="L17" s="33">
        <f t="shared" si="23"/>
        <v>70</v>
      </c>
      <c r="M17" s="33">
        <f t="shared" si="24"/>
        <v>4</v>
      </c>
      <c r="N17" s="33">
        <f t="shared" si="0"/>
        <v>0</v>
      </c>
      <c r="O17" s="34">
        <f t="shared" si="1"/>
        <v>283.462412801754</v>
      </c>
      <c r="P17" s="55">
        <v>12</v>
      </c>
      <c r="Q17" s="33">
        <f t="shared" si="19"/>
        <v>27.950000000000003</v>
      </c>
      <c r="R17" s="33">
        <f t="shared" si="25"/>
        <v>63.050000000000011</v>
      </c>
      <c r="S17" s="33">
        <f t="shared" si="26"/>
        <v>27.111500000000003</v>
      </c>
      <c r="T17" s="33">
        <f t="shared" si="2"/>
        <v>8.5091570347600918</v>
      </c>
      <c r="U17" s="33">
        <f t="shared" si="20"/>
        <v>70</v>
      </c>
      <c r="V17" s="33">
        <f t="shared" si="3"/>
        <v>4</v>
      </c>
      <c r="W17" s="33">
        <v>0</v>
      </c>
      <c r="X17" s="33">
        <f t="shared" si="4"/>
        <v>333.37264433554054</v>
      </c>
      <c r="Y17" s="38">
        <f t="shared" si="5"/>
        <v>49.910231533786543</v>
      </c>
      <c r="AA17" s="71">
        <v>12</v>
      </c>
      <c r="AB17" s="33">
        <f t="shared" si="6"/>
        <v>0</v>
      </c>
      <c r="AC17" s="304">
        <f t="shared" si="7"/>
        <v>0</v>
      </c>
      <c r="AD17" s="100">
        <f t="shared" si="8"/>
        <v>0</v>
      </c>
      <c r="AE17" s="100">
        <f t="shared" si="9"/>
        <v>0</v>
      </c>
      <c r="AF17" s="193">
        <f t="shared" si="28"/>
        <v>0</v>
      </c>
      <c r="AG17" s="193">
        <f t="shared" si="29"/>
        <v>0</v>
      </c>
      <c r="AH17" s="193">
        <f t="shared" si="30"/>
        <v>0</v>
      </c>
      <c r="AI17" s="198">
        <f t="shared" si="31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3">
        <f t="shared" si="15"/>
        <v>0</v>
      </c>
      <c r="AR17" s="193">
        <f t="shared" si="16"/>
        <v>0</v>
      </c>
      <c r="AS17" s="193">
        <f t="shared" si="17"/>
        <v>0</v>
      </c>
      <c r="AT17" s="193">
        <f t="shared" si="18"/>
        <v>0</v>
      </c>
      <c r="AU17" s="33"/>
      <c r="AV17" s="33"/>
      <c r="AW17" s="33"/>
      <c r="AX17" s="33"/>
      <c r="AY17" s="163">
        <f t="shared" si="27"/>
        <v>0</v>
      </c>
    </row>
    <row r="18" spans="2:51">
      <c r="B18" s="374"/>
      <c r="C18" s="368"/>
      <c r="D18" s="363" t="s">
        <v>136</v>
      </c>
      <c r="E18" s="363"/>
      <c r="F18" s="97">
        <v>80</v>
      </c>
      <c r="I18" s="55">
        <v>13</v>
      </c>
      <c r="J18" s="33">
        <f t="shared" si="21"/>
        <v>5.46</v>
      </c>
      <c r="K18" s="33">
        <f t="shared" si="22"/>
        <v>2.0650733588092969</v>
      </c>
      <c r="L18" s="33">
        <f t="shared" si="23"/>
        <v>70</v>
      </c>
      <c r="M18" s="33">
        <f t="shared" si="24"/>
        <v>4.333333333333333</v>
      </c>
      <c r="N18" s="33">
        <f t="shared" si="0"/>
        <v>0</v>
      </c>
      <c r="O18" s="34">
        <f t="shared" si="1"/>
        <v>285.66172498881508</v>
      </c>
      <c r="P18" s="55">
        <v>13</v>
      </c>
      <c r="Q18" s="33">
        <f t="shared" si="19"/>
        <v>27.950000000000003</v>
      </c>
      <c r="R18" s="33">
        <f t="shared" si="25"/>
        <v>91.000000000000014</v>
      </c>
      <c r="S18" s="33">
        <f t="shared" si="26"/>
        <v>39.130000000000003</v>
      </c>
      <c r="T18" s="33">
        <f t="shared" si="2"/>
        <v>11.767759023799298</v>
      </c>
      <c r="U18" s="33">
        <f t="shared" si="20"/>
        <v>70</v>
      </c>
      <c r="V18" s="33">
        <f t="shared" si="3"/>
        <v>4.333333333333333</v>
      </c>
      <c r="W18" s="33">
        <v>0</v>
      </c>
      <c r="X18" s="33">
        <f t="shared" si="4"/>
        <v>361.20248585533932</v>
      </c>
      <c r="Y18" s="38">
        <f t="shared" si="5"/>
        <v>75.540760866524238</v>
      </c>
      <c r="AA18" s="71">
        <v>13</v>
      </c>
      <c r="AB18" s="33">
        <f t="shared" si="6"/>
        <v>0</v>
      </c>
      <c r="AC18" s="304">
        <f t="shared" si="7"/>
        <v>0</v>
      </c>
      <c r="AD18" s="100">
        <f t="shared" si="8"/>
        <v>0</v>
      </c>
      <c r="AE18" s="100">
        <f t="shared" si="9"/>
        <v>0</v>
      </c>
      <c r="AF18" s="193">
        <f t="shared" si="28"/>
        <v>0</v>
      </c>
      <c r="AG18" s="193">
        <f t="shared" si="29"/>
        <v>0</v>
      </c>
      <c r="AH18" s="193">
        <f t="shared" si="30"/>
        <v>0</v>
      </c>
      <c r="AI18" s="198">
        <f t="shared" si="31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3">
        <f t="shared" si="15"/>
        <v>0</v>
      </c>
      <c r="AR18" s="193">
        <f t="shared" si="16"/>
        <v>0</v>
      </c>
      <c r="AS18" s="193">
        <f t="shared" si="17"/>
        <v>0</v>
      </c>
      <c r="AT18" s="193">
        <f t="shared" si="18"/>
        <v>0</v>
      </c>
      <c r="AU18" s="33"/>
      <c r="AV18" s="33"/>
      <c r="AW18" s="33"/>
      <c r="AX18" s="33"/>
      <c r="AY18" s="163">
        <f t="shared" si="27"/>
        <v>0</v>
      </c>
    </row>
    <row r="19" spans="2:51">
      <c r="B19" s="374"/>
      <c r="C19" s="368"/>
      <c r="D19" s="366" t="s">
        <v>155</v>
      </c>
      <c r="E19" s="366"/>
      <c r="F19" s="36">
        <f>IF(ISBLANK(F$17),,VLOOKUP(F$17,C131:D195,2,FALSE))</f>
        <v>0.43</v>
      </c>
      <c r="I19" s="55">
        <v>14</v>
      </c>
      <c r="J19" s="33">
        <f t="shared" si="21"/>
        <v>5.88</v>
      </c>
      <c r="K19" s="33">
        <f t="shared" si="22"/>
        <v>2.2048237083130879</v>
      </c>
      <c r="L19" s="33">
        <f t="shared" si="23"/>
        <v>70</v>
      </c>
      <c r="M19" s="33">
        <f t="shared" si="24"/>
        <v>4.666666666666667</v>
      </c>
      <c r="N19" s="33">
        <f t="shared" si="0"/>
        <v>0</v>
      </c>
      <c r="O19" s="34">
        <f t="shared" si="1"/>
        <v>287.85884573642306</v>
      </c>
      <c r="P19" s="55">
        <v>14</v>
      </c>
      <c r="Q19" s="33">
        <f t="shared" si="19"/>
        <v>27.950000000000003</v>
      </c>
      <c r="R19" s="33">
        <f t="shared" si="25"/>
        <v>118.95000000000002</v>
      </c>
      <c r="S19" s="33">
        <f t="shared" si="26"/>
        <v>51.148500000000006</v>
      </c>
      <c r="T19" s="33">
        <f t="shared" si="2"/>
        <v>14.909971627825184</v>
      </c>
      <c r="U19" s="33">
        <f t="shared" si="20"/>
        <v>70</v>
      </c>
      <c r="V19" s="33">
        <f t="shared" si="3"/>
        <v>4.666666666666667</v>
      </c>
      <c r="W19" s="33">
        <v>0</v>
      </c>
      <c r="X19" s="33">
        <f t="shared" si="4"/>
        <v>388.82961586290662</v>
      </c>
      <c r="Y19" s="38">
        <f t="shared" si="5"/>
        <v>100.97077012648356</v>
      </c>
      <c r="AA19" s="71">
        <v>14</v>
      </c>
      <c r="AB19" s="33">
        <f t="shared" si="6"/>
        <v>0</v>
      </c>
      <c r="AC19" s="304">
        <f t="shared" si="7"/>
        <v>0</v>
      </c>
      <c r="AD19" s="100">
        <f t="shared" si="8"/>
        <v>0</v>
      </c>
      <c r="AE19" s="100">
        <f t="shared" si="9"/>
        <v>0</v>
      </c>
      <c r="AF19" s="193">
        <f t="shared" si="28"/>
        <v>0</v>
      </c>
      <c r="AG19" s="193">
        <f t="shared" si="29"/>
        <v>0</v>
      </c>
      <c r="AH19" s="193">
        <f t="shared" si="30"/>
        <v>0</v>
      </c>
      <c r="AI19" s="198">
        <f t="shared" si="31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3">
        <f t="shared" si="15"/>
        <v>0</v>
      </c>
      <c r="AR19" s="193">
        <f t="shared" si="16"/>
        <v>0</v>
      </c>
      <c r="AS19" s="193">
        <f t="shared" si="17"/>
        <v>0</v>
      </c>
      <c r="AT19" s="193">
        <f t="shared" si="18"/>
        <v>0</v>
      </c>
      <c r="AU19" s="33"/>
      <c r="AV19" s="33"/>
      <c r="AW19" s="33"/>
      <c r="AX19" s="33"/>
      <c r="AY19" s="163">
        <f t="shared" si="27"/>
        <v>0</v>
      </c>
    </row>
    <row r="20" spans="2:51">
      <c r="B20" s="374"/>
      <c r="C20" s="368"/>
      <c r="D20" s="366" t="s">
        <v>140</v>
      </c>
      <c r="E20" s="366"/>
      <c r="F20" s="36">
        <f>IF(ISBLANK(F$17),,VLOOKUP(F17,Tableau1456[#All],4,FALSE))</f>
        <v>1.3</v>
      </c>
      <c r="I20" s="55">
        <v>15</v>
      </c>
      <c r="J20" s="33">
        <f t="shared" si="21"/>
        <v>6.3</v>
      </c>
      <c r="K20" s="33">
        <f t="shared" si="22"/>
        <v>2.3434159113137563</v>
      </c>
      <c r="L20" s="33">
        <f t="shared" si="23"/>
        <v>70</v>
      </c>
      <c r="M20" s="33">
        <f t="shared" si="24"/>
        <v>5</v>
      </c>
      <c r="N20" s="33">
        <f t="shared" si="0"/>
        <v>0</v>
      </c>
      <c r="O20" s="34">
        <f t="shared" si="1"/>
        <v>290.05394937887144</v>
      </c>
      <c r="P20" s="55">
        <v>15</v>
      </c>
      <c r="Q20" s="33">
        <f t="shared" si="19"/>
        <v>27.950000000000003</v>
      </c>
      <c r="R20" s="33">
        <f t="shared" si="25"/>
        <v>146.90000000000003</v>
      </c>
      <c r="S20" s="33">
        <f t="shared" si="26"/>
        <v>63.167000000000016</v>
      </c>
      <c r="T20" s="33">
        <f t="shared" si="2"/>
        <v>17.966573192426885</v>
      </c>
      <c r="U20" s="33">
        <f t="shared" si="20"/>
        <v>70</v>
      </c>
      <c r="V20" s="33">
        <f t="shared" si="3"/>
        <v>5</v>
      </c>
      <c r="W20" s="33">
        <v>0</v>
      </c>
      <c r="X20" s="33">
        <f t="shared" si="4"/>
        <v>416.30763997681015</v>
      </c>
      <c r="Y20" s="38">
        <f t="shared" si="5"/>
        <v>126.25369059793871</v>
      </c>
      <c r="AA20" s="71">
        <v>15</v>
      </c>
      <c r="AB20" s="33">
        <f t="shared" si="6"/>
        <v>0</v>
      </c>
      <c r="AC20" s="304">
        <f t="shared" si="7"/>
        <v>0</v>
      </c>
      <c r="AD20" s="100">
        <f t="shared" si="8"/>
        <v>0</v>
      </c>
      <c r="AE20" s="100">
        <f t="shared" si="9"/>
        <v>0</v>
      </c>
      <c r="AF20" s="193">
        <f t="shared" si="28"/>
        <v>0</v>
      </c>
      <c r="AG20" s="193">
        <f t="shared" si="29"/>
        <v>0</v>
      </c>
      <c r="AH20" s="193">
        <f t="shared" si="30"/>
        <v>0</v>
      </c>
      <c r="AI20" s="198">
        <f t="shared" si="31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3">
        <f t="shared" si="15"/>
        <v>0</v>
      </c>
      <c r="AR20" s="193">
        <f t="shared" si="16"/>
        <v>0</v>
      </c>
      <c r="AS20" s="193">
        <f t="shared" si="17"/>
        <v>0</v>
      </c>
      <c r="AT20" s="193">
        <f t="shared" si="18"/>
        <v>0</v>
      </c>
      <c r="AU20" s="33"/>
      <c r="AV20" s="33"/>
      <c r="AW20" s="33"/>
      <c r="AX20" s="33"/>
      <c r="AY20" s="163">
        <f t="shared" si="27"/>
        <v>0</v>
      </c>
    </row>
    <row r="21" spans="2:51">
      <c r="B21" s="365"/>
      <c r="C21" s="369"/>
      <c r="D21" s="367" t="s">
        <v>143</v>
      </c>
      <c r="E21" s="367"/>
      <c r="F21" s="102">
        <v>0.16669999999999999</v>
      </c>
      <c r="I21" s="55">
        <v>16</v>
      </c>
      <c r="J21" s="33">
        <f t="shared" si="21"/>
        <v>6.72</v>
      </c>
      <c r="K21" s="33">
        <f t="shared" si="22"/>
        <v>2.4809359628361181</v>
      </c>
      <c r="L21" s="33">
        <f t="shared" si="23"/>
        <v>70</v>
      </c>
      <c r="M21" s="33">
        <f t="shared" si="24"/>
        <v>5.333333333333333</v>
      </c>
      <c r="N21" s="33">
        <f t="shared" si="0"/>
        <v>0</v>
      </c>
      <c r="O21" s="34">
        <f t="shared" si="1"/>
        <v>292.24718569082847</v>
      </c>
      <c r="P21" s="55">
        <v>16</v>
      </c>
      <c r="Q21" s="33">
        <f t="shared" si="19"/>
        <v>-44.2</v>
      </c>
      <c r="R21" s="33">
        <f t="shared" si="25"/>
        <v>102.70000000000003</v>
      </c>
      <c r="S21" s="33">
        <f t="shared" si="26"/>
        <v>44.161000000000016</v>
      </c>
      <c r="T21" s="33">
        <f t="shared" si="2"/>
        <v>13.095088449839988</v>
      </c>
      <c r="U21" s="33">
        <f t="shared" si="20"/>
        <v>70</v>
      </c>
      <c r="V21" s="33">
        <f t="shared" si="3"/>
        <v>5.333333333333333</v>
      </c>
      <c r="W21" s="33">
        <v>0</v>
      </c>
      <c r="X21" s="33">
        <f t="shared" si="4"/>
        <v>375.9432429390269</v>
      </c>
      <c r="Y21" s="38">
        <f t="shared" si="5"/>
        <v>83.696057248198429</v>
      </c>
      <c r="AA21" s="71">
        <v>16</v>
      </c>
      <c r="AB21" s="33">
        <f t="shared" si="6"/>
        <v>34</v>
      </c>
      <c r="AC21" s="304">
        <f t="shared" si="7"/>
        <v>0</v>
      </c>
      <c r="AD21" s="100">
        <f t="shared" si="8"/>
        <v>0.56000000000000005</v>
      </c>
      <c r="AE21" s="100">
        <f t="shared" si="9"/>
        <v>0.44</v>
      </c>
      <c r="AF21" s="193">
        <f t="shared" si="28"/>
        <v>0</v>
      </c>
      <c r="AG21" s="193">
        <f t="shared" si="29"/>
        <v>14.063510773890096</v>
      </c>
      <c r="AH21" s="193">
        <f t="shared" si="30"/>
        <v>9.4684511005867229</v>
      </c>
      <c r="AI21" s="198">
        <f t="shared" si="31"/>
        <v>23.531961874476821</v>
      </c>
      <c r="AK21" s="71">
        <v>16</v>
      </c>
      <c r="AL21" s="33">
        <f t="shared" si="10"/>
        <v>34</v>
      </c>
      <c r="AM21" s="33">
        <f t="shared" si="11"/>
        <v>0</v>
      </c>
      <c r="AN21" s="33">
        <f t="shared" si="12"/>
        <v>0.56000000000000005</v>
      </c>
      <c r="AO21" s="33">
        <f t="shared" si="13"/>
        <v>0.44</v>
      </c>
      <c r="AP21" s="33">
        <f t="shared" si="14"/>
        <v>0</v>
      </c>
      <c r="AQ21" s="193">
        <f t="shared" si="15"/>
        <v>0</v>
      </c>
      <c r="AR21" s="193">
        <f t="shared" si="16"/>
        <v>19.040000000000003</v>
      </c>
      <c r="AS21" s="193">
        <f t="shared" si="17"/>
        <v>14.96</v>
      </c>
      <c r="AT21" s="193">
        <f t="shared" si="18"/>
        <v>0</v>
      </c>
      <c r="AU21" s="33"/>
      <c r="AV21" s="33"/>
      <c r="AW21" s="33"/>
      <c r="AX21" s="33"/>
      <c r="AY21" s="163">
        <f t="shared" si="27"/>
        <v>14.62</v>
      </c>
    </row>
    <row r="22" spans="2:51">
      <c r="E22" s="6"/>
      <c r="I22" s="55">
        <v>17</v>
      </c>
      <c r="J22" s="33">
        <f t="shared" si="21"/>
        <v>7.14</v>
      </c>
      <c r="K22" s="33">
        <f t="shared" si="22"/>
        <v>2.6174585009700779</v>
      </c>
      <c r="L22" s="33">
        <f t="shared" si="23"/>
        <v>70</v>
      </c>
      <c r="M22" s="33">
        <f t="shared" si="24"/>
        <v>5.666666666666667</v>
      </c>
      <c r="N22" s="33">
        <f t="shared" si="0"/>
        <v>0</v>
      </c>
      <c r="O22" s="34">
        <f t="shared" si="1"/>
        <v>294.43868466696739</v>
      </c>
      <c r="P22" s="55">
        <v>17</v>
      </c>
      <c r="Q22" s="33">
        <f t="shared" si="19"/>
        <v>37.375</v>
      </c>
      <c r="R22" s="33">
        <f t="shared" si="25"/>
        <v>140.07500000000005</v>
      </c>
      <c r="S22" s="33">
        <f t="shared" si="26"/>
        <v>60.232250000000022</v>
      </c>
      <c r="T22" s="33">
        <f t="shared" si="2"/>
        <v>17.226975889747379</v>
      </c>
      <c r="U22" s="33">
        <f t="shared" si="20"/>
        <v>70</v>
      </c>
      <c r="V22" s="33">
        <f t="shared" si="3"/>
        <v>5.666666666666667</v>
      </c>
      <c r="W22" s="33">
        <v>0</v>
      </c>
      <c r="X22" s="33">
        <f t="shared" si="4"/>
        <v>412.35259620242118</v>
      </c>
      <c r="Y22" s="38">
        <f t="shared" si="5"/>
        <v>117.91391153545379</v>
      </c>
      <c r="AA22" s="71">
        <v>17</v>
      </c>
      <c r="AB22" s="33">
        <f t="shared" si="6"/>
        <v>0</v>
      </c>
      <c r="AC22" s="304">
        <f t="shared" si="7"/>
        <v>0</v>
      </c>
      <c r="AD22" s="100">
        <f t="shared" si="8"/>
        <v>0</v>
      </c>
      <c r="AE22" s="100">
        <f t="shared" si="9"/>
        <v>0</v>
      </c>
      <c r="AF22" s="193">
        <f t="shared" si="28"/>
        <v>0</v>
      </c>
      <c r="AG22" s="193">
        <f t="shared" si="29"/>
        <v>13.678943332210181</v>
      </c>
      <c r="AH22" s="193">
        <f t="shared" si="30"/>
        <v>6.695205980558101</v>
      </c>
      <c r="AI22" s="198">
        <f t="shared" si="31"/>
        <v>20.374149312768282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3">
        <f t="shared" si="15"/>
        <v>0</v>
      </c>
      <c r="AR22" s="193">
        <f t="shared" si="16"/>
        <v>0</v>
      </c>
      <c r="AS22" s="193">
        <f t="shared" si="17"/>
        <v>0</v>
      </c>
      <c r="AT22" s="193">
        <f t="shared" si="18"/>
        <v>0</v>
      </c>
      <c r="AU22" s="33"/>
      <c r="AV22" s="33"/>
      <c r="AW22" s="33"/>
      <c r="AX22" s="33"/>
      <c r="AY22" s="163">
        <f t="shared" si="27"/>
        <v>14.62</v>
      </c>
    </row>
    <row r="23" spans="2:51">
      <c r="B23" s="386" t="s">
        <v>142</v>
      </c>
      <c r="C23" s="387"/>
      <c r="D23" s="387"/>
      <c r="E23" s="387"/>
      <c r="F23" s="387"/>
      <c r="G23" s="388"/>
      <c r="I23" s="55">
        <v>18</v>
      </c>
      <c r="J23" s="33">
        <f t="shared" si="21"/>
        <v>7.56</v>
      </c>
      <c r="K23" s="33">
        <f t="shared" si="22"/>
        <v>2.7530488868114218</v>
      </c>
      <c r="L23" s="33">
        <f t="shared" si="23"/>
        <v>70</v>
      </c>
      <c r="M23" s="33">
        <f t="shared" si="24"/>
        <v>6</v>
      </c>
      <c r="N23" s="33">
        <f t="shared" si="0"/>
        <v>0</v>
      </c>
      <c r="O23" s="34">
        <f t="shared" si="1"/>
        <v>296.6285601445299</v>
      </c>
      <c r="P23" s="55">
        <v>18</v>
      </c>
      <c r="Q23" s="33">
        <f t="shared" si="19"/>
        <v>37.375</v>
      </c>
      <c r="R23" s="33">
        <f t="shared" si="25"/>
        <v>177.45000000000005</v>
      </c>
      <c r="S23" s="33">
        <f t="shared" si="26"/>
        <v>76.303500000000014</v>
      </c>
      <c r="T23" s="33">
        <f t="shared" si="2"/>
        <v>21.230897278134218</v>
      </c>
      <c r="U23" s="33">
        <f t="shared" si="20"/>
        <v>70</v>
      </c>
      <c r="V23" s="33">
        <f t="shared" si="3"/>
        <v>6</v>
      </c>
      <c r="W23" s="33">
        <v>0</v>
      </c>
      <c r="X23" s="33">
        <f t="shared" si="4"/>
        <v>448.53907525941713</v>
      </c>
      <c r="Y23" s="38">
        <f t="shared" si="5"/>
        <v>151.91051511488723</v>
      </c>
      <c r="AA23" s="71">
        <v>18</v>
      </c>
      <c r="AB23" s="33">
        <f t="shared" si="6"/>
        <v>0</v>
      </c>
      <c r="AC23" s="304">
        <f t="shared" si="7"/>
        <v>0</v>
      </c>
      <c r="AD23" s="100">
        <f t="shared" si="8"/>
        <v>0</v>
      </c>
      <c r="AE23" s="100">
        <f t="shared" si="9"/>
        <v>0</v>
      </c>
      <c r="AF23" s="193">
        <f t="shared" si="28"/>
        <v>0</v>
      </c>
      <c r="AG23" s="193">
        <f t="shared" si="29"/>
        <v>13.304891907446528</v>
      </c>
      <c r="AH23" s="193">
        <f t="shared" si="30"/>
        <v>4.7342255502933615</v>
      </c>
      <c r="AI23" s="198">
        <f t="shared" si="31"/>
        <v>18.039117457739891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3">
        <f t="shared" si="15"/>
        <v>0</v>
      </c>
      <c r="AR23" s="193">
        <f t="shared" si="16"/>
        <v>0</v>
      </c>
      <c r="AS23" s="193">
        <f t="shared" si="17"/>
        <v>0</v>
      </c>
      <c r="AT23" s="193">
        <f t="shared" si="18"/>
        <v>0</v>
      </c>
      <c r="AU23" s="33"/>
      <c r="AV23" s="33"/>
      <c r="AW23" s="33"/>
      <c r="AX23" s="33"/>
      <c r="AY23" s="163">
        <f t="shared" si="27"/>
        <v>14.62</v>
      </c>
    </row>
    <row r="24" spans="2:51">
      <c r="B24" s="47" t="s">
        <v>114</v>
      </c>
      <c r="C24" s="48" t="s">
        <v>115</v>
      </c>
      <c r="D24" s="48" t="s">
        <v>83</v>
      </c>
      <c r="E24" s="48" t="s">
        <v>117</v>
      </c>
      <c r="F24" s="48" t="s">
        <v>116</v>
      </c>
      <c r="G24" s="49" t="s">
        <v>141</v>
      </c>
      <c r="I24" s="55">
        <v>19</v>
      </c>
      <c r="J24" s="33">
        <f t="shared" si="21"/>
        <v>7.9799999999999995</v>
      </c>
      <c r="K24" s="33">
        <f t="shared" si="22"/>
        <v>2.8877648089424257</v>
      </c>
      <c r="L24" s="33">
        <f t="shared" si="23"/>
        <v>70</v>
      </c>
      <c r="M24" s="33">
        <f t="shared" si="24"/>
        <v>6.333333333333333</v>
      </c>
      <c r="N24" s="33">
        <f t="shared" si="0"/>
        <v>0</v>
      </c>
      <c r="O24" s="34">
        <f t="shared" si="1"/>
        <v>298.81691259779694</v>
      </c>
      <c r="P24" s="55">
        <v>19</v>
      </c>
      <c r="Q24" s="33">
        <f t="shared" si="19"/>
        <v>37.375</v>
      </c>
      <c r="R24" s="33">
        <f t="shared" si="25"/>
        <v>214.82500000000005</v>
      </c>
      <c r="S24" s="33">
        <f t="shared" si="26"/>
        <v>92.37475000000002</v>
      </c>
      <c r="T24" s="33">
        <f t="shared" si="2"/>
        <v>25.137086498561334</v>
      </c>
      <c r="U24" s="33">
        <f t="shared" si="20"/>
        <v>70</v>
      </c>
      <c r="V24" s="33">
        <f t="shared" si="3"/>
        <v>6.333333333333333</v>
      </c>
      <c r="W24" s="33">
        <v>0</v>
      </c>
      <c r="X24" s="33">
        <f t="shared" si="4"/>
        <v>484.55533745721658</v>
      </c>
      <c r="Y24" s="38">
        <f t="shared" si="5"/>
        <v>185.73842485941964</v>
      </c>
      <c r="AA24" s="71">
        <v>19</v>
      </c>
      <c r="AB24" s="33">
        <f t="shared" si="6"/>
        <v>0</v>
      </c>
      <c r="AC24" s="304">
        <f t="shared" si="7"/>
        <v>0</v>
      </c>
      <c r="AD24" s="100">
        <f t="shared" si="8"/>
        <v>0</v>
      </c>
      <c r="AE24" s="100">
        <f t="shared" si="9"/>
        <v>0</v>
      </c>
      <c r="AF24" s="193">
        <f t="shared" si="28"/>
        <v>0</v>
      </c>
      <c r="AG24" s="193">
        <f t="shared" si="29"/>
        <v>12.941068938563546</v>
      </c>
      <c r="AH24" s="193">
        <f t="shared" si="30"/>
        <v>3.3476029902790505</v>
      </c>
      <c r="AI24" s="198">
        <f t="shared" si="31"/>
        <v>16.288671928842597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3">
        <f t="shared" si="15"/>
        <v>0</v>
      </c>
      <c r="AR24" s="193">
        <f t="shared" si="16"/>
        <v>0</v>
      </c>
      <c r="AS24" s="193">
        <f t="shared" si="17"/>
        <v>0</v>
      </c>
      <c r="AT24" s="193">
        <f t="shared" si="18"/>
        <v>0</v>
      </c>
      <c r="AU24" s="33"/>
      <c r="AV24" s="33"/>
      <c r="AW24" s="33"/>
      <c r="AX24" s="33"/>
      <c r="AY24" s="163">
        <f t="shared" si="27"/>
        <v>14.62</v>
      </c>
    </row>
    <row r="25" spans="2:51">
      <c r="B25" s="45">
        <v>0</v>
      </c>
      <c r="C25" s="333">
        <v>10</v>
      </c>
      <c r="D25" s="135">
        <f>D26+0</f>
        <v>27</v>
      </c>
      <c r="E25" s="139">
        <f t="shared" ref="E25:E54" si="32">$F$20</f>
        <v>1.3</v>
      </c>
      <c r="F25" s="46">
        <f t="shared" ref="F25:F42" si="33">D25*E25</f>
        <v>35.1</v>
      </c>
      <c r="G25" s="50">
        <f>F25/(C25-B25)</f>
        <v>3.5100000000000002</v>
      </c>
      <c r="I25" s="55">
        <v>20</v>
      </c>
      <c r="J25" s="33">
        <f t="shared" si="21"/>
        <v>8.4</v>
      </c>
      <c r="K25" s="33">
        <f t="shared" si="22"/>
        <v>3.0216575404908177</v>
      </c>
      <c r="L25" s="33">
        <f t="shared" si="23"/>
        <v>70</v>
      </c>
      <c r="M25" s="33">
        <f t="shared" si="24"/>
        <v>6.666666666666667</v>
      </c>
      <c r="N25" s="33">
        <f t="shared" si="0"/>
        <v>0</v>
      </c>
      <c r="O25" s="34">
        <f t="shared" si="1"/>
        <v>301.003831327466</v>
      </c>
      <c r="P25" s="55">
        <v>20</v>
      </c>
      <c r="Q25" s="33">
        <f t="shared" si="19"/>
        <v>37.375</v>
      </c>
      <c r="R25" s="33">
        <f t="shared" si="25"/>
        <v>252.20000000000005</v>
      </c>
      <c r="S25" s="33">
        <f t="shared" si="26"/>
        <v>108.44600000000001</v>
      </c>
      <c r="T25" s="33">
        <f t="shared" si="2"/>
        <v>28.964547418777826</v>
      </c>
      <c r="U25" s="33">
        <f t="shared" si="20"/>
        <v>70</v>
      </c>
      <c r="V25" s="33">
        <f t="shared" si="3"/>
        <v>6.666666666666667</v>
      </c>
      <c r="W25" s="33">
        <v>0</v>
      </c>
      <c r="X25" s="33">
        <f t="shared" si="4"/>
        <v>520.43448119881577</v>
      </c>
      <c r="Y25" s="38">
        <f t="shared" si="5"/>
        <v>219.43064987134977</v>
      </c>
      <c r="AA25" s="71">
        <v>20</v>
      </c>
      <c r="AB25" s="33">
        <f t="shared" si="6"/>
        <v>0</v>
      </c>
      <c r="AC25" s="304">
        <f t="shared" si="7"/>
        <v>0</v>
      </c>
      <c r="AD25" s="100">
        <f t="shared" si="8"/>
        <v>0</v>
      </c>
      <c r="AE25" s="100">
        <f t="shared" si="9"/>
        <v>0</v>
      </c>
      <c r="AF25" s="193">
        <f>IF(OR(AA25&lt;=$F$18,AA25&lt;=30),EXP(-LN(2)/$D$104)*AF24+((1-EXP(-LN(2)/$D$104))/(LN(2)/$D$104))*$AB25*AC25*0.475*$F$19*44/12,)</f>
        <v>0</v>
      </c>
      <c r="AG25" s="193">
        <f>IF(OR(AA25&lt;=$F$18,AA25&lt;=30),EXP(-LN(2)/$D$106)*AG24+((1-EXP(-LN(2)/$D$106))/(LN(2)/$D$106))*$AB25*AD25*0.475*$F$19*44/12,)</f>
        <v>12.587194727897288</v>
      </c>
      <c r="AH25" s="193">
        <f>IF(OR(AA25&lt;=$F$18,AA25&lt;=30),EXP(-LN(2)/$D$105)*AH24+((1-EXP(-LN(2)/$D$105))/(LN(2)/$D$105))*$AB25*AE25*0.475*$F$19*44/12,)</f>
        <v>2.3671127751466807</v>
      </c>
      <c r="AI25" s="198">
        <f>IF(OR(AA25&lt;=$F$18,AA25&lt;=30),SUM(AF25:AH25),)</f>
        <v>14.954307503043967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3">
        <f t="shared" si="15"/>
        <v>0</v>
      </c>
      <c r="AR25" s="193">
        <f t="shared" si="16"/>
        <v>0</v>
      </c>
      <c r="AS25" s="193">
        <f t="shared" si="17"/>
        <v>0</v>
      </c>
      <c r="AT25" s="193">
        <f t="shared" si="18"/>
        <v>0</v>
      </c>
      <c r="AU25" s="33"/>
      <c r="AV25" s="33"/>
      <c r="AW25" s="33"/>
      <c r="AX25" s="33"/>
      <c r="AY25" s="163">
        <f t="shared" si="27"/>
        <v>14.62</v>
      </c>
    </row>
    <row r="26" spans="2:51">
      <c r="B26" s="40">
        <f t="shared" ref="B26:B54" si="34">C25</f>
        <v>10</v>
      </c>
      <c r="C26" s="41">
        <f>B26+1</f>
        <v>11</v>
      </c>
      <c r="D26" s="136">
        <v>27</v>
      </c>
      <c r="E26" s="140">
        <f t="shared" si="32"/>
        <v>1.3</v>
      </c>
      <c r="F26" s="42">
        <f t="shared" si="33"/>
        <v>35.1</v>
      </c>
      <c r="G26" s="141">
        <f>(F26-F25)/(C26-B26)</f>
        <v>0</v>
      </c>
      <c r="I26" s="55">
        <v>21</v>
      </c>
      <c r="J26" s="33">
        <f t="shared" si="21"/>
        <v>8.82</v>
      </c>
      <c r="K26" s="33">
        <f t="shared" si="22"/>
        <v>3.1547729376322442</v>
      </c>
      <c r="L26" s="33">
        <f t="shared" si="23"/>
        <v>70</v>
      </c>
      <c r="M26" s="33">
        <f t="shared" si="24"/>
        <v>7</v>
      </c>
      <c r="N26" s="33">
        <f t="shared" si="0"/>
        <v>0</v>
      </c>
      <c r="O26" s="34">
        <f t="shared" si="1"/>
        <v>303.18939619970951</v>
      </c>
      <c r="P26" s="55">
        <v>21</v>
      </c>
      <c r="Q26" s="33">
        <f t="shared" si="19"/>
        <v>-91</v>
      </c>
      <c r="R26" s="33">
        <f t="shared" si="25"/>
        <v>161.20000000000005</v>
      </c>
      <c r="S26" s="33">
        <f t="shared" si="26"/>
        <v>69.316000000000017</v>
      </c>
      <c r="T26" s="33">
        <f t="shared" si="2"/>
        <v>19.503499311459144</v>
      </c>
      <c r="U26" s="33">
        <f t="shared" si="20"/>
        <v>70</v>
      </c>
      <c r="V26" s="33">
        <f t="shared" si="3"/>
        <v>7</v>
      </c>
      <c r="W26" s="33">
        <v>0</v>
      </c>
      <c r="X26" s="33">
        <f t="shared" si="4"/>
        <v>437.0272946341247</v>
      </c>
      <c r="Y26" s="38">
        <f t="shared" si="5"/>
        <v>133.83789843441519</v>
      </c>
      <c r="AA26" s="71">
        <v>21</v>
      </c>
      <c r="AB26" s="33">
        <f t="shared" si="6"/>
        <v>70</v>
      </c>
      <c r="AC26" s="304">
        <f t="shared" si="7"/>
        <v>0</v>
      </c>
      <c r="AD26" s="100">
        <f t="shared" si="8"/>
        <v>0.56000000000000005</v>
      </c>
      <c r="AE26" s="100">
        <f t="shared" si="9"/>
        <v>0.44</v>
      </c>
      <c r="AF26" s="193">
        <f>IF(OR(AA26&lt;=$F$18,AA26&lt;=30),EXP(-LN(2)/$D$104)*AF25+((1-EXP(-LN(2)/$D$104))/(LN(2)/$D$104))*$AB26*AC26*0.475*$F$19*44/12,)</f>
        <v>0</v>
      </c>
      <c r="AG26" s="193">
        <f>IF(OR(AA26&lt;=$F$18,AA26&lt;=30),EXP(-LN(2)/$D$106)*AG25+((1-EXP(-LN(2)/$D$106))/(LN(2)/$D$106))*$AB26*AD26*0.475*$F$19*44/12,)</f>
        <v>41.197284113551916</v>
      </c>
      <c r="AH26" s="193">
        <f>IF(OR(AA26&lt;=$F$18,AA26&lt;=30),EXP(-LN(2)/$D$105)*AH25+((1-EXP(-LN(2)/$D$105))/(LN(2)/$D$105))*$AB26*AE26*0.475*$F$19*44/12,)</f>
        <v>21.167671408112192</v>
      </c>
      <c r="AI26" s="198">
        <f>IF(OR(AA26&lt;=$F$18,AA26&lt;=30),SUM(AF26:AH26),)</f>
        <v>62.364955521664108</v>
      </c>
      <c r="AK26" s="71">
        <v>21</v>
      </c>
      <c r="AL26" s="33">
        <f t="shared" si="10"/>
        <v>70</v>
      </c>
      <c r="AM26" s="33">
        <f t="shared" si="11"/>
        <v>0</v>
      </c>
      <c r="AN26" s="33">
        <f t="shared" si="12"/>
        <v>0.56000000000000005</v>
      </c>
      <c r="AO26" s="33">
        <f t="shared" si="13"/>
        <v>0.44</v>
      </c>
      <c r="AP26" s="33">
        <f t="shared" si="14"/>
        <v>0</v>
      </c>
      <c r="AQ26" s="193">
        <f t="shared" si="15"/>
        <v>0</v>
      </c>
      <c r="AR26" s="193">
        <f t="shared" si="16"/>
        <v>39.200000000000003</v>
      </c>
      <c r="AS26" s="193">
        <f t="shared" si="17"/>
        <v>30.8</v>
      </c>
      <c r="AT26" s="193">
        <f t="shared" si="18"/>
        <v>0</v>
      </c>
      <c r="AU26" s="33"/>
      <c r="AV26" s="33"/>
      <c r="AW26" s="33"/>
      <c r="AX26" s="33"/>
      <c r="AY26" s="163">
        <f t="shared" si="27"/>
        <v>44.72</v>
      </c>
    </row>
    <row r="27" spans="2:51">
      <c r="B27" s="40">
        <f t="shared" si="34"/>
        <v>11</v>
      </c>
      <c r="C27" s="151">
        <f>C25+5</f>
        <v>15</v>
      </c>
      <c r="D27" s="136">
        <f>D28+34</f>
        <v>113</v>
      </c>
      <c r="E27" s="140">
        <f t="shared" si="32"/>
        <v>1.3</v>
      </c>
      <c r="F27" s="42">
        <f t="shared" si="33"/>
        <v>146.9</v>
      </c>
      <c r="G27" s="51">
        <f t="shared" ref="G27:G42" si="35">(F27-F26)/(C27-B27)</f>
        <v>27.950000000000003</v>
      </c>
      <c r="I27" s="55">
        <v>22</v>
      </c>
      <c r="J27" s="33">
        <f t="shared" si="21"/>
        <v>9.24</v>
      </c>
      <c r="K27" s="33">
        <f t="shared" si="22"/>
        <v>3.2871522425130331</v>
      </c>
      <c r="L27" s="33">
        <f t="shared" si="23"/>
        <v>70</v>
      </c>
      <c r="M27" s="33">
        <f t="shared" si="24"/>
        <v>7.333333333333333</v>
      </c>
      <c r="N27" s="33">
        <f t="shared" si="0"/>
        <v>0</v>
      </c>
      <c r="O27" s="34">
        <f t="shared" si="1"/>
        <v>305.3736790445991</v>
      </c>
      <c r="P27" s="55">
        <v>22</v>
      </c>
      <c r="Q27" s="33">
        <f t="shared" si="19"/>
        <v>43.550000000000004</v>
      </c>
      <c r="R27" s="33">
        <f t="shared" si="25"/>
        <v>204.75000000000006</v>
      </c>
      <c r="S27" s="33">
        <f t="shared" si="26"/>
        <v>88.042500000000018</v>
      </c>
      <c r="T27" s="33">
        <f t="shared" si="2"/>
        <v>24.0925206268385</v>
      </c>
      <c r="U27" s="33">
        <f t="shared" si="20"/>
        <v>70</v>
      </c>
      <c r="V27" s="33">
        <f t="shared" si="3"/>
        <v>7.333333333333333</v>
      </c>
      <c r="W27" s="33">
        <v>0</v>
      </c>
      <c r="X27" s="33">
        <f t="shared" si="4"/>
        <v>478.85738314729929</v>
      </c>
      <c r="Y27" s="38">
        <f t="shared" si="5"/>
        <v>173.48370410270019</v>
      </c>
      <c r="AA27" s="71">
        <v>22</v>
      </c>
      <c r="AB27" s="33">
        <f t="shared" si="6"/>
        <v>0</v>
      </c>
      <c r="AC27" s="304">
        <f t="shared" si="7"/>
        <v>0</v>
      </c>
      <c r="AD27" s="100">
        <f t="shared" si="8"/>
        <v>0</v>
      </c>
      <c r="AE27" s="100">
        <f t="shared" si="9"/>
        <v>0</v>
      </c>
      <c r="AF27" s="193">
        <f t="shared" ref="AF27:AF90" si="36">IF(OR(AA27&lt;=$F$18,AA27&lt;=30),EXP(-LN(2)/$D$104)*AF26+((1-EXP(-LN(2)/$D$104))/(LN(2)/$D$104))*$AB27*AC27*0.475*$F$19*44/12,)</f>
        <v>0</v>
      </c>
      <c r="AG27" s="193">
        <f t="shared" ref="AG27:AG90" si="37">IF(OR(AA27&lt;=$F$18,AA27&lt;=30),EXP(-LN(2)/$D$106)*AG26+((1-EXP(-LN(2)/$D$106))/(LN(2)/$D$106))*$AB27*AD27*0.475*$F$19*44/12,)</f>
        <v>40.070742212995825</v>
      </c>
      <c r="AH27" s="193">
        <f t="shared" ref="AH27:AH90" si="38">IF(OR(AA27&lt;=$F$18,AA27&lt;=30),EXP(-LN(2)/$D$105)*AH26+((1-EXP(-LN(2)/$D$105))/(LN(2)/$D$105))*$AB27*AE27*0.475*$F$19*44/12,)</f>
        <v>14.967803994604727</v>
      </c>
      <c r="AI27" s="198">
        <f t="shared" ref="AI27:AI90" si="39">IF(OR(AA27&lt;=$F$18,AA27&lt;=30),SUM(AF27:AH27),)</f>
        <v>55.038546207600554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3">
        <f t="shared" si="15"/>
        <v>0</v>
      </c>
      <c r="AR27" s="193">
        <f t="shared" si="16"/>
        <v>0</v>
      </c>
      <c r="AS27" s="193">
        <f t="shared" si="17"/>
        <v>0</v>
      </c>
      <c r="AT27" s="193">
        <f t="shared" si="18"/>
        <v>0</v>
      </c>
      <c r="AU27" s="33"/>
      <c r="AV27" s="33"/>
      <c r="AW27" s="33"/>
      <c r="AX27" s="33"/>
      <c r="AY27" s="163">
        <f t="shared" si="27"/>
        <v>44.72</v>
      </c>
    </row>
    <row r="28" spans="2:51">
      <c r="B28" s="40">
        <f t="shared" si="34"/>
        <v>15</v>
      </c>
      <c r="C28" s="151">
        <f>C26+5</f>
        <v>16</v>
      </c>
      <c r="D28" s="136">
        <v>79</v>
      </c>
      <c r="E28" s="140">
        <f t="shared" si="32"/>
        <v>1.3</v>
      </c>
      <c r="F28" s="42">
        <f t="shared" si="33"/>
        <v>102.7</v>
      </c>
      <c r="G28" s="51">
        <f t="shared" si="35"/>
        <v>-44.2</v>
      </c>
      <c r="I28" s="55">
        <v>23</v>
      </c>
      <c r="J28" s="33">
        <f t="shared" si="21"/>
        <v>9.66</v>
      </c>
      <c r="K28" s="33">
        <f t="shared" si="22"/>
        <v>3.4188327360603257</v>
      </c>
      <c r="L28" s="33">
        <f t="shared" si="23"/>
        <v>70</v>
      </c>
      <c r="M28" s="33">
        <f t="shared" si="24"/>
        <v>7.666666666666667</v>
      </c>
      <c r="N28" s="33">
        <f t="shared" si="0"/>
        <v>0</v>
      </c>
      <c r="O28" s="34">
        <f t="shared" si="1"/>
        <v>307.55674479308283</v>
      </c>
      <c r="P28" s="55">
        <v>23</v>
      </c>
      <c r="Q28" s="33">
        <f t="shared" si="19"/>
        <v>43.550000000000004</v>
      </c>
      <c r="R28" s="33">
        <f t="shared" si="25"/>
        <v>248.30000000000007</v>
      </c>
      <c r="S28" s="33">
        <f t="shared" si="26"/>
        <v>106.76900000000003</v>
      </c>
      <c r="T28" s="33">
        <f t="shared" si="2"/>
        <v>28.568419972715517</v>
      </c>
      <c r="U28" s="33">
        <f t="shared" si="20"/>
        <v>70</v>
      </c>
      <c r="V28" s="33">
        <f t="shared" si="3"/>
        <v>7.666666666666667</v>
      </c>
      <c r="W28" s="33">
        <v>0</v>
      </c>
      <c r="X28" s="33">
        <f t="shared" si="4"/>
        <v>520.49045089692402</v>
      </c>
      <c r="Y28" s="38">
        <f t="shared" si="5"/>
        <v>212.93370610384119</v>
      </c>
      <c r="AA28" s="71">
        <v>23</v>
      </c>
      <c r="AB28" s="33">
        <f t="shared" si="6"/>
        <v>0</v>
      </c>
      <c r="AC28" s="304">
        <f t="shared" si="7"/>
        <v>0</v>
      </c>
      <c r="AD28" s="100">
        <f t="shared" si="8"/>
        <v>0</v>
      </c>
      <c r="AE28" s="100">
        <f t="shared" si="9"/>
        <v>0</v>
      </c>
      <c r="AF28" s="193">
        <f t="shared" si="36"/>
        <v>0</v>
      </c>
      <c r="AG28" s="193">
        <f t="shared" si="37"/>
        <v>38.975005659952707</v>
      </c>
      <c r="AH28" s="193">
        <f t="shared" si="38"/>
        <v>10.583835704056098</v>
      </c>
      <c r="AI28" s="198">
        <f t="shared" si="39"/>
        <v>49.558841364008806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3">
        <f t="shared" si="15"/>
        <v>0</v>
      </c>
      <c r="AR28" s="193">
        <f t="shared" si="16"/>
        <v>0</v>
      </c>
      <c r="AS28" s="193">
        <f t="shared" si="17"/>
        <v>0</v>
      </c>
      <c r="AT28" s="193">
        <f t="shared" si="18"/>
        <v>0</v>
      </c>
      <c r="AU28" s="33"/>
      <c r="AV28" s="33"/>
      <c r="AW28" s="33"/>
      <c r="AX28" s="33"/>
      <c r="AY28" s="163">
        <f t="shared" si="27"/>
        <v>44.72</v>
      </c>
    </row>
    <row r="29" spans="2:51">
      <c r="B29" s="40">
        <f t="shared" si="34"/>
        <v>16</v>
      </c>
      <c r="C29" s="151">
        <f t="shared" ref="C29:C54" si="40">C27+5</f>
        <v>20</v>
      </c>
      <c r="D29" s="136">
        <f>D30+70</f>
        <v>194</v>
      </c>
      <c r="E29" s="140">
        <f t="shared" si="32"/>
        <v>1.3</v>
      </c>
      <c r="F29" s="42">
        <f t="shared" si="33"/>
        <v>252.20000000000002</v>
      </c>
      <c r="G29" s="51">
        <f t="shared" si="35"/>
        <v>37.375</v>
      </c>
      <c r="I29" s="55">
        <v>24</v>
      </c>
      <c r="J29" s="33">
        <f t="shared" si="21"/>
        <v>10.08</v>
      </c>
      <c r="K29" s="33">
        <f t="shared" si="22"/>
        <v>3.5498482740564596</v>
      </c>
      <c r="L29" s="33">
        <f t="shared" si="23"/>
        <v>70</v>
      </c>
      <c r="M29" s="33">
        <f t="shared" si="24"/>
        <v>8</v>
      </c>
      <c r="N29" s="33">
        <f t="shared" si="0"/>
        <v>0</v>
      </c>
      <c r="O29" s="34">
        <f t="shared" si="1"/>
        <v>309.73865241064834</v>
      </c>
      <c r="P29" s="55">
        <v>24</v>
      </c>
      <c r="Q29" s="33">
        <f t="shared" si="19"/>
        <v>43.550000000000004</v>
      </c>
      <c r="R29" s="33">
        <f t="shared" si="25"/>
        <v>291.85000000000008</v>
      </c>
      <c r="S29" s="33">
        <f t="shared" si="26"/>
        <v>125.49550000000004</v>
      </c>
      <c r="T29" s="33">
        <f t="shared" si="2"/>
        <v>32.953375039982021</v>
      </c>
      <c r="U29" s="33">
        <f t="shared" si="20"/>
        <v>70</v>
      </c>
      <c r="V29" s="33">
        <f t="shared" si="3"/>
        <v>8</v>
      </c>
      <c r="W29" s="33">
        <v>0</v>
      </c>
      <c r="X29" s="33">
        <f t="shared" si="4"/>
        <v>561.96512402796873</v>
      </c>
      <c r="Y29" s="38">
        <f t="shared" si="5"/>
        <v>252.22647161732039</v>
      </c>
      <c r="AA29" s="71">
        <v>24</v>
      </c>
      <c r="AB29" s="33">
        <f t="shared" si="6"/>
        <v>0</v>
      </c>
      <c r="AC29" s="304">
        <f t="shared" si="7"/>
        <v>0</v>
      </c>
      <c r="AD29" s="100">
        <f t="shared" si="8"/>
        <v>0</v>
      </c>
      <c r="AE29" s="100">
        <f t="shared" si="9"/>
        <v>0</v>
      </c>
      <c r="AF29" s="193">
        <f t="shared" si="36"/>
        <v>0</v>
      </c>
      <c r="AG29" s="193">
        <f t="shared" si="37"/>
        <v>37.909232080574832</v>
      </c>
      <c r="AH29" s="193">
        <f t="shared" si="38"/>
        <v>7.4839019973023646</v>
      </c>
      <c r="AI29" s="198">
        <f t="shared" si="39"/>
        <v>45.393134077877193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3">
        <f t="shared" si="15"/>
        <v>0</v>
      </c>
      <c r="AR29" s="193">
        <f t="shared" si="16"/>
        <v>0</v>
      </c>
      <c r="AS29" s="193">
        <f t="shared" si="17"/>
        <v>0</v>
      </c>
      <c r="AT29" s="193">
        <f t="shared" si="18"/>
        <v>0</v>
      </c>
      <c r="AU29" s="33"/>
      <c r="AV29" s="33"/>
      <c r="AW29" s="33"/>
      <c r="AX29" s="33"/>
      <c r="AY29" s="163">
        <f t="shared" si="27"/>
        <v>44.72</v>
      </c>
    </row>
    <row r="30" spans="2:51">
      <c r="B30" s="40">
        <f t="shared" si="34"/>
        <v>20</v>
      </c>
      <c r="C30" s="151">
        <f t="shared" si="40"/>
        <v>21</v>
      </c>
      <c r="D30" s="136">
        <v>124</v>
      </c>
      <c r="E30" s="140">
        <f t="shared" si="32"/>
        <v>1.3</v>
      </c>
      <c r="F30" s="42">
        <f t="shared" si="33"/>
        <v>161.20000000000002</v>
      </c>
      <c r="G30" s="51">
        <f t="shared" si="35"/>
        <v>-91</v>
      </c>
      <c r="I30" s="55">
        <v>25</v>
      </c>
      <c r="J30" s="33">
        <f t="shared" si="21"/>
        <v>10.5</v>
      </c>
      <c r="K30" s="33">
        <f t="shared" si="22"/>
        <v>3.6802297313500394</v>
      </c>
      <c r="L30" s="33">
        <f t="shared" si="23"/>
        <v>70</v>
      </c>
      <c r="M30" s="33">
        <f t="shared" si="24"/>
        <v>8.3333333333333339</v>
      </c>
      <c r="N30" s="33">
        <f t="shared" si="0"/>
        <v>0</v>
      </c>
      <c r="O30" s="34">
        <f t="shared" si="1"/>
        <v>311.9194556709902</v>
      </c>
      <c r="P30" s="55">
        <v>25</v>
      </c>
      <c r="Q30" s="33">
        <f t="shared" si="19"/>
        <v>43.550000000000004</v>
      </c>
      <c r="R30" s="33">
        <f t="shared" si="25"/>
        <v>335.40000000000009</v>
      </c>
      <c r="S30" s="33">
        <f t="shared" si="26"/>
        <v>144.22200000000004</v>
      </c>
      <c r="T30" s="33">
        <f t="shared" si="2"/>
        <v>37.26252758185359</v>
      </c>
      <c r="U30" s="33">
        <f t="shared" si="20"/>
        <v>70</v>
      </c>
      <c r="V30" s="33">
        <f t="shared" si="3"/>
        <v>8.3333333333333339</v>
      </c>
      <c r="W30" s="33">
        <v>0</v>
      </c>
      <c r="X30" s="33">
        <f t="shared" si="4"/>
        <v>603.30777442728402</v>
      </c>
      <c r="Y30" s="38">
        <f t="shared" si="5"/>
        <v>291.38831875629381</v>
      </c>
      <c r="AA30" s="71">
        <v>25</v>
      </c>
      <c r="AB30" s="33">
        <f t="shared" si="6"/>
        <v>0</v>
      </c>
      <c r="AC30" s="304">
        <f>IF(AA30&lt;=$F$18,IFERROR(VLOOKUP($AA30,$B$82:$G$94,3,FALSE),0),)*50%</f>
        <v>0</v>
      </c>
      <c r="AD30" s="100">
        <f t="shared" si="8"/>
        <v>0</v>
      </c>
      <c r="AE30" s="100">
        <f t="shared" si="9"/>
        <v>0</v>
      </c>
      <c r="AF30" s="193">
        <f t="shared" si="36"/>
        <v>0</v>
      </c>
      <c r="AG30" s="193">
        <f t="shared" si="37"/>
        <v>36.872602135771643</v>
      </c>
      <c r="AH30" s="193">
        <f t="shared" si="38"/>
        <v>5.2919178520280497</v>
      </c>
      <c r="AI30" s="198">
        <f t="shared" si="39"/>
        <v>42.164519987799693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3">
        <f t="shared" si="15"/>
        <v>0</v>
      </c>
      <c r="AR30" s="193">
        <f t="shared" si="16"/>
        <v>0</v>
      </c>
      <c r="AS30" s="193">
        <f t="shared" si="17"/>
        <v>0</v>
      </c>
      <c r="AT30" s="193">
        <f t="shared" si="18"/>
        <v>0</v>
      </c>
      <c r="AU30" s="33"/>
      <c r="AV30" s="33"/>
      <c r="AW30" s="33"/>
      <c r="AX30" s="33"/>
      <c r="AY30" s="163">
        <f t="shared" si="27"/>
        <v>44.72</v>
      </c>
    </row>
    <row r="31" spans="2:51">
      <c r="B31" s="40">
        <f t="shared" si="34"/>
        <v>21</v>
      </c>
      <c r="C31" s="151">
        <f t="shared" si="40"/>
        <v>25</v>
      </c>
      <c r="D31" s="136">
        <f>D32+70</f>
        <v>258</v>
      </c>
      <c r="E31" s="140">
        <f t="shared" si="32"/>
        <v>1.3</v>
      </c>
      <c r="F31" s="42">
        <f t="shared" si="33"/>
        <v>335.40000000000003</v>
      </c>
      <c r="G31" s="51">
        <f t="shared" si="35"/>
        <v>43.550000000000004</v>
      </c>
      <c r="I31" s="55">
        <v>26</v>
      </c>
      <c r="J31" s="33">
        <f t="shared" si="21"/>
        <v>10.92</v>
      </c>
      <c r="K31" s="33">
        <f t="shared" si="22"/>
        <v>3.810005372992582</v>
      </c>
      <c r="L31" s="33">
        <f t="shared" si="23"/>
        <v>70</v>
      </c>
      <c r="M31" s="33">
        <f t="shared" si="24"/>
        <v>8.6666666666666661</v>
      </c>
      <c r="N31" s="33">
        <f t="shared" si="0"/>
        <v>0</v>
      </c>
      <c r="O31" s="34">
        <f t="shared" si="1"/>
        <v>314.09920380240652</v>
      </c>
      <c r="P31" s="55">
        <v>26</v>
      </c>
      <c r="Q31" s="33">
        <f t="shared" si="19"/>
        <v>-91.000000000000028</v>
      </c>
      <c r="R31" s="33">
        <f t="shared" si="25"/>
        <v>244.40000000000006</v>
      </c>
      <c r="S31" s="33">
        <f t="shared" si="26"/>
        <v>105.09200000000003</v>
      </c>
      <c r="T31" s="33">
        <f t="shared" si="2"/>
        <v>28.171567603815863</v>
      </c>
      <c r="U31" s="33">
        <f t="shared" si="20"/>
        <v>70</v>
      </c>
      <c r="V31" s="33">
        <f t="shared" si="3"/>
        <v>8.6666666666666661</v>
      </c>
      <c r="W31" s="33">
        <v>0</v>
      </c>
      <c r="X31" s="33">
        <f t="shared" si="4"/>
        <v>520.5451580210904</v>
      </c>
      <c r="Y31" s="38">
        <f t="shared" si="5"/>
        <v>206.44595421868388</v>
      </c>
      <c r="AA31" s="71">
        <v>26</v>
      </c>
      <c r="AB31" s="33">
        <f t="shared" si="6"/>
        <v>70</v>
      </c>
      <c r="AC31" s="304">
        <f t="shared" ref="AC31:AC94" si="41">IF(AA31&lt;=$F$18,IFERROR(VLOOKUP($AA31,$B$82:$G$94,3,FALSE),0),)*50%</f>
        <v>0</v>
      </c>
      <c r="AD31" s="100">
        <f t="shared" si="8"/>
        <v>0.56000000000000005</v>
      </c>
      <c r="AE31" s="100">
        <f t="shared" si="9"/>
        <v>0.44</v>
      </c>
      <c r="AF31" s="193">
        <f t="shared" si="36"/>
        <v>0</v>
      </c>
      <c r="AG31" s="193">
        <f t="shared" si="37"/>
        <v>64.818605778743873</v>
      </c>
      <c r="AH31" s="193">
        <f t="shared" si="38"/>
        <v>23.235820911623851</v>
      </c>
      <c r="AI31" s="198">
        <f t="shared" si="39"/>
        <v>88.05442669036772</v>
      </c>
      <c r="AK31" s="71">
        <v>26</v>
      </c>
      <c r="AL31" s="33">
        <f t="shared" si="10"/>
        <v>70</v>
      </c>
      <c r="AM31" s="33">
        <f t="shared" si="11"/>
        <v>0</v>
      </c>
      <c r="AN31" s="33">
        <f t="shared" si="12"/>
        <v>0.56000000000000005</v>
      </c>
      <c r="AO31" s="33">
        <f t="shared" si="13"/>
        <v>0.44</v>
      </c>
      <c r="AP31" s="33">
        <f t="shared" si="14"/>
        <v>0</v>
      </c>
      <c r="AQ31" s="193">
        <f t="shared" si="15"/>
        <v>0</v>
      </c>
      <c r="AR31" s="193">
        <f t="shared" si="16"/>
        <v>39.200000000000003</v>
      </c>
      <c r="AS31" s="193">
        <f t="shared" si="17"/>
        <v>30.8</v>
      </c>
      <c r="AT31" s="193">
        <f t="shared" si="18"/>
        <v>0</v>
      </c>
      <c r="AU31" s="33"/>
      <c r="AV31" s="33"/>
      <c r="AW31" s="33"/>
      <c r="AX31" s="33"/>
      <c r="AY31" s="163">
        <f t="shared" si="27"/>
        <v>74.819999999999993</v>
      </c>
    </row>
    <row r="32" spans="2:51">
      <c r="B32" s="40">
        <f t="shared" si="34"/>
        <v>25</v>
      </c>
      <c r="C32" s="151">
        <f t="shared" si="40"/>
        <v>26</v>
      </c>
      <c r="D32" s="136">
        <v>188</v>
      </c>
      <c r="E32" s="140">
        <f t="shared" si="32"/>
        <v>1.3</v>
      </c>
      <c r="F32" s="42">
        <f t="shared" si="33"/>
        <v>244.4</v>
      </c>
      <c r="G32" s="51">
        <f t="shared" si="35"/>
        <v>-91.000000000000028</v>
      </c>
      <c r="I32" s="55">
        <v>27</v>
      </c>
      <c r="J32" s="33">
        <f t="shared" si="21"/>
        <v>11.34</v>
      </c>
      <c r="K32" s="33">
        <f t="shared" si="22"/>
        <v>3.9392011666712041</v>
      </c>
      <c r="L32" s="33">
        <f t="shared" si="23"/>
        <v>70</v>
      </c>
      <c r="M32" s="33">
        <f t="shared" si="24"/>
        <v>9</v>
      </c>
      <c r="N32" s="33">
        <f t="shared" si="0"/>
        <v>0</v>
      </c>
      <c r="O32" s="34">
        <f t="shared" si="1"/>
        <v>316.27794203195236</v>
      </c>
      <c r="P32" s="55">
        <v>27</v>
      </c>
      <c r="Q32" s="33">
        <f t="shared" si="19"/>
        <v>45.824999999999996</v>
      </c>
      <c r="R32" s="33">
        <f t="shared" si="25"/>
        <v>290.22500000000008</v>
      </c>
      <c r="S32" s="33">
        <f t="shared" si="26"/>
        <v>124.79675000000003</v>
      </c>
      <c r="T32" s="33">
        <f t="shared" si="2"/>
        <v>32.791197659951777</v>
      </c>
      <c r="U32" s="33">
        <f t="shared" si="20"/>
        <v>70</v>
      </c>
      <c r="V32" s="33">
        <f t="shared" si="3"/>
        <v>9</v>
      </c>
      <c r="W32" s="33">
        <v>0</v>
      </c>
      <c r="X32" s="33">
        <f t="shared" si="4"/>
        <v>564.13234217441595</v>
      </c>
      <c r="Y32" s="38">
        <f t="shared" si="5"/>
        <v>247.85440014246359</v>
      </c>
      <c r="AA32" s="71">
        <v>27</v>
      </c>
      <c r="AB32" s="33">
        <f t="shared" si="6"/>
        <v>0</v>
      </c>
      <c r="AC32" s="304">
        <f t="shared" si="41"/>
        <v>0</v>
      </c>
      <c r="AD32" s="100">
        <f t="shared" si="8"/>
        <v>0</v>
      </c>
      <c r="AE32" s="100">
        <f t="shared" si="9"/>
        <v>0</v>
      </c>
      <c r="AF32" s="193">
        <f t="shared" si="36"/>
        <v>0</v>
      </c>
      <c r="AG32" s="193">
        <f t="shared" si="37"/>
        <v>63.046137595061786</v>
      </c>
      <c r="AH32" s="193">
        <f t="shared" si="38"/>
        <v>16.430206533045414</v>
      </c>
      <c r="AI32" s="198">
        <f t="shared" si="39"/>
        <v>79.476344128107201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3">
        <f t="shared" si="15"/>
        <v>0</v>
      </c>
      <c r="AR32" s="193">
        <f t="shared" si="16"/>
        <v>0</v>
      </c>
      <c r="AS32" s="193">
        <f t="shared" si="17"/>
        <v>0</v>
      </c>
      <c r="AT32" s="193">
        <f t="shared" si="18"/>
        <v>0</v>
      </c>
      <c r="AU32" s="33"/>
      <c r="AV32" s="33"/>
      <c r="AW32" s="33"/>
      <c r="AX32" s="33"/>
      <c r="AY32" s="163">
        <f t="shared" si="27"/>
        <v>74.819999999999993</v>
      </c>
    </row>
    <row r="33" spans="2:51">
      <c r="B33" s="40">
        <f t="shared" si="34"/>
        <v>26</v>
      </c>
      <c r="C33" s="151">
        <f t="shared" si="40"/>
        <v>30</v>
      </c>
      <c r="D33" s="136">
        <f>D34+70</f>
        <v>329</v>
      </c>
      <c r="E33" s="140">
        <f t="shared" si="32"/>
        <v>1.3</v>
      </c>
      <c r="F33" s="42">
        <f t="shared" si="33"/>
        <v>427.7</v>
      </c>
      <c r="G33" s="51">
        <f t="shared" si="35"/>
        <v>45.824999999999996</v>
      </c>
      <c r="I33" s="55">
        <v>28</v>
      </c>
      <c r="J33" s="33">
        <f t="shared" si="21"/>
        <v>11.76</v>
      </c>
      <c r="K33" s="33">
        <f t="shared" si="22"/>
        <v>4.0678410475538191</v>
      </c>
      <c r="L33" s="33">
        <f t="shared" si="23"/>
        <v>70</v>
      </c>
      <c r="M33" s="33">
        <f t="shared" si="24"/>
        <v>9.3333333333333339</v>
      </c>
      <c r="N33" s="33">
        <f t="shared" si="0"/>
        <v>0</v>
      </c>
      <c r="O33" s="34">
        <f t="shared" si="1"/>
        <v>318.45571204671177</v>
      </c>
      <c r="P33" s="55">
        <v>28</v>
      </c>
      <c r="Q33" s="33">
        <f t="shared" si="19"/>
        <v>45.824999999999996</v>
      </c>
      <c r="R33" s="33">
        <f t="shared" si="25"/>
        <v>336.05000000000007</v>
      </c>
      <c r="S33" s="33">
        <f t="shared" si="26"/>
        <v>144.50150000000002</v>
      </c>
      <c r="T33" s="33">
        <f t="shared" si="2"/>
        <v>37.326328857810971</v>
      </c>
      <c r="U33" s="33">
        <f t="shared" si="20"/>
        <v>70</v>
      </c>
      <c r="V33" s="33">
        <f t="shared" si="3"/>
        <v>9.3333333333333339</v>
      </c>
      <c r="W33" s="33">
        <v>0</v>
      </c>
      <c r="X33" s="33">
        <f t="shared" si="4"/>
        <v>607.57235748290975</v>
      </c>
      <c r="Y33" s="38">
        <f t="shared" si="5"/>
        <v>289.11664543619798</v>
      </c>
      <c r="AA33" s="71">
        <v>28</v>
      </c>
      <c r="AB33" s="33">
        <f t="shared" si="6"/>
        <v>0</v>
      </c>
      <c r="AC33" s="304">
        <f t="shared" si="41"/>
        <v>0</v>
      </c>
      <c r="AD33" s="100">
        <f t="shared" si="8"/>
        <v>0</v>
      </c>
      <c r="AE33" s="100">
        <f t="shared" si="9"/>
        <v>0</v>
      </c>
      <c r="AF33" s="193">
        <f t="shared" si="36"/>
        <v>0</v>
      </c>
      <c r="AG33" s="193">
        <f t="shared" si="37"/>
        <v>61.322137647072537</v>
      </c>
      <c r="AH33" s="193">
        <f t="shared" si="38"/>
        <v>11.617910455811929</v>
      </c>
      <c r="AI33" s="198">
        <f t="shared" si="39"/>
        <v>72.940048102884461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3">
        <f t="shared" si="15"/>
        <v>0</v>
      </c>
      <c r="AR33" s="193">
        <f t="shared" si="16"/>
        <v>0</v>
      </c>
      <c r="AS33" s="193">
        <f t="shared" si="17"/>
        <v>0</v>
      </c>
      <c r="AT33" s="193">
        <f t="shared" si="18"/>
        <v>0</v>
      </c>
      <c r="AU33" s="33"/>
      <c r="AV33" s="33"/>
      <c r="AW33" s="33"/>
      <c r="AX33" s="33"/>
      <c r="AY33" s="163">
        <f t="shared" si="27"/>
        <v>74.819999999999993</v>
      </c>
    </row>
    <row r="34" spans="2:51" ht="16" thickBot="1">
      <c r="B34" s="40">
        <f t="shared" si="34"/>
        <v>30</v>
      </c>
      <c r="C34" s="151">
        <f t="shared" si="40"/>
        <v>31</v>
      </c>
      <c r="D34" s="136">
        <v>259</v>
      </c>
      <c r="E34" s="140">
        <f t="shared" si="32"/>
        <v>1.3</v>
      </c>
      <c r="F34" s="42">
        <f t="shared" si="33"/>
        <v>336.7</v>
      </c>
      <c r="G34" s="51">
        <f t="shared" si="35"/>
        <v>-91</v>
      </c>
      <c r="I34" s="55">
        <v>29</v>
      </c>
      <c r="J34" s="33">
        <f t="shared" si="21"/>
        <v>12.18</v>
      </c>
      <c r="K34" s="33">
        <f t="shared" si="22"/>
        <v>4.1959471442360723</v>
      </c>
      <c r="L34" s="33">
        <f t="shared" si="23"/>
        <v>70</v>
      </c>
      <c r="M34" s="33">
        <f t="shared" si="24"/>
        <v>9.6666666666666661</v>
      </c>
      <c r="N34" s="33">
        <f t="shared" si="0"/>
        <v>0</v>
      </c>
      <c r="O34" s="34">
        <f t="shared" si="1"/>
        <v>320.63255238732228</v>
      </c>
      <c r="P34" s="55">
        <v>29</v>
      </c>
      <c r="Q34" s="35">
        <f t="shared" si="19"/>
        <v>45.824999999999996</v>
      </c>
      <c r="R34" s="33">
        <f t="shared" si="25"/>
        <v>381.87500000000006</v>
      </c>
      <c r="S34" s="33">
        <f t="shared" si="26"/>
        <v>164.20625000000001</v>
      </c>
      <c r="T34" s="33">
        <f t="shared" si="2"/>
        <v>41.789809260445338</v>
      </c>
      <c r="U34" s="33">
        <f t="shared" si="20"/>
        <v>70</v>
      </c>
      <c r="V34" s="33">
        <f t="shared" si="3"/>
        <v>9.6666666666666661</v>
      </c>
      <c r="W34" s="33">
        <v>0</v>
      </c>
      <c r="X34" s="33">
        <f t="shared" si="4"/>
        <v>650.88758098972005</v>
      </c>
      <c r="Y34" s="38">
        <f t="shared" si="5"/>
        <v>330.25502860239777</v>
      </c>
      <c r="AA34" s="71">
        <v>29</v>
      </c>
      <c r="AB34" s="142">
        <f t="shared" si="6"/>
        <v>0</v>
      </c>
      <c r="AC34" s="304">
        <f t="shared" si="41"/>
        <v>0</v>
      </c>
      <c r="AD34" s="101">
        <f t="shared" si="8"/>
        <v>0</v>
      </c>
      <c r="AE34" s="101">
        <f t="shared" si="9"/>
        <v>0</v>
      </c>
      <c r="AF34" s="195">
        <f t="shared" si="36"/>
        <v>0</v>
      </c>
      <c r="AG34" s="195">
        <f t="shared" si="37"/>
        <v>59.645280568322271</v>
      </c>
      <c r="AH34" s="193">
        <f t="shared" si="38"/>
        <v>8.2151032665227088</v>
      </c>
      <c r="AI34" s="198">
        <f t="shared" si="39"/>
        <v>67.860383834844981</v>
      </c>
      <c r="AK34" s="71">
        <v>29</v>
      </c>
      <c r="AL34" s="142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3">
        <f t="shared" si="15"/>
        <v>0</v>
      </c>
      <c r="AR34" s="193">
        <f t="shared" si="16"/>
        <v>0</v>
      </c>
      <c r="AS34" s="193">
        <f t="shared" si="17"/>
        <v>0</v>
      </c>
      <c r="AT34" s="193">
        <f t="shared" si="18"/>
        <v>0</v>
      </c>
      <c r="AU34" s="33"/>
      <c r="AV34" s="33"/>
      <c r="AW34" s="33"/>
      <c r="AX34" s="33"/>
      <c r="AY34" s="163">
        <f t="shared" si="27"/>
        <v>74.819999999999993</v>
      </c>
    </row>
    <row r="35" spans="2:51" ht="16" thickBot="1">
      <c r="B35" s="40">
        <f t="shared" si="34"/>
        <v>31</v>
      </c>
      <c r="C35" s="151">
        <f t="shared" si="40"/>
        <v>35</v>
      </c>
      <c r="D35" s="136">
        <f>D36+70</f>
        <v>398</v>
      </c>
      <c r="E35" s="140">
        <f t="shared" si="32"/>
        <v>1.3</v>
      </c>
      <c r="F35" s="42">
        <f t="shared" si="33"/>
        <v>517.4</v>
      </c>
      <c r="G35" s="51">
        <f t="shared" si="35"/>
        <v>45.174999999999997</v>
      </c>
      <c r="I35" s="87">
        <v>30</v>
      </c>
      <c r="J35" s="158">
        <f>IF($I35&lt;=$F$10,IF(AND(D8=B100,F12=C194),($F$11*$F$13+J34*50%),$F$11*$F$13+J34),)</f>
        <v>6.51</v>
      </c>
      <c r="K35" s="53">
        <f t="shared" si="22"/>
        <v>2.4123050520281013</v>
      </c>
      <c r="L35" s="53">
        <f t="shared" si="23"/>
        <v>70</v>
      </c>
      <c r="M35" s="53">
        <f t="shared" si="24"/>
        <v>10</v>
      </c>
      <c r="N35" s="54">
        <f t="shared" si="0"/>
        <v>0</v>
      </c>
      <c r="O35" s="69">
        <f t="shared" si="1"/>
        <v>308.87301463228226</v>
      </c>
      <c r="P35" s="87">
        <v>30</v>
      </c>
      <c r="Q35" s="53">
        <f t="shared" si="19"/>
        <v>45.824999999999996</v>
      </c>
      <c r="R35" s="54">
        <f t="shared" si="25"/>
        <v>427.70000000000005</v>
      </c>
      <c r="S35" s="53">
        <f t="shared" si="26"/>
        <v>183.91100000000003</v>
      </c>
      <c r="T35" s="54">
        <f t="shared" si="2"/>
        <v>46.191220083623499</v>
      </c>
      <c r="U35" s="54">
        <f t="shared" si="20"/>
        <v>70</v>
      </c>
      <c r="V35" s="53">
        <f t="shared" si="3"/>
        <v>10</v>
      </c>
      <c r="W35" s="54">
        <v>0</v>
      </c>
      <c r="X35" s="69">
        <f t="shared" si="4"/>
        <v>694.09469997897759</v>
      </c>
      <c r="Y35" s="65">
        <f t="shared" si="5"/>
        <v>385.22168534669532</v>
      </c>
      <c r="AA35" s="73">
        <v>30</v>
      </c>
      <c r="AB35" s="142">
        <f t="shared" si="6"/>
        <v>0</v>
      </c>
      <c r="AC35" s="304">
        <f t="shared" si="41"/>
        <v>0</v>
      </c>
      <c r="AD35" s="101">
        <f t="shared" si="8"/>
        <v>0</v>
      </c>
      <c r="AE35" s="101">
        <f t="shared" si="9"/>
        <v>0</v>
      </c>
      <c r="AF35" s="199">
        <f t="shared" si="36"/>
        <v>0</v>
      </c>
      <c r="AG35" s="194">
        <f t="shared" si="37"/>
        <v>58.014277234572518</v>
      </c>
      <c r="AH35" s="200">
        <f t="shared" si="38"/>
        <v>5.8089552279059653</v>
      </c>
      <c r="AI35" s="201">
        <f t="shared" si="39"/>
        <v>63.823232462478487</v>
      </c>
      <c r="AK35" s="73">
        <v>30</v>
      </c>
      <c r="AL35" s="142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4">
        <f t="shared" si="15"/>
        <v>0</v>
      </c>
      <c r="AR35" s="194">
        <f t="shared" si="16"/>
        <v>0</v>
      </c>
      <c r="AS35" s="194">
        <f t="shared" si="17"/>
        <v>0</v>
      </c>
      <c r="AT35" s="194">
        <f t="shared" si="18"/>
        <v>0</v>
      </c>
      <c r="AU35" s="53"/>
      <c r="AV35" s="53"/>
      <c r="AW35" s="53"/>
      <c r="AX35" s="53"/>
      <c r="AY35" s="164">
        <f t="shared" si="27"/>
        <v>74.819999999999993</v>
      </c>
    </row>
    <row r="36" spans="2:51">
      <c r="B36" s="40">
        <f t="shared" si="34"/>
        <v>35</v>
      </c>
      <c r="C36" s="151">
        <f t="shared" si="40"/>
        <v>36</v>
      </c>
      <c r="D36" s="136">
        <v>328</v>
      </c>
      <c r="E36" s="140">
        <f t="shared" si="32"/>
        <v>1.3</v>
      </c>
      <c r="F36" s="42">
        <f t="shared" si="33"/>
        <v>426.40000000000003</v>
      </c>
      <c r="G36" s="51">
        <f t="shared" si="35"/>
        <v>-90.999999999999943</v>
      </c>
      <c r="I36" s="55">
        <v>31</v>
      </c>
      <c r="J36" s="33">
        <f t="shared" si="21"/>
        <v>6.93</v>
      </c>
      <c r="K36" s="33">
        <f t="shared" si="22"/>
        <v>2.5493176393392645</v>
      </c>
      <c r="L36" s="33">
        <f t="shared" si="23"/>
        <v>70</v>
      </c>
      <c r="M36" s="33">
        <f t="shared" si="24"/>
        <v>10</v>
      </c>
      <c r="N36" s="33">
        <f t="shared" si="0"/>
        <v>0</v>
      </c>
      <c r="O36" s="34">
        <f t="shared" si="1"/>
        <v>309.84314488851584</v>
      </c>
      <c r="P36" s="55">
        <v>31</v>
      </c>
      <c r="Q36" s="33">
        <f t="shared" si="19"/>
        <v>-91</v>
      </c>
      <c r="R36" s="33">
        <f t="shared" si="25"/>
        <v>336.70000000000005</v>
      </c>
      <c r="S36" s="33">
        <f t="shared" si="26"/>
        <v>144.78100000000001</v>
      </c>
      <c r="T36" s="33">
        <f t="shared" si="2"/>
        <v>37.390115770833177</v>
      </c>
      <c r="U36" s="33">
        <f t="shared" si="20"/>
        <v>70</v>
      </c>
      <c r="V36" s="33">
        <f t="shared" si="3"/>
        <v>10</v>
      </c>
      <c r="W36" s="33">
        <v>0</v>
      </c>
      <c r="X36" s="33">
        <f t="shared" si="4"/>
        <v>610.61469330086777</v>
      </c>
      <c r="Y36" s="38">
        <f t="shared" si="5"/>
        <v>300.77154841235193</v>
      </c>
      <c r="AA36" s="71">
        <v>31</v>
      </c>
      <c r="AB36" s="33">
        <f t="shared" si="6"/>
        <v>70</v>
      </c>
      <c r="AC36" s="304">
        <f t="shared" si="41"/>
        <v>0.15</v>
      </c>
      <c r="AD36" s="100">
        <f t="shared" si="8"/>
        <v>0.39200000000000002</v>
      </c>
      <c r="AE36" s="100">
        <f t="shared" si="9"/>
        <v>0.308</v>
      </c>
      <c r="AF36" s="193">
        <f t="shared" si="36"/>
        <v>7.7862700712023809</v>
      </c>
      <c r="AG36" s="193">
        <f t="shared" si="37"/>
        <v>76.695874593949426</v>
      </c>
      <c r="AH36" s="193">
        <f t="shared" si="38"/>
        <v>17.753260572342221</v>
      </c>
      <c r="AI36" s="198">
        <f t="shared" si="39"/>
        <v>102.23540523749404</v>
      </c>
      <c r="AK36" s="71">
        <v>31</v>
      </c>
      <c r="AL36" s="33">
        <f t="shared" si="10"/>
        <v>70</v>
      </c>
      <c r="AM36" s="33">
        <f t="shared" si="11"/>
        <v>0.3</v>
      </c>
      <c r="AN36" s="33">
        <f t="shared" si="12"/>
        <v>0.39200000000000002</v>
      </c>
      <c r="AO36" s="33">
        <f t="shared" si="13"/>
        <v>0.308</v>
      </c>
      <c r="AP36" s="33">
        <f t="shared" si="14"/>
        <v>0</v>
      </c>
      <c r="AQ36" s="193">
        <f t="shared" si="15"/>
        <v>21</v>
      </c>
      <c r="AR36" s="193">
        <f t="shared" si="16"/>
        <v>27.44</v>
      </c>
      <c r="AS36" s="193">
        <f t="shared" si="17"/>
        <v>21.56</v>
      </c>
      <c r="AT36" s="193">
        <f t="shared" si="18"/>
        <v>0</v>
      </c>
      <c r="AU36" s="33"/>
      <c r="AV36" s="33"/>
      <c r="AW36" s="33"/>
      <c r="AX36" s="33"/>
      <c r="AY36" s="76"/>
    </row>
    <row r="37" spans="2:51">
      <c r="B37" s="40">
        <f t="shared" si="34"/>
        <v>36</v>
      </c>
      <c r="C37" s="151">
        <f t="shared" si="40"/>
        <v>40</v>
      </c>
      <c r="D37" s="136">
        <f>D38+70</f>
        <v>457</v>
      </c>
      <c r="E37" s="140">
        <f t="shared" si="32"/>
        <v>1.3</v>
      </c>
      <c r="F37" s="42">
        <f t="shared" si="33"/>
        <v>594.1</v>
      </c>
      <c r="G37" s="51">
        <f t="shared" si="35"/>
        <v>41.924999999999997</v>
      </c>
      <c r="I37" s="55">
        <v>32</v>
      </c>
      <c r="J37" s="33">
        <f t="shared" si="21"/>
        <v>7.35</v>
      </c>
      <c r="K37" s="33">
        <f t="shared" si="22"/>
        <v>2.6853664437437366</v>
      </c>
      <c r="L37" s="33">
        <f t="shared" si="23"/>
        <v>70</v>
      </c>
      <c r="M37" s="33">
        <f t="shared" si="24"/>
        <v>10</v>
      </c>
      <c r="N37" s="33">
        <f t="shared" si="0"/>
        <v>0</v>
      </c>
      <c r="O37" s="34">
        <f t="shared" si="1"/>
        <v>310.811596556187</v>
      </c>
      <c r="P37" s="55">
        <v>32</v>
      </c>
      <c r="Q37" s="33">
        <f t="shared" si="19"/>
        <v>45.174999999999997</v>
      </c>
      <c r="R37" s="33">
        <f t="shared" si="25"/>
        <v>381.87500000000006</v>
      </c>
      <c r="S37" s="33">
        <f t="shared" si="26"/>
        <v>164.20625000000001</v>
      </c>
      <c r="T37" s="33">
        <f t="shared" si="2"/>
        <v>41.789809260445338</v>
      </c>
      <c r="U37" s="33">
        <f t="shared" si="20"/>
        <v>70</v>
      </c>
      <c r="V37" s="33">
        <f t="shared" si="3"/>
        <v>10</v>
      </c>
      <c r="W37" s="33">
        <v>0</v>
      </c>
      <c r="X37" s="33">
        <f t="shared" si="4"/>
        <v>652.10980321194234</v>
      </c>
      <c r="Y37" s="38">
        <f t="shared" si="5"/>
        <v>341.29820665575534</v>
      </c>
      <c r="AA37" s="71">
        <v>32</v>
      </c>
      <c r="AB37" s="33">
        <f t="shared" si="6"/>
        <v>0</v>
      </c>
      <c r="AC37" s="304">
        <f t="shared" si="41"/>
        <v>0</v>
      </c>
      <c r="AD37" s="100">
        <f t="shared" si="8"/>
        <v>0</v>
      </c>
      <c r="AE37" s="100">
        <f t="shared" si="9"/>
        <v>0</v>
      </c>
      <c r="AF37" s="193">
        <f t="shared" si="36"/>
        <v>7.6335860642619053</v>
      </c>
      <c r="AG37" s="193">
        <f t="shared" si="37"/>
        <v>74.598621869917125</v>
      </c>
      <c r="AH37" s="193">
        <f t="shared" si="38"/>
        <v>12.553450938874953</v>
      </c>
      <c r="AI37" s="198">
        <f t="shared" si="39"/>
        <v>94.78565887305399</v>
      </c>
      <c r="AK37" s="71">
        <v>32</v>
      </c>
      <c r="AL37" s="33">
        <f t="shared" si="10"/>
        <v>0</v>
      </c>
      <c r="AM37" s="33">
        <f t="shared" si="11"/>
        <v>0</v>
      </c>
      <c r="AN37" s="33">
        <f t="shared" si="12"/>
        <v>0</v>
      </c>
      <c r="AO37" s="33">
        <f t="shared" si="13"/>
        <v>0</v>
      </c>
      <c r="AP37" s="33">
        <f t="shared" si="14"/>
        <v>0</v>
      </c>
      <c r="AQ37" s="193">
        <f t="shared" si="15"/>
        <v>0</v>
      </c>
      <c r="AR37" s="193">
        <f t="shared" si="16"/>
        <v>0</v>
      </c>
      <c r="AS37" s="193">
        <f t="shared" si="17"/>
        <v>0</v>
      </c>
      <c r="AT37" s="193">
        <f t="shared" si="18"/>
        <v>0</v>
      </c>
      <c r="AU37" s="33"/>
      <c r="AV37" s="33"/>
      <c r="AW37" s="33"/>
      <c r="AX37" s="33"/>
      <c r="AY37" s="76"/>
    </row>
    <row r="38" spans="2:51">
      <c r="B38" s="40">
        <f t="shared" si="34"/>
        <v>40</v>
      </c>
      <c r="C38" s="151">
        <f t="shared" si="40"/>
        <v>41</v>
      </c>
      <c r="D38" s="136">
        <v>387</v>
      </c>
      <c r="E38" s="140">
        <f t="shared" si="32"/>
        <v>1.3</v>
      </c>
      <c r="F38" s="42">
        <f t="shared" si="33"/>
        <v>503.1</v>
      </c>
      <c r="G38" s="51">
        <f t="shared" si="35"/>
        <v>-91</v>
      </c>
      <c r="I38" s="55">
        <v>33</v>
      </c>
      <c r="J38" s="33">
        <f t="shared" si="21"/>
        <v>7.77</v>
      </c>
      <c r="K38" s="33">
        <f t="shared" si="22"/>
        <v>2.8205128136956583</v>
      </c>
      <c r="L38" s="33">
        <f t="shared" si="23"/>
        <v>70</v>
      </c>
      <c r="M38" s="33">
        <f t="shared" si="24"/>
        <v>10</v>
      </c>
      <c r="N38" s="33">
        <f t="shared" si="0"/>
        <v>0</v>
      </c>
      <c r="O38" s="34">
        <f t="shared" si="1"/>
        <v>311.7784764838533</v>
      </c>
      <c r="P38" s="55">
        <v>33</v>
      </c>
      <c r="Q38" s="33">
        <f t="shared" si="19"/>
        <v>45.174999999999997</v>
      </c>
      <c r="R38" s="33">
        <f t="shared" si="25"/>
        <v>427.05000000000007</v>
      </c>
      <c r="S38" s="33">
        <f t="shared" si="26"/>
        <v>183.63150000000002</v>
      </c>
      <c r="T38" s="33">
        <f t="shared" si="2"/>
        <v>46.129186384305839</v>
      </c>
      <c r="U38" s="33">
        <f t="shared" si="20"/>
        <v>70</v>
      </c>
      <c r="V38" s="33">
        <f t="shared" si="3"/>
        <v>10</v>
      </c>
      <c r="W38" s="33">
        <v>0</v>
      </c>
      <c r="X38" s="33">
        <f t="shared" si="4"/>
        <v>693.49986211933276</v>
      </c>
      <c r="Y38" s="38">
        <f t="shared" si="5"/>
        <v>381.72138563547946</v>
      </c>
      <c r="AA38" s="71">
        <v>33</v>
      </c>
      <c r="AB38" s="33">
        <f t="shared" si="6"/>
        <v>0</v>
      </c>
      <c r="AC38" s="304">
        <f t="shared" si="41"/>
        <v>0</v>
      </c>
      <c r="AD38" s="100">
        <f t="shared" si="8"/>
        <v>0</v>
      </c>
      <c r="AE38" s="100">
        <f t="shared" si="9"/>
        <v>0</v>
      </c>
      <c r="AF38" s="193">
        <f t="shared" si="36"/>
        <v>7.4838960975694837</v>
      </c>
      <c r="AG38" s="193">
        <f t="shared" si="37"/>
        <v>72.558718631913209</v>
      </c>
      <c r="AH38" s="193">
        <f t="shared" si="38"/>
        <v>8.8766302861711122</v>
      </c>
      <c r="AI38" s="198">
        <f t="shared" si="39"/>
        <v>88.9192450156538</v>
      </c>
      <c r="AK38" s="71">
        <v>33</v>
      </c>
      <c r="AL38" s="33">
        <f t="shared" si="10"/>
        <v>0</v>
      </c>
      <c r="AM38" s="33">
        <f t="shared" si="11"/>
        <v>0</v>
      </c>
      <c r="AN38" s="33">
        <f t="shared" si="12"/>
        <v>0</v>
      </c>
      <c r="AO38" s="33">
        <f t="shared" si="13"/>
        <v>0</v>
      </c>
      <c r="AP38" s="33">
        <f t="shared" si="14"/>
        <v>0</v>
      </c>
      <c r="AQ38" s="193">
        <f t="shared" si="15"/>
        <v>0</v>
      </c>
      <c r="AR38" s="193">
        <f t="shared" si="16"/>
        <v>0</v>
      </c>
      <c r="AS38" s="193">
        <f t="shared" si="17"/>
        <v>0</v>
      </c>
      <c r="AT38" s="193">
        <f t="shared" si="18"/>
        <v>0</v>
      </c>
      <c r="AU38" s="33"/>
      <c r="AV38" s="33"/>
      <c r="AW38" s="33"/>
      <c r="AX38" s="33"/>
      <c r="AY38" s="76"/>
    </row>
    <row r="39" spans="2:51">
      <c r="B39" s="40">
        <f t="shared" si="34"/>
        <v>41</v>
      </c>
      <c r="C39" s="151">
        <f t="shared" si="40"/>
        <v>45</v>
      </c>
      <c r="D39" s="136">
        <f>D40+70</f>
        <v>505</v>
      </c>
      <c r="E39" s="140">
        <f t="shared" si="32"/>
        <v>1.3</v>
      </c>
      <c r="F39" s="42">
        <f t="shared" si="33"/>
        <v>656.5</v>
      </c>
      <c r="G39" s="51">
        <f t="shared" si="35"/>
        <v>38.349999999999994</v>
      </c>
      <c r="I39" s="55">
        <v>34</v>
      </c>
      <c r="J39" s="33">
        <f t="shared" si="21"/>
        <v>8.19</v>
      </c>
      <c r="K39" s="33">
        <f t="shared" si="22"/>
        <v>2.9548110908066181</v>
      </c>
      <c r="L39" s="33">
        <f t="shared" si="23"/>
        <v>70</v>
      </c>
      <c r="M39" s="33">
        <f t="shared" si="24"/>
        <v>10</v>
      </c>
      <c r="N39" s="33">
        <f t="shared" si="0"/>
        <v>0</v>
      </c>
      <c r="O39" s="34">
        <f t="shared" si="1"/>
        <v>312.74387931648818</v>
      </c>
      <c r="P39" s="55">
        <v>34</v>
      </c>
      <c r="Q39" s="33">
        <f t="shared" si="19"/>
        <v>45.174999999999997</v>
      </c>
      <c r="R39" s="33">
        <f t="shared" si="25"/>
        <v>472.22500000000008</v>
      </c>
      <c r="S39" s="33">
        <f t="shared" si="26"/>
        <v>203.05675000000002</v>
      </c>
      <c r="T39" s="33">
        <f t="shared" si="2"/>
        <v>50.415354669321474</v>
      </c>
      <c r="U39" s="33">
        <f t="shared" si="20"/>
        <v>70</v>
      </c>
      <c r="V39" s="33">
        <f t="shared" si="3"/>
        <v>10</v>
      </c>
      <c r="W39" s="33">
        <v>0</v>
      </c>
      <c r="X39" s="33">
        <f t="shared" si="4"/>
        <v>734.79724896573498</v>
      </c>
      <c r="Y39" s="38">
        <f t="shared" si="5"/>
        <v>422.0533696492468</v>
      </c>
      <c r="AA39" s="71">
        <v>34</v>
      </c>
      <c r="AB39" s="33">
        <f t="shared" si="6"/>
        <v>0</v>
      </c>
      <c r="AC39" s="304">
        <f t="shared" si="41"/>
        <v>0</v>
      </c>
      <c r="AD39" s="100">
        <f t="shared" si="8"/>
        <v>0</v>
      </c>
      <c r="AE39" s="100">
        <f t="shared" si="9"/>
        <v>0</v>
      </c>
      <c r="AF39" s="193">
        <f t="shared" si="36"/>
        <v>7.3371414598220364</v>
      </c>
      <c r="AG39" s="193">
        <f t="shared" si="37"/>
        <v>70.574596655226358</v>
      </c>
      <c r="AH39" s="193">
        <f t="shared" si="38"/>
        <v>6.2767254694374781</v>
      </c>
      <c r="AI39" s="198">
        <f t="shared" si="39"/>
        <v>84.188463584485874</v>
      </c>
      <c r="AK39" s="71">
        <v>34</v>
      </c>
      <c r="AL39" s="33">
        <f t="shared" si="10"/>
        <v>0</v>
      </c>
      <c r="AM39" s="33">
        <f t="shared" si="11"/>
        <v>0</v>
      </c>
      <c r="AN39" s="33">
        <f t="shared" si="12"/>
        <v>0</v>
      </c>
      <c r="AO39" s="33">
        <f t="shared" si="13"/>
        <v>0</v>
      </c>
      <c r="AP39" s="33">
        <f t="shared" si="14"/>
        <v>0</v>
      </c>
      <c r="AQ39" s="193">
        <f t="shared" si="15"/>
        <v>0</v>
      </c>
      <c r="AR39" s="193">
        <f t="shared" si="16"/>
        <v>0</v>
      </c>
      <c r="AS39" s="193">
        <f t="shared" si="17"/>
        <v>0</v>
      </c>
      <c r="AT39" s="193">
        <f t="shared" si="18"/>
        <v>0</v>
      </c>
      <c r="AU39" s="33"/>
      <c r="AV39" s="33"/>
      <c r="AW39" s="33"/>
      <c r="AX39" s="33"/>
      <c r="AY39" s="76"/>
    </row>
    <row r="40" spans="2:51">
      <c r="B40" s="40">
        <f t="shared" si="34"/>
        <v>45</v>
      </c>
      <c r="C40" s="151">
        <f t="shared" si="40"/>
        <v>46</v>
      </c>
      <c r="D40" s="136">
        <v>435</v>
      </c>
      <c r="E40" s="140">
        <f t="shared" si="32"/>
        <v>1.3</v>
      </c>
      <c r="F40" s="42">
        <f t="shared" si="33"/>
        <v>565.5</v>
      </c>
      <c r="G40" s="51">
        <f t="shared" si="35"/>
        <v>-91</v>
      </c>
      <c r="I40" s="55">
        <v>35</v>
      </c>
      <c r="J40" s="33">
        <f t="shared" si="21"/>
        <v>8.61</v>
      </c>
      <c r="K40" s="33">
        <f t="shared" si="22"/>
        <v>3.0883097283778902</v>
      </c>
      <c r="L40" s="33">
        <f t="shared" si="23"/>
        <v>70</v>
      </c>
      <c r="M40" s="33">
        <f t="shared" si="24"/>
        <v>10</v>
      </c>
      <c r="N40" s="33">
        <f t="shared" si="0"/>
        <v>0</v>
      </c>
      <c r="O40" s="34">
        <f t="shared" si="1"/>
        <v>313.70788944359145</v>
      </c>
      <c r="P40" s="55">
        <v>35</v>
      </c>
      <c r="Q40" s="33">
        <f t="shared" si="19"/>
        <v>45.174999999999997</v>
      </c>
      <c r="R40" s="33">
        <f t="shared" si="25"/>
        <v>517.40000000000009</v>
      </c>
      <c r="S40" s="33">
        <f t="shared" si="26"/>
        <v>222.48200000000003</v>
      </c>
      <c r="T40" s="33">
        <f t="shared" si="2"/>
        <v>54.653983431633186</v>
      </c>
      <c r="U40" s="33">
        <f t="shared" si="20"/>
        <v>70</v>
      </c>
      <c r="V40" s="33">
        <f t="shared" si="3"/>
        <v>10</v>
      </c>
      <c r="W40" s="33">
        <v>0</v>
      </c>
      <c r="X40" s="33">
        <f t="shared" si="4"/>
        <v>776.01183781009456</v>
      </c>
      <c r="Y40" s="38">
        <f t="shared" si="5"/>
        <v>462.30394836650311</v>
      </c>
      <c r="AA40" s="71">
        <v>35</v>
      </c>
      <c r="AB40" s="33">
        <f t="shared" si="6"/>
        <v>0</v>
      </c>
      <c r="AC40" s="304">
        <f t="shared" si="41"/>
        <v>0</v>
      </c>
      <c r="AD40" s="100">
        <f t="shared" si="8"/>
        <v>0</v>
      </c>
      <c r="AE40" s="100">
        <f t="shared" si="9"/>
        <v>0</v>
      </c>
      <c r="AF40" s="193">
        <f t="shared" si="36"/>
        <v>7.193264591009326</v>
      </c>
      <c r="AG40" s="193">
        <f t="shared" si="37"/>
        <v>68.644730598332458</v>
      </c>
      <c r="AH40" s="193">
        <f t="shared" si="38"/>
        <v>4.438315143085557</v>
      </c>
      <c r="AI40" s="198">
        <f t="shared" si="39"/>
        <v>80.276310332427343</v>
      </c>
      <c r="AK40" s="71">
        <v>35</v>
      </c>
      <c r="AL40" s="33">
        <f t="shared" si="10"/>
        <v>0</v>
      </c>
      <c r="AM40" s="33">
        <f t="shared" si="11"/>
        <v>0</v>
      </c>
      <c r="AN40" s="33">
        <f t="shared" si="12"/>
        <v>0</v>
      </c>
      <c r="AO40" s="33">
        <f t="shared" si="13"/>
        <v>0</v>
      </c>
      <c r="AP40" s="33">
        <f t="shared" si="14"/>
        <v>0</v>
      </c>
      <c r="AQ40" s="193">
        <f t="shared" si="15"/>
        <v>0</v>
      </c>
      <c r="AR40" s="193">
        <f t="shared" si="16"/>
        <v>0</v>
      </c>
      <c r="AS40" s="193">
        <f t="shared" si="17"/>
        <v>0</v>
      </c>
      <c r="AT40" s="193">
        <f t="shared" si="18"/>
        <v>0</v>
      </c>
      <c r="AU40" s="33"/>
      <c r="AV40" s="33"/>
      <c r="AW40" s="33"/>
      <c r="AX40" s="33"/>
      <c r="AY40" s="76"/>
    </row>
    <row r="41" spans="2:51">
      <c r="B41" s="40">
        <f t="shared" si="34"/>
        <v>46</v>
      </c>
      <c r="C41" s="151">
        <f t="shared" si="40"/>
        <v>50</v>
      </c>
      <c r="D41" s="136">
        <f>D42+59</f>
        <v>545</v>
      </c>
      <c r="E41" s="140">
        <f t="shared" si="32"/>
        <v>1.3</v>
      </c>
      <c r="F41" s="42">
        <f t="shared" si="33"/>
        <v>708.5</v>
      </c>
      <c r="G41" s="51">
        <f t="shared" si="35"/>
        <v>35.75</v>
      </c>
      <c r="I41" s="55">
        <v>36</v>
      </c>
      <c r="J41" s="33">
        <f t="shared" si="21"/>
        <v>9.0299999999999994</v>
      </c>
      <c r="K41" s="33">
        <f t="shared" si="22"/>
        <v>3.2210521854900231</v>
      </c>
      <c r="L41" s="33">
        <f t="shared" si="23"/>
        <v>70</v>
      </c>
      <c r="M41" s="33">
        <f t="shared" si="24"/>
        <v>10</v>
      </c>
      <c r="N41" s="33">
        <f t="shared" si="0"/>
        <v>0</v>
      </c>
      <c r="O41" s="34">
        <f t="shared" si="1"/>
        <v>314.67058255639512</v>
      </c>
      <c r="P41" s="55">
        <v>36</v>
      </c>
      <c r="Q41" s="33">
        <f t="shared" si="19"/>
        <v>-90.999999999999943</v>
      </c>
      <c r="R41" s="33">
        <f t="shared" si="25"/>
        <v>426.40000000000015</v>
      </c>
      <c r="S41" s="33">
        <f t="shared" si="26"/>
        <v>183.35200000000006</v>
      </c>
      <c r="T41" s="33">
        <f t="shared" si="2"/>
        <v>46.06714169356475</v>
      </c>
      <c r="U41" s="33">
        <f t="shared" si="20"/>
        <v>70</v>
      </c>
      <c r="V41" s="33">
        <f t="shared" si="3"/>
        <v>10</v>
      </c>
      <c r="W41" s="33">
        <v>0</v>
      </c>
      <c r="X41" s="33">
        <f t="shared" si="4"/>
        <v>692.90500511629205</v>
      </c>
      <c r="Y41" s="38">
        <f t="shared" si="5"/>
        <v>378.23442255989693</v>
      </c>
      <c r="AA41" s="71">
        <v>36</v>
      </c>
      <c r="AB41" s="33">
        <f t="shared" si="6"/>
        <v>70</v>
      </c>
      <c r="AC41" s="304">
        <f t="shared" si="41"/>
        <v>0.25</v>
      </c>
      <c r="AD41" s="100">
        <f t="shared" si="8"/>
        <v>0.28000000000000003</v>
      </c>
      <c r="AE41" s="100">
        <f t="shared" si="9"/>
        <v>0.22</v>
      </c>
      <c r="AF41" s="193">
        <f t="shared" si="36"/>
        <v>20.029325845175109</v>
      </c>
      <c r="AG41" s="193">
        <f t="shared" si="37"/>
        <v>81.24478027396195</v>
      </c>
      <c r="AH41" s="193">
        <f t="shared" si="38"/>
        <v>12.885297691205073</v>
      </c>
      <c r="AI41" s="198">
        <f t="shared" si="39"/>
        <v>114.15940381034213</v>
      </c>
      <c r="AK41" s="71">
        <v>36</v>
      </c>
      <c r="AL41" s="33">
        <f t="shared" si="10"/>
        <v>70</v>
      </c>
      <c r="AM41" s="33">
        <f t="shared" si="11"/>
        <v>0.5</v>
      </c>
      <c r="AN41" s="33">
        <f t="shared" si="12"/>
        <v>0.28000000000000003</v>
      </c>
      <c r="AO41" s="33">
        <f t="shared" si="13"/>
        <v>0.22</v>
      </c>
      <c r="AP41" s="33">
        <f t="shared" si="14"/>
        <v>0</v>
      </c>
      <c r="AQ41" s="193">
        <f t="shared" si="15"/>
        <v>35</v>
      </c>
      <c r="AR41" s="193">
        <f t="shared" si="16"/>
        <v>19.600000000000001</v>
      </c>
      <c r="AS41" s="193">
        <f t="shared" si="17"/>
        <v>15.4</v>
      </c>
      <c r="AT41" s="193">
        <f t="shared" si="18"/>
        <v>0</v>
      </c>
      <c r="AU41" s="33"/>
      <c r="AV41" s="33"/>
      <c r="AW41" s="33"/>
      <c r="AX41" s="33"/>
      <c r="AY41" s="76"/>
    </row>
    <row r="42" spans="2:51">
      <c r="B42" s="40">
        <f t="shared" si="34"/>
        <v>50</v>
      </c>
      <c r="C42" s="151">
        <f t="shared" si="40"/>
        <v>51</v>
      </c>
      <c r="D42" s="136">
        <v>486</v>
      </c>
      <c r="E42" s="140">
        <f t="shared" si="32"/>
        <v>1.3</v>
      </c>
      <c r="F42" s="42">
        <f t="shared" si="33"/>
        <v>631.80000000000007</v>
      </c>
      <c r="G42" s="51">
        <f t="shared" si="35"/>
        <v>-76.699999999999932</v>
      </c>
      <c r="I42" s="55">
        <v>37</v>
      </c>
      <c r="J42" s="33">
        <f t="shared" si="21"/>
        <v>9.4499999999999993</v>
      </c>
      <c r="K42" s="33">
        <f t="shared" si="22"/>
        <v>3.3530776500429536</v>
      </c>
      <c r="L42" s="33">
        <f t="shared" si="23"/>
        <v>70</v>
      </c>
      <c r="M42" s="33">
        <f t="shared" si="24"/>
        <v>10</v>
      </c>
      <c r="N42" s="33">
        <f t="shared" si="0"/>
        <v>0</v>
      </c>
      <c r="O42" s="34">
        <f t="shared" si="1"/>
        <v>315.63202690715815</v>
      </c>
      <c r="P42" s="55">
        <v>37</v>
      </c>
      <c r="Q42" s="33">
        <f t="shared" si="19"/>
        <v>41.924999999999997</v>
      </c>
      <c r="R42" s="33">
        <f t="shared" si="25"/>
        <v>468.32500000000016</v>
      </c>
      <c r="S42" s="33">
        <f t="shared" si="26"/>
        <v>201.37975000000006</v>
      </c>
      <c r="T42" s="33">
        <f t="shared" si="2"/>
        <v>50.047273577971822</v>
      </c>
      <c r="U42" s="33">
        <f t="shared" si="20"/>
        <v>70</v>
      </c>
      <c r="V42" s="33">
        <f t="shared" si="3"/>
        <v>10</v>
      </c>
      <c r="W42" s="33">
        <v>0</v>
      </c>
      <c r="X42" s="33">
        <f t="shared" si="4"/>
        <v>731.23539939830107</v>
      </c>
      <c r="Y42" s="38">
        <f t="shared" si="5"/>
        <v>415.60337249114292</v>
      </c>
      <c r="AA42" s="71">
        <v>37</v>
      </c>
      <c r="AB42" s="33">
        <f t="shared" si="6"/>
        <v>0</v>
      </c>
      <c r="AC42" s="304">
        <f t="shared" si="41"/>
        <v>0</v>
      </c>
      <c r="AD42" s="100">
        <f t="shared" si="8"/>
        <v>0</v>
      </c>
      <c r="AE42" s="100">
        <f t="shared" si="9"/>
        <v>0</v>
      </c>
      <c r="AF42" s="193">
        <f t="shared" si="36"/>
        <v>19.636562982033691</v>
      </c>
      <c r="AG42" s="193">
        <f t="shared" si="37"/>
        <v>79.023137484893155</v>
      </c>
      <c r="AH42" s="193">
        <f t="shared" si="38"/>
        <v>9.1112813750584731</v>
      </c>
      <c r="AI42" s="198">
        <f t="shared" si="39"/>
        <v>107.77098184198532</v>
      </c>
      <c r="AK42" s="71">
        <v>37</v>
      </c>
      <c r="AL42" s="33">
        <f t="shared" si="10"/>
        <v>0</v>
      </c>
      <c r="AM42" s="33">
        <f t="shared" si="11"/>
        <v>0</v>
      </c>
      <c r="AN42" s="33">
        <f t="shared" si="12"/>
        <v>0</v>
      </c>
      <c r="AO42" s="33">
        <f t="shared" si="13"/>
        <v>0</v>
      </c>
      <c r="AP42" s="33">
        <f t="shared" si="14"/>
        <v>0</v>
      </c>
      <c r="AQ42" s="193">
        <f t="shared" si="15"/>
        <v>0</v>
      </c>
      <c r="AR42" s="193">
        <f t="shared" si="16"/>
        <v>0</v>
      </c>
      <c r="AS42" s="193">
        <f t="shared" si="17"/>
        <v>0</v>
      </c>
      <c r="AT42" s="193">
        <f t="shared" si="18"/>
        <v>0</v>
      </c>
      <c r="AU42" s="33"/>
      <c r="AV42" s="33"/>
      <c r="AW42" s="33"/>
      <c r="AX42" s="33"/>
      <c r="AY42" s="76"/>
    </row>
    <row r="43" spans="2:51">
      <c r="B43" s="40">
        <f t="shared" si="34"/>
        <v>51</v>
      </c>
      <c r="C43" s="151">
        <f t="shared" si="40"/>
        <v>55</v>
      </c>
      <c r="D43" s="136">
        <f>D44+51</f>
        <v>587</v>
      </c>
      <c r="E43" s="140">
        <f t="shared" si="32"/>
        <v>1.3</v>
      </c>
      <c r="F43" s="42">
        <f t="shared" ref="F43:F46" si="42">D43*E43</f>
        <v>763.1</v>
      </c>
      <c r="G43" s="51">
        <f t="shared" ref="G43:G46" si="43">(F43-F42)/(C43-B43)</f>
        <v>32.824999999999989</v>
      </c>
      <c r="I43" s="55">
        <v>38</v>
      </c>
      <c r="J43" s="33">
        <f t="shared" si="21"/>
        <v>9.8699999999999992</v>
      </c>
      <c r="K43" s="33">
        <f t="shared" si="22"/>
        <v>3.4844216296255963</v>
      </c>
      <c r="L43" s="33">
        <f t="shared" si="23"/>
        <v>70</v>
      </c>
      <c r="M43" s="33">
        <f t="shared" si="24"/>
        <v>10</v>
      </c>
      <c r="N43" s="33">
        <f t="shared" si="0"/>
        <v>0</v>
      </c>
      <c r="O43" s="34">
        <f t="shared" si="1"/>
        <v>316.59228433826456</v>
      </c>
      <c r="P43" s="55">
        <v>38</v>
      </c>
      <c r="Q43" s="33">
        <f t="shared" si="19"/>
        <v>41.924999999999997</v>
      </c>
      <c r="R43" s="33">
        <f t="shared" si="25"/>
        <v>510.25000000000017</v>
      </c>
      <c r="S43" s="33">
        <f t="shared" si="26"/>
        <v>219.40750000000008</v>
      </c>
      <c r="T43" s="33">
        <f t="shared" si="2"/>
        <v>53.986088567856342</v>
      </c>
      <c r="U43" s="33">
        <f t="shared" si="20"/>
        <v>70</v>
      </c>
      <c r="V43" s="33">
        <f t="shared" si="3"/>
        <v>10</v>
      </c>
      <c r="W43" s="33">
        <v>0</v>
      </c>
      <c r="X43" s="33">
        <f t="shared" si="4"/>
        <v>769.49383342234989</v>
      </c>
      <c r="Y43" s="38">
        <f t="shared" si="5"/>
        <v>452.90154908408533</v>
      </c>
      <c r="AA43" s="71">
        <v>38</v>
      </c>
      <c r="AB43" s="33">
        <f t="shared" si="6"/>
        <v>0</v>
      </c>
      <c r="AC43" s="304">
        <f t="shared" si="41"/>
        <v>0</v>
      </c>
      <c r="AD43" s="100">
        <f t="shared" si="8"/>
        <v>0</v>
      </c>
      <c r="AE43" s="100">
        <f t="shared" si="9"/>
        <v>0</v>
      </c>
      <c r="AF43" s="193">
        <f t="shared" si="36"/>
        <v>19.251501959076787</v>
      </c>
      <c r="AG43" s="193">
        <f t="shared" si="37"/>
        <v>76.862245634722555</v>
      </c>
      <c r="AH43" s="193">
        <f t="shared" si="38"/>
        <v>6.4426488456025384</v>
      </c>
      <c r="AI43" s="198">
        <f t="shared" si="39"/>
        <v>102.55639643940188</v>
      </c>
      <c r="AK43" s="71">
        <v>38</v>
      </c>
      <c r="AL43" s="33">
        <f t="shared" si="10"/>
        <v>0</v>
      </c>
      <c r="AM43" s="33">
        <f t="shared" si="11"/>
        <v>0</v>
      </c>
      <c r="AN43" s="33">
        <f t="shared" si="12"/>
        <v>0</v>
      </c>
      <c r="AO43" s="33">
        <f t="shared" si="13"/>
        <v>0</v>
      </c>
      <c r="AP43" s="33">
        <f t="shared" si="14"/>
        <v>0</v>
      </c>
      <c r="AQ43" s="193">
        <f t="shared" si="15"/>
        <v>0</v>
      </c>
      <c r="AR43" s="193">
        <f t="shared" si="16"/>
        <v>0</v>
      </c>
      <c r="AS43" s="193">
        <f t="shared" si="17"/>
        <v>0</v>
      </c>
      <c r="AT43" s="193">
        <f t="shared" si="18"/>
        <v>0</v>
      </c>
      <c r="AU43" s="33"/>
      <c r="AV43" s="33"/>
      <c r="AW43" s="33"/>
      <c r="AX43" s="33"/>
      <c r="AY43" s="76"/>
    </row>
    <row r="44" spans="2:51">
      <c r="B44" s="40">
        <f t="shared" si="34"/>
        <v>55</v>
      </c>
      <c r="C44" s="151">
        <f t="shared" si="40"/>
        <v>56</v>
      </c>
      <c r="D44" s="136">
        <v>536</v>
      </c>
      <c r="E44" s="140">
        <f t="shared" si="32"/>
        <v>1.3</v>
      </c>
      <c r="F44" s="42">
        <f t="shared" si="42"/>
        <v>696.80000000000007</v>
      </c>
      <c r="G44" s="51">
        <f t="shared" si="43"/>
        <v>-66.299999999999955</v>
      </c>
      <c r="I44" s="55">
        <v>39</v>
      </c>
      <c r="J44" s="33">
        <f t="shared" si="21"/>
        <v>10.29</v>
      </c>
      <c r="K44" s="33">
        <f t="shared" si="22"/>
        <v>3.615116438976083</v>
      </c>
      <c r="L44" s="33">
        <f t="shared" si="23"/>
        <v>70</v>
      </c>
      <c r="M44" s="33">
        <f t="shared" si="24"/>
        <v>10</v>
      </c>
      <c r="N44" s="33">
        <f t="shared" si="0"/>
        <v>0</v>
      </c>
      <c r="O44" s="34">
        <f t="shared" si="1"/>
        <v>317.5514111312167</v>
      </c>
      <c r="P44" s="55">
        <v>39</v>
      </c>
      <c r="Q44" s="33">
        <f t="shared" si="19"/>
        <v>41.924999999999997</v>
      </c>
      <c r="R44" s="33">
        <f t="shared" si="25"/>
        <v>552.17500000000018</v>
      </c>
      <c r="S44" s="33">
        <f t="shared" si="26"/>
        <v>237.43525000000008</v>
      </c>
      <c r="T44" s="33">
        <f t="shared" si="2"/>
        <v>57.887367448667923</v>
      </c>
      <c r="U44" s="33">
        <f t="shared" si="20"/>
        <v>70</v>
      </c>
      <c r="V44" s="33">
        <f t="shared" si="3"/>
        <v>10</v>
      </c>
      <c r="W44" s="33">
        <v>0</v>
      </c>
      <c r="X44" s="33">
        <f t="shared" si="4"/>
        <v>807.68689205643011</v>
      </c>
      <c r="Y44" s="38">
        <f t="shared" si="5"/>
        <v>490.13548092521341</v>
      </c>
      <c r="AA44" s="71">
        <v>39</v>
      </c>
      <c r="AB44" s="33">
        <f t="shared" si="6"/>
        <v>0</v>
      </c>
      <c r="AC44" s="304">
        <f t="shared" si="41"/>
        <v>0</v>
      </c>
      <c r="AD44" s="100">
        <f t="shared" si="8"/>
        <v>0</v>
      </c>
      <c r="AE44" s="100">
        <f t="shared" si="9"/>
        <v>0</v>
      </c>
      <c r="AF44" s="193">
        <f t="shared" si="36"/>
        <v>18.873991747916033</v>
      </c>
      <c r="AG44" s="193">
        <f t="shared" si="37"/>
        <v>74.760443485831246</v>
      </c>
      <c r="AH44" s="193">
        <f t="shared" si="38"/>
        <v>4.5556406875292375</v>
      </c>
      <c r="AI44" s="198">
        <f t="shared" si="39"/>
        <v>98.190075921276517</v>
      </c>
      <c r="AK44" s="71">
        <v>39</v>
      </c>
      <c r="AL44" s="33">
        <f t="shared" si="10"/>
        <v>0</v>
      </c>
      <c r="AM44" s="33">
        <f t="shared" si="11"/>
        <v>0</v>
      </c>
      <c r="AN44" s="33">
        <f t="shared" si="12"/>
        <v>0</v>
      </c>
      <c r="AO44" s="33">
        <f t="shared" si="13"/>
        <v>0</v>
      </c>
      <c r="AP44" s="33">
        <f t="shared" si="14"/>
        <v>0</v>
      </c>
      <c r="AQ44" s="193">
        <f t="shared" si="15"/>
        <v>0</v>
      </c>
      <c r="AR44" s="193">
        <f t="shared" si="16"/>
        <v>0</v>
      </c>
      <c r="AS44" s="193">
        <f t="shared" si="17"/>
        <v>0</v>
      </c>
      <c r="AT44" s="193">
        <f t="shared" si="18"/>
        <v>0</v>
      </c>
      <c r="AU44" s="33"/>
      <c r="AV44" s="33"/>
      <c r="AW44" s="33"/>
      <c r="AX44" s="33"/>
      <c r="AY44" s="76"/>
    </row>
    <row r="45" spans="2:51">
      <c r="B45" s="40">
        <f t="shared" si="34"/>
        <v>56</v>
      </c>
      <c r="C45" s="151">
        <f t="shared" si="40"/>
        <v>60</v>
      </c>
      <c r="D45" s="136">
        <f>D46+45</f>
        <v>628</v>
      </c>
      <c r="E45" s="140">
        <f t="shared" si="32"/>
        <v>1.3</v>
      </c>
      <c r="F45" s="42">
        <f t="shared" si="42"/>
        <v>816.4</v>
      </c>
      <c r="G45" s="51">
        <f t="shared" si="43"/>
        <v>29.899999999999977</v>
      </c>
      <c r="I45" s="55">
        <v>40</v>
      </c>
      <c r="J45" s="33">
        <f t="shared" si="21"/>
        <v>10.709999999999999</v>
      </c>
      <c r="K45" s="33">
        <f t="shared" si="22"/>
        <v>3.7451916056153398</v>
      </c>
      <c r="L45" s="33">
        <f t="shared" si="23"/>
        <v>70</v>
      </c>
      <c r="M45" s="33">
        <f t="shared" si="24"/>
        <v>10</v>
      </c>
      <c r="N45" s="33">
        <f t="shared" si="0"/>
        <v>0</v>
      </c>
      <c r="O45" s="34">
        <f t="shared" si="1"/>
        <v>318.50945871311336</v>
      </c>
      <c r="P45" s="55">
        <v>40</v>
      </c>
      <c r="Q45" s="33">
        <f t="shared" si="19"/>
        <v>41.924999999999997</v>
      </c>
      <c r="R45" s="33">
        <f t="shared" si="25"/>
        <v>594.10000000000014</v>
      </c>
      <c r="S45" s="33">
        <f t="shared" si="26"/>
        <v>255.46300000000005</v>
      </c>
      <c r="T45" s="33">
        <f t="shared" si="2"/>
        <v>61.754284280703082</v>
      </c>
      <c r="U45" s="33">
        <f t="shared" si="20"/>
        <v>70</v>
      </c>
      <c r="V45" s="33">
        <f t="shared" si="3"/>
        <v>10</v>
      </c>
      <c r="W45" s="33">
        <v>0</v>
      </c>
      <c r="X45" s="33">
        <f t="shared" si="4"/>
        <v>845.82010345555784</v>
      </c>
      <c r="Y45" s="38">
        <f t="shared" si="5"/>
        <v>527.31064474244454</v>
      </c>
      <c r="AA45" s="71">
        <v>40</v>
      </c>
      <c r="AB45" s="33">
        <f t="shared" si="6"/>
        <v>0</v>
      </c>
      <c r="AC45" s="304">
        <f t="shared" si="41"/>
        <v>0</v>
      </c>
      <c r="AD45" s="100">
        <f t="shared" si="8"/>
        <v>0</v>
      </c>
      <c r="AE45" s="100">
        <f t="shared" si="9"/>
        <v>0</v>
      </c>
      <c r="AF45" s="193">
        <f t="shared" si="36"/>
        <v>18.503884281737651</v>
      </c>
      <c r="AG45" s="193">
        <f t="shared" si="37"/>
        <v>72.716115227230333</v>
      </c>
      <c r="AH45" s="193">
        <f t="shared" si="38"/>
        <v>3.2213244228012696</v>
      </c>
      <c r="AI45" s="198">
        <f t="shared" si="39"/>
        <v>94.441323931769261</v>
      </c>
      <c r="AK45" s="71">
        <v>40</v>
      </c>
      <c r="AL45" s="33">
        <f t="shared" si="10"/>
        <v>0</v>
      </c>
      <c r="AM45" s="33">
        <f t="shared" si="11"/>
        <v>0</v>
      </c>
      <c r="AN45" s="33">
        <f t="shared" si="12"/>
        <v>0</v>
      </c>
      <c r="AO45" s="33">
        <f t="shared" si="13"/>
        <v>0</v>
      </c>
      <c r="AP45" s="33">
        <f t="shared" si="14"/>
        <v>0</v>
      </c>
      <c r="AQ45" s="193">
        <f t="shared" si="15"/>
        <v>0</v>
      </c>
      <c r="AR45" s="193">
        <f t="shared" si="16"/>
        <v>0</v>
      </c>
      <c r="AS45" s="193">
        <f t="shared" si="17"/>
        <v>0</v>
      </c>
      <c r="AT45" s="193">
        <f t="shared" si="18"/>
        <v>0</v>
      </c>
      <c r="AU45" s="33"/>
      <c r="AV45" s="33"/>
      <c r="AW45" s="33"/>
      <c r="AX45" s="33"/>
      <c r="AY45" s="76"/>
    </row>
    <row r="46" spans="2:51">
      <c r="B46" s="40">
        <f t="shared" si="34"/>
        <v>60</v>
      </c>
      <c r="C46" s="151">
        <f t="shared" si="40"/>
        <v>61</v>
      </c>
      <c r="D46" s="136">
        <v>583</v>
      </c>
      <c r="E46" s="140">
        <f t="shared" si="32"/>
        <v>1.3</v>
      </c>
      <c r="F46" s="42">
        <f t="shared" si="42"/>
        <v>757.9</v>
      </c>
      <c r="G46" s="51">
        <f t="shared" si="43"/>
        <v>-58.5</v>
      </c>
      <c r="I46" s="55">
        <v>41</v>
      </c>
      <c r="J46" s="33">
        <f t="shared" si="21"/>
        <v>11.129999999999999</v>
      </c>
      <c r="K46" s="33">
        <f t="shared" si="22"/>
        <v>3.8746742100615323</v>
      </c>
      <c r="L46" s="33">
        <f t="shared" si="23"/>
        <v>70</v>
      </c>
      <c r="M46" s="33">
        <f t="shared" si="24"/>
        <v>10</v>
      </c>
      <c r="N46" s="33">
        <f t="shared" si="0"/>
        <v>0</v>
      </c>
      <c r="O46" s="34">
        <f t="shared" si="1"/>
        <v>319.46647424919053</v>
      </c>
      <c r="P46" s="55">
        <v>41</v>
      </c>
      <c r="Q46" s="33">
        <f t="shared" si="19"/>
        <v>-91</v>
      </c>
      <c r="R46" s="33">
        <f t="shared" si="25"/>
        <v>503.10000000000014</v>
      </c>
      <c r="S46" s="33">
        <f t="shared" si="26"/>
        <v>216.33300000000006</v>
      </c>
      <c r="T46" s="33">
        <f t="shared" si="2"/>
        <v>53.317103385534637</v>
      </c>
      <c r="U46" s="33">
        <f t="shared" si="20"/>
        <v>70</v>
      </c>
      <c r="V46" s="33">
        <f t="shared" si="3"/>
        <v>10</v>
      </c>
      <c r="W46" s="33">
        <v>0</v>
      </c>
      <c r="X46" s="33">
        <f t="shared" si="4"/>
        <v>762.97393006313951</v>
      </c>
      <c r="Y46" s="38">
        <f t="shared" si="5"/>
        <v>443.50745581394898</v>
      </c>
      <c r="AA46" s="71">
        <v>41</v>
      </c>
      <c r="AB46" s="33">
        <f t="shared" si="6"/>
        <v>70</v>
      </c>
      <c r="AC46" s="304">
        <f t="shared" si="41"/>
        <v>0.3</v>
      </c>
      <c r="AD46" s="100">
        <f t="shared" si="8"/>
        <v>0.22400000000000003</v>
      </c>
      <c r="AE46" s="100">
        <f t="shared" si="9"/>
        <v>0.17600000000000002</v>
      </c>
      <c r="AF46" s="193">
        <f t="shared" si="36"/>
        <v>33.713574539632525</v>
      </c>
      <c r="AG46" s="193">
        <f t="shared" si="37"/>
        <v>82.309403987335727</v>
      </c>
      <c r="AH46" s="193">
        <f t="shared" si="38"/>
        <v>10.075368308953687</v>
      </c>
      <c r="AI46" s="198">
        <f t="shared" si="39"/>
        <v>126.09834683592193</v>
      </c>
      <c r="AK46" s="71">
        <v>41</v>
      </c>
      <c r="AL46" s="33">
        <f t="shared" si="10"/>
        <v>70</v>
      </c>
      <c r="AM46" s="33">
        <f t="shared" si="11"/>
        <v>0.6</v>
      </c>
      <c r="AN46" s="33">
        <f t="shared" si="12"/>
        <v>0.22400000000000003</v>
      </c>
      <c r="AO46" s="33">
        <f t="shared" si="13"/>
        <v>0.17600000000000002</v>
      </c>
      <c r="AP46" s="33">
        <f t="shared" si="14"/>
        <v>0</v>
      </c>
      <c r="AQ46" s="193">
        <f t="shared" si="15"/>
        <v>42</v>
      </c>
      <c r="AR46" s="193">
        <f t="shared" si="16"/>
        <v>15.680000000000001</v>
      </c>
      <c r="AS46" s="193">
        <f t="shared" si="17"/>
        <v>12.320000000000002</v>
      </c>
      <c r="AT46" s="193">
        <f t="shared" si="18"/>
        <v>0</v>
      </c>
      <c r="AU46" s="33"/>
      <c r="AV46" s="33"/>
      <c r="AW46" s="33"/>
      <c r="AX46" s="33"/>
      <c r="AY46" s="76"/>
    </row>
    <row r="47" spans="2:51">
      <c r="B47" s="40">
        <f t="shared" si="34"/>
        <v>61</v>
      </c>
      <c r="C47" s="151">
        <f t="shared" si="40"/>
        <v>65</v>
      </c>
      <c r="D47" s="136">
        <f>D48+41</f>
        <v>666</v>
      </c>
      <c r="E47" s="140">
        <f t="shared" si="32"/>
        <v>1.3</v>
      </c>
      <c r="F47" s="42">
        <f t="shared" ref="F47:F54" si="44">D47*E47</f>
        <v>865.80000000000007</v>
      </c>
      <c r="G47" s="51">
        <f t="shared" ref="G47:G54" si="45">(F47-F46)/(C47-B47)</f>
        <v>26.975000000000023</v>
      </c>
      <c r="I47" s="55">
        <v>42</v>
      </c>
      <c r="J47" s="33">
        <f t="shared" si="21"/>
        <v>11.549999999999999</v>
      </c>
      <c r="K47" s="33">
        <f t="shared" si="22"/>
        <v>4.0035891732474047</v>
      </c>
      <c r="L47" s="33">
        <f t="shared" si="23"/>
        <v>70</v>
      </c>
      <c r="M47" s="33">
        <f t="shared" si="24"/>
        <v>10</v>
      </c>
      <c r="N47" s="33">
        <f t="shared" si="0"/>
        <v>0</v>
      </c>
      <c r="O47" s="34">
        <f t="shared" si="1"/>
        <v>320.4225011434059</v>
      </c>
      <c r="P47" s="55">
        <v>42</v>
      </c>
      <c r="Q47" s="33">
        <f t="shared" si="19"/>
        <v>38.349999999999994</v>
      </c>
      <c r="R47" s="33">
        <f t="shared" si="25"/>
        <v>541.45000000000016</v>
      </c>
      <c r="S47" s="33">
        <f t="shared" si="26"/>
        <v>232.82350000000005</v>
      </c>
      <c r="T47" s="33">
        <f t="shared" si="2"/>
        <v>56.892754036721946</v>
      </c>
      <c r="U47" s="33">
        <f t="shared" si="20"/>
        <v>70</v>
      </c>
      <c r="V47" s="33">
        <f t="shared" si="3"/>
        <v>10</v>
      </c>
      <c r="W47" s="33">
        <v>0</v>
      </c>
      <c r="X47" s="33">
        <f t="shared" si="4"/>
        <v>797.92247578062415</v>
      </c>
      <c r="Y47" s="38">
        <f t="shared" si="5"/>
        <v>477.49997463721826</v>
      </c>
      <c r="AA47" s="71">
        <v>42</v>
      </c>
      <c r="AB47" s="33">
        <f t="shared" si="6"/>
        <v>0</v>
      </c>
      <c r="AC47" s="304">
        <f t="shared" si="41"/>
        <v>0</v>
      </c>
      <c r="AD47" s="100">
        <f t="shared" si="8"/>
        <v>0</v>
      </c>
      <c r="AE47" s="100">
        <f t="shared" si="9"/>
        <v>0</v>
      </c>
      <c r="AF47" s="193">
        <f t="shared" si="36"/>
        <v>33.052471906160349</v>
      </c>
      <c r="AG47" s="193">
        <f t="shared" si="37"/>
        <v>80.058649006838593</v>
      </c>
      <c r="AH47" s="193">
        <f t="shared" si="38"/>
        <v>7.1243612542131904</v>
      </c>
      <c r="AI47" s="198">
        <f t="shared" si="39"/>
        <v>120.23548216721213</v>
      </c>
      <c r="AK47" s="71">
        <v>42</v>
      </c>
      <c r="AL47" s="33">
        <f t="shared" si="10"/>
        <v>0</v>
      </c>
      <c r="AM47" s="33">
        <f t="shared" si="11"/>
        <v>0</v>
      </c>
      <c r="AN47" s="33">
        <f t="shared" si="12"/>
        <v>0</v>
      </c>
      <c r="AO47" s="33">
        <f t="shared" si="13"/>
        <v>0</v>
      </c>
      <c r="AP47" s="33">
        <f t="shared" si="14"/>
        <v>0</v>
      </c>
      <c r="AQ47" s="193">
        <f t="shared" si="15"/>
        <v>0</v>
      </c>
      <c r="AR47" s="193">
        <f t="shared" si="16"/>
        <v>0</v>
      </c>
      <c r="AS47" s="193">
        <f t="shared" si="17"/>
        <v>0</v>
      </c>
      <c r="AT47" s="193">
        <f t="shared" si="18"/>
        <v>0</v>
      </c>
      <c r="AU47" s="33"/>
      <c r="AV47" s="33"/>
      <c r="AW47" s="33"/>
      <c r="AX47" s="33"/>
      <c r="AY47" s="76"/>
    </row>
    <row r="48" spans="2:51">
      <c r="B48" s="40">
        <f t="shared" si="34"/>
        <v>65</v>
      </c>
      <c r="C48" s="151">
        <f t="shared" si="40"/>
        <v>66</v>
      </c>
      <c r="D48" s="136">
        <v>625</v>
      </c>
      <c r="E48" s="140">
        <f t="shared" si="32"/>
        <v>1.3</v>
      </c>
      <c r="F48" s="42">
        <f t="shared" si="44"/>
        <v>812.5</v>
      </c>
      <c r="G48" s="51">
        <f t="shared" si="45"/>
        <v>-53.300000000000068</v>
      </c>
      <c r="I48" s="55">
        <v>43</v>
      </c>
      <c r="J48" s="33">
        <f t="shared" si="21"/>
        <v>11.969999999999999</v>
      </c>
      <c r="K48" s="33">
        <f t="shared" si="22"/>
        <v>4.1319595009564551</v>
      </c>
      <c r="L48" s="33">
        <f t="shared" si="23"/>
        <v>70</v>
      </c>
      <c r="M48" s="33">
        <f t="shared" si="24"/>
        <v>10</v>
      </c>
      <c r="N48" s="33">
        <f t="shared" si="0"/>
        <v>0</v>
      </c>
      <c r="O48" s="34">
        <f t="shared" si="1"/>
        <v>321.37757946416582</v>
      </c>
      <c r="P48" s="55">
        <v>43</v>
      </c>
      <c r="Q48" s="33">
        <f t="shared" si="19"/>
        <v>38.349999999999994</v>
      </c>
      <c r="R48" s="33">
        <f t="shared" si="25"/>
        <v>579.80000000000018</v>
      </c>
      <c r="S48" s="33">
        <f t="shared" si="26"/>
        <v>249.31400000000008</v>
      </c>
      <c r="T48" s="33">
        <f t="shared" si="2"/>
        <v>60.439020793600989</v>
      </c>
      <c r="U48" s="33">
        <f t="shared" si="20"/>
        <v>70</v>
      </c>
      <c r="V48" s="33">
        <f t="shared" si="3"/>
        <v>10</v>
      </c>
      <c r="W48" s="33">
        <v>0</v>
      </c>
      <c r="X48" s="33">
        <f t="shared" si="4"/>
        <v>832.81984454885514</v>
      </c>
      <c r="Y48" s="38">
        <f t="shared" si="5"/>
        <v>511.44226508468932</v>
      </c>
      <c r="AA48" s="71">
        <v>43</v>
      </c>
      <c r="AB48" s="33">
        <f t="shared" si="6"/>
        <v>0</v>
      </c>
      <c r="AC48" s="304">
        <f t="shared" si="41"/>
        <v>0</v>
      </c>
      <c r="AD48" s="100">
        <f t="shared" si="8"/>
        <v>0</v>
      </c>
      <c r="AE48" s="100">
        <f t="shared" si="9"/>
        <v>0</v>
      </c>
      <c r="AF48" s="193">
        <f t="shared" si="36"/>
        <v>32.404333092097772</v>
      </c>
      <c r="AG48" s="193">
        <f t="shared" si="37"/>
        <v>77.86944103964521</v>
      </c>
      <c r="AH48" s="193">
        <f t="shared" si="38"/>
        <v>5.0376841544768443</v>
      </c>
      <c r="AI48" s="198">
        <f t="shared" si="39"/>
        <v>115.31145828621983</v>
      </c>
      <c r="AK48" s="71">
        <v>43</v>
      </c>
      <c r="AL48" s="33">
        <f t="shared" si="10"/>
        <v>0</v>
      </c>
      <c r="AM48" s="33">
        <f t="shared" si="11"/>
        <v>0</v>
      </c>
      <c r="AN48" s="33">
        <f t="shared" si="12"/>
        <v>0</v>
      </c>
      <c r="AO48" s="33">
        <f t="shared" si="13"/>
        <v>0</v>
      </c>
      <c r="AP48" s="33">
        <f t="shared" si="14"/>
        <v>0</v>
      </c>
      <c r="AQ48" s="193">
        <f t="shared" si="15"/>
        <v>0</v>
      </c>
      <c r="AR48" s="193">
        <f t="shared" si="16"/>
        <v>0</v>
      </c>
      <c r="AS48" s="193">
        <f t="shared" si="17"/>
        <v>0</v>
      </c>
      <c r="AT48" s="193">
        <f t="shared" si="18"/>
        <v>0</v>
      </c>
      <c r="AU48" s="33"/>
      <c r="AV48" s="33"/>
      <c r="AW48" s="33"/>
      <c r="AX48" s="33"/>
      <c r="AY48" s="76"/>
    </row>
    <row r="49" spans="2:51">
      <c r="B49" s="40">
        <f t="shared" si="34"/>
        <v>66</v>
      </c>
      <c r="C49" s="151">
        <f t="shared" si="40"/>
        <v>70</v>
      </c>
      <c r="D49" s="136">
        <f>D50+39</f>
        <v>700</v>
      </c>
      <c r="E49" s="140">
        <f t="shared" si="32"/>
        <v>1.3</v>
      </c>
      <c r="F49" s="42">
        <f t="shared" si="44"/>
        <v>910</v>
      </c>
      <c r="G49" s="51">
        <f t="shared" si="45"/>
        <v>24.375</v>
      </c>
      <c r="I49" s="55">
        <v>44</v>
      </c>
      <c r="J49" s="33">
        <f t="shared" si="21"/>
        <v>12.389999999999999</v>
      </c>
      <c r="K49" s="33">
        <f t="shared" si="22"/>
        <v>4.259806492988357</v>
      </c>
      <c r="L49" s="33">
        <f t="shared" si="23"/>
        <v>70</v>
      </c>
      <c r="M49" s="33">
        <f t="shared" si="24"/>
        <v>10</v>
      </c>
      <c r="N49" s="33">
        <f t="shared" si="0"/>
        <v>0</v>
      </c>
      <c r="O49" s="34">
        <f t="shared" si="1"/>
        <v>322.3317463086214</v>
      </c>
      <c r="P49" s="55">
        <v>44</v>
      </c>
      <c r="Q49" s="33">
        <f t="shared" si="19"/>
        <v>38.349999999999994</v>
      </c>
      <c r="R49" s="33">
        <f t="shared" si="25"/>
        <v>618.1500000000002</v>
      </c>
      <c r="S49" s="33">
        <f t="shared" si="26"/>
        <v>265.80450000000008</v>
      </c>
      <c r="T49" s="33">
        <f t="shared" si="2"/>
        <v>63.958068368591881</v>
      </c>
      <c r="U49" s="33">
        <f t="shared" si="20"/>
        <v>70</v>
      </c>
      <c r="V49" s="33">
        <f t="shared" si="3"/>
        <v>10</v>
      </c>
      <c r="W49" s="33">
        <v>0</v>
      </c>
      <c r="X49" s="33">
        <f t="shared" si="4"/>
        <v>867.66980657529757</v>
      </c>
      <c r="Y49" s="38">
        <f t="shared" si="5"/>
        <v>545.33806026667617</v>
      </c>
      <c r="AA49" s="71">
        <v>44</v>
      </c>
      <c r="AB49" s="33">
        <f t="shared" si="6"/>
        <v>0</v>
      </c>
      <c r="AC49" s="304">
        <f t="shared" si="41"/>
        <v>0</v>
      </c>
      <c r="AD49" s="100">
        <f t="shared" si="8"/>
        <v>0</v>
      </c>
      <c r="AE49" s="100">
        <f t="shared" si="9"/>
        <v>0</v>
      </c>
      <c r="AF49" s="193">
        <f t="shared" si="36"/>
        <v>31.768903884853319</v>
      </c>
      <c r="AG49" s="193">
        <f t="shared" si="37"/>
        <v>75.740097079440176</v>
      </c>
      <c r="AH49" s="193">
        <f t="shared" si="38"/>
        <v>3.5621806271065957</v>
      </c>
      <c r="AI49" s="198">
        <f t="shared" si="39"/>
        <v>111.07118159140009</v>
      </c>
      <c r="AK49" s="71">
        <v>44</v>
      </c>
      <c r="AL49" s="33">
        <f t="shared" si="10"/>
        <v>0</v>
      </c>
      <c r="AM49" s="33">
        <f t="shared" si="11"/>
        <v>0</v>
      </c>
      <c r="AN49" s="33">
        <f t="shared" si="12"/>
        <v>0</v>
      </c>
      <c r="AO49" s="33">
        <f t="shared" si="13"/>
        <v>0</v>
      </c>
      <c r="AP49" s="33">
        <f t="shared" si="14"/>
        <v>0</v>
      </c>
      <c r="AQ49" s="193">
        <f t="shared" si="15"/>
        <v>0</v>
      </c>
      <c r="AR49" s="193">
        <f t="shared" si="16"/>
        <v>0</v>
      </c>
      <c r="AS49" s="193">
        <f t="shared" si="17"/>
        <v>0</v>
      </c>
      <c r="AT49" s="193">
        <f t="shared" si="18"/>
        <v>0</v>
      </c>
      <c r="AU49" s="33"/>
      <c r="AV49" s="33"/>
      <c r="AW49" s="33"/>
      <c r="AX49" s="33"/>
      <c r="AY49" s="76"/>
    </row>
    <row r="50" spans="2:51">
      <c r="B50" s="40">
        <f t="shared" si="34"/>
        <v>70</v>
      </c>
      <c r="C50" s="151">
        <f t="shared" si="40"/>
        <v>71</v>
      </c>
      <c r="D50" s="136">
        <v>661</v>
      </c>
      <c r="E50" s="140">
        <f t="shared" si="32"/>
        <v>1.3</v>
      </c>
      <c r="F50" s="42">
        <f t="shared" si="44"/>
        <v>859.30000000000007</v>
      </c>
      <c r="G50" s="51">
        <f t="shared" si="45"/>
        <v>-50.699999999999932</v>
      </c>
      <c r="I50" s="55">
        <v>45</v>
      </c>
      <c r="J50" s="33">
        <f t="shared" si="21"/>
        <v>12.809999999999999</v>
      </c>
      <c r="K50" s="33">
        <f t="shared" si="22"/>
        <v>4.387149923166203</v>
      </c>
      <c r="L50" s="33">
        <f t="shared" si="23"/>
        <v>70</v>
      </c>
      <c r="M50" s="33">
        <f t="shared" si="24"/>
        <v>10</v>
      </c>
      <c r="N50" s="33">
        <f t="shared" si="0"/>
        <v>0</v>
      </c>
      <c r="O50" s="34">
        <f t="shared" si="1"/>
        <v>323.28503611618117</v>
      </c>
      <c r="P50" s="55">
        <v>45</v>
      </c>
      <c r="Q50" s="33">
        <f t="shared" si="19"/>
        <v>38.349999999999994</v>
      </c>
      <c r="R50" s="33">
        <f t="shared" si="25"/>
        <v>656.50000000000023</v>
      </c>
      <c r="S50" s="33">
        <f t="shared" si="26"/>
        <v>282.29500000000007</v>
      </c>
      <c r="T50" s="33">
        <f t="shared" si="2"/>
        <v>67.451777696853824</v>
      </c>
      <c r="U50" s="33">
        <f t="shared" si="20"/>
        <v>70</v>
      </c>
      <c r="V50" s="33">
        <f t="shared" si="3"/>
        <v>10</v>
      </c>
      <c r="W50" s="33">
        <v>0</v>
      </c>
      <c r="X50" s="33">
        <f t="shared" si="4"/>
        <v>902.47563782202053</v>
      </c>
      <c r="Y50" s="38">
        <f t="shared" si="5"/>
        <v>579.1906017058393</v>
      </c>
      <c r="AA50" s="71">
        <v>45</v>
      </c>
      <c r="AB50" s="33">
        <f t="shared" si="6"/>
        <v>0</v>
      </c>
      <c r="AC50" s="304">
        <f t="shared" si="41"/>
        <v>0</v>
      </c>
      <c r="AD50" s="100">
        <f t="shared" si="8"/>
        <v>0</v>
      </c>
      <c r="AE50" s="100">
        <f t="shared" si="9"/>
        <v>0</v>
      </c>
      <c r="AF50" s="193">
        <f t="shared" si="36"/>
        <v>31.145935056789384</v>
      </c>
      <c r="AG50" s="193">
        <f t="shared" si="37"/>
        <v>73.668980141804283</v>
      </c>
      <c r="AH50" s="193">
        <f t="shared" si="38"/>
        <v>2.5188420772384226</v>
      </c>
      <c r="AI50" s="198">
        <f t="shared" si="39"/>
        <v>107.33375727583208</v>
      </c>
      <c r="AK50" s="71">
        <v>45</v>
      </c>
      <c r="AL50" s="33">
        <f t="shared" si="10"/>
        <v>0</v>
      </c>
      <c r="AM50" s="33">
        <f t="shared" si="11"/>
        <v>0</v>
      </c>
      <c r="AN50" s="33">
        <f t="shared" si="12"/>
        <v>0</v>
      </c>
      <c r="AO50" s="33">
        <f t="shared" si="13"/>
        <v>0</v>
      </c>
      <c r="AP50" s="33">
        <f t="shared" si="14"/>
        <v>0</v>
      </c>
      <c r="AQ50" s="193">
        <f t="shared" si="15"/>
        <v>0</v>
      </c>
      <c r="AR50" s="193">
        <f t="shared" si="16"/>
        <v>0</v>
      </c>
      <c r="AS50" s="193">
        <f t="shared" si="17"/>
        <v>0</v>
      </c>
      <c r="AT50" s="193">
        <f t="shared" si="18"/>
        <v>0</v>
      </c>
      <c r="AU50" s="33"/>
      <c r="AV50" s="33"/>
      <c r="AW50" s="33"/>
      <c r="AX50" s="33"/>
      <c r="AY50" s="76"/>
    </row>
    <row r="51" spans="2:51">
      <c r="B51" s="40">
        <f t="shared" si="34"/>
        <v>71</v>
      </c>
      <c r="C51" s="151">
        <f t="shared" si="40"/>
        <v>75</v>
      </c>
      <c r="D51" s="136">
        <f>D52+36</f>
        <v>730</v>
      </c>
      <c r="E51" s="140">
        <f t="shared" si="32"/>
        <v>1.3</v>
      </c>
      <c r="F51" s="42">
        <f t="shared" si="44"/>
        <v>949</v>
      </c>
      <c r="G51" s="51">
        <f t="shared" si="45"/>
        <v>22.424999999999983</v>
      </c>
      <c r="I51" s="55">
        <v>46</v>
      </c>
      <c r="J51" s="33">
        <f t="shared" si="21"/>
        <v>13.229999999999999</v>
      </c>
      <c r="K51" s="33">
        <f t="shared" si="22"/>
        <v>4.5140081950731146</v>
      </c>
      <c r="L51" s="33">
        <f t="shared" si="23"/>
        <v>70</v>
      </c>
      <c r="M51" s="33">
        <f t="shared" si="24"/>
        <v>10</v>
      </c>
      <c r="N51" s="33">
        <f t="shared" si="0"/>
        <v>0</v>
      </c>
      <c r="O51" s="34">
        <f t="shared" si="1"/>
        <v>324.23748093975234</v>
      </c>
      <c r="P51" s="55">
        <v>46</v>
      </c>
      <c r="Q51" s="33">
        <f t="shared" si="19"/>
        <v>-91</v>
      </c>
      <c r="R51" s="33">
        <f t="shared" si="25"/>
        <v>565.50000000000023</v>
      </c>
      <c r="S51" s="33">
        <f t="shared" si="26"/>
        <v>243.16500000000011</v>
      </c>
      <c r="T51" s="33">
        <f t="shared" si="2"/>
        <v>59.119975548046618</v>
      </c>
      <c r="U51" s="33">
        <f t="shared" si="20"/>
        <v>70</v>
      </c>
      <c r="V51" s="33">
        <f t="shared" si="3"/>
        <v>10</v>
      </c>
      <c r="W51" s="33">
        <v>0</v>
      </c>
      <c r="X51" s="33">
        <f t="shared" si="4"/>
        <v>819.81299907951461</v>
      </c>
      <c r="Y51" s="38">
        <f t="shared" si="5"/>
        <v>495.57551813976227</v>
      </c>
      <c r="AA51" s="71">
        <v>46</v>
      </c>
      <c r="AB51" s="33">
        <f t="shared" si="6"/>
        <v>70</v>
      </c>
      <c r="AC51" s="304">
        <f t="shared" si="41"/>
        <v>0.35</v>
      </c>
      <c r="AD51" s="100">
        <f t="shared" si="8"/>
        <v>0.16800000000000004</v>
      </c>
      <c r="AE51" s="100">
        <f t="shared" si="9"/>
        <v>0.13200000000000003</v>
      </c>
      <c r="AF51" s="193">
        <f t="shared" si="36"/>
        <v>48.703145766942541</v>
      </c>
      <c r="AG51" s="193">
        <f t="shared" si="37"/>
        <v>80.34078407196958</v>
      </c>
      <c r="AH51" s="193">
        <f t="shared" si="38"/>
        <v>7.6292512874450988</v>
      </c>
      <c r="AI51" s="198">
        <f t="shared" si="39"/>
        <v>136.67318112635721</v>
      </c>
      <c r="AK51" s="71">
        <v>46</v>
      </c>
      <c r="AL51" s="33">
        <f t="shared" si="10"/>
        <v>70</v>
      </c>
      <c r="AM51" s="33">
        <f t="shared" si="11"/>
        <v>0.7</v>
      </c>
      <c r="AN51" s="33">
        <f t="shared" si="12"/>
        <v>0.16800000000000004</v>
      </c>
      <c r="AO51" s="33">
        <f t="shared" si="13"/>
        <v>0.13200000000000003</v>
      </c>
      <c r="AP51" s="33">
        <f t="shared" si="14"/>
        <v>0</v>
      </c>
      <c r="AQ51" s="193">
        <f t="shared" si="15"/>
        <v>49</v>
      </c>
      <c r="AR51" s="193">
        <f t="shared" si="16"/>
        <v>11.760000000000003</v>
      </c>
      <c r="AS51" s="193">
        <f t="shared" si="17"/>
        <v>9.240000000000002</v>
      </c>
      <c r="AT51" s="193">
        <f t="shared" si="18"/>
        <v>0</v>
      </c>
      <c r="AU51" s="33"/>
      <c r="AV51" s="33"/>
      <c r="AW51" s="33"/>
      <c r="AX51" s="33"/>
      <c r="AY51" s="76"/>
    </row>
    <row r="52" spans="2:51">
      <c r="B52" s="40">
        <f t="shared" si="34"/>
        <v>75</v>
      </c>
      <c r="C52" s="151">
        <f t="shared" si="40"/>
        <v>76</v>
      </c>
      <c r="D52" s="136">
        <v>694</v>
      </c>
      <c r="E52" s="140">
        <f t="shared" si="32"/>
        <v>1.3</v>
      </c>
      <c r="F52" s="42">
        <f t="shared" si="44"/>
        <v>902.2</v>
      </c>
      <c r="G52" s="51">
        <f t="shared" si="45"/>
        <v>-46.799999999999955</v>
      </c>
      <c r="I52" s="55">
        <v>47</v>
      </c>
      <c r="J52" s="33">
        <f t="shared" si="21"/>
        <v>13.649999999999999</v>
      </c>
      <c r="K52" s="33">
        <f t="shared" si="22"/>
        <v>4.6403984774572109</v>
      </c>
      <c r="L52" s="33">
        <f t="shared" si="23"/>
        <v>70</v>
      </c>
      <c r="M52" s="33">
        <f t="shared" si="24"/>
        <v>10</v>
      </c>
      <c r="N52" s="33">
        <f t="shared" si="0"/>
        <v>0</v>
      </c>
      <c r="O52" s="34">
        <f t="shared" si="1"/>
        <v>325.18911068157132</v>
      </c>
      <c r="P52" s="55">
        <v>47</v>
      </c>
      <c r="Q52" s="33">
        <f t="shared" si="19"/>
        <v>35.75</v>
      </c>
      <c r="R52" s="33">
        <f t="shared" si="25"/>
        <v>601.25000000000023</v>
      </c>
      <c r="S52" s="33">
        <f t="shared" si="26"/>
        <v>258.53750000000008</v>
      </c>
      <c r="T52" s="33">
        <f t="shared" si="2"/>
        <v>62.410529785041831</v>
      </c>
      <c r="U52" s="33">
        <f t="shared" si="20"/>
        <v>70</v>
      </c>
      <c r="V52" s="33">
        <f t="shared" si="3"/>
        <v>10</v>
      </c>
      <c r="W52" s="33">
        <v>0</v>
      </c>
      <c r="X52" s="33">
        <f t="shared" si="4"/>
        <v>852.3178185422812</v>
      </c>
      <c r="Y52" s="38">
        <f t="shared" si="5"/>
        <v>527.12870786070994</v>
      </c>
      <c r="AA52" s="71">
        <v>47</v>
      </c>
      <c r="AB52" s="33">
        <f t="shared" si="6"/>
        <v>0</v>
      </c>
      <c r="AC52" s="304">
        <f t="shared" si="41"/>
        <v>0</v>
      </c>
      <c r="AD52" s="100">
        <f t="shared" si="8"/>
        <v>0</v>
      </c>
      <c r="AE52" s="100">
        <f t="shared" si="9"/>
        <v>0</v>
      </c>
      <c r="AF52" s="193">
        <f t="shared" si="36"/>
        <v>47.748106784438491</v>
      </c>
      <c r="AG52" s="193">
        <f t="shared" si="37"/>
        <v>78.143861106583358</v>
      </c>
      <c r="AH52" s="193">
        <f t="shared" si="38"/>
        <v>5.3946953207286281</v>
      </c>
      <c r="AI52" s="198">
        <f t="shared" si="39"/>
        <v>131.28666321175047</v>
      </c>
      <c r="AK52" s="71">
        <v>47</v>
      </c>
      <c r="AL52" s="33">
        <f t="shared" si="10"/>
        <v>0</v>
      </c>
      <c r="AM52" s="33">
        <f t="shared" si="11"/>
        <v>0</v>
      </c>
      <c r="AN52" s="33">
        <f t="shared" si="12"/>
        <v>0</v>
      </c>
      <c r="AO52" s="33">
        <f t="shared" si="13"/>
        <v>0</v>
      </c>
      <c r="AP52" s="33">
        <f t="shared" si="14"/>
        <v>0</v>
      </c>
      <c r="AQ52" s="193">
        <f t="shared" si="15"/>
        <v>0</v>
      </c>
      <c r="AR52" s="193">
        <f t="shared" si="16"/>
        <v>0</v>
      </c>
      <c r="AS52" s="193">
        <f t="shared" si="17"/>
        <v>0</v>
      </c>
      <c r="AT52" s="193">
        <f t="shared" si="18"/>
        <v>0</v>
      </c>
      <c r="AU52" s="33"/>
      <c r="AV52" s="33"/>
      <c r="AW52" s="33"/>
      <c r="AX52" s="33"/>
      <c r="AY52" s="76"/>
    </row>
    <row r="53" spans="2:51">
      <c r="B53" s="40">
        <f t="shared" si="34"/>
        <v>76</v>
      </c>
      <c r="C53" s="151">
        <f t="shared" si="40"/>
        <v>80</v>
      </c>
      <c r="D53" s="136">
        <f>D54+35</f>
        <v>754</v>
      </c>
      <c r="E53" s="140">
        <f t="shared" si="32"/>
        <v>1.3</v>
      </c>
      <c r="F53" s="42">
        <f t="shared" si="44"/>
        <v>980.2</v>
      </c>
      <c r="G53" s="51">
        <f t="shared" si="45"/>
        <v>19.5</v>
      </c>
      <c r="I53" s="55">
        <v>48</v>
      </c>
      <c r="J53" s="33">
        <f t="shared" si="21"/>
        <v>14.069999999999999</v>
      </c>
      <c r="K53" s="33">
        <f t="shared" si="22"/>
        <v>4.7663368225031704</v>
      </c>
      <c r="L53" s="33">
        <f t="shared" si="23"/>
        <v>70</v>
      </c>
      <c r="M53" s="33">
        <f t="shared" si="24"/>
        <v>10</v>
      </c>
      <c r="N53" s="33">
        <f t="shared" si="0"/>
        <v>0</v>
      </c>
      <c r="O53" s="34">
        <f t="shared" si="1"/>
        <v>326.139953299193</v>
      </c>
      <c r="P53" s="55">
        <v>48</v>
      </c>
      <c r="Q53" s="33">
        <f t="shared" si="19"/>
        <v>35.75</v>
      </c>
      <c r="R53" s="33">
        <f t="shared" si="25"/>
        <v>637.00000000000023</v>
      </c>
      <c r="S53" s="33">
        <f t="shared" si="26"/>
        <v>273.91000000000008</v>
      </c>
      <c r="T53" s="33">
        <f t="shared" si="2"/>
        <v>65.678374335500322</v>
      </c>
      <c r="U53" s="33">
        <f t="shared" si="20"/>
        <v>70</v>
      </c>
      <c r="V53" s="33">
        <f t="shared" si="3"/>
        <v>10</v>
      </c>
      <c r="W53" s="33">
        <v>0</v>
      </c>
      <c r="X53" s="33">
        <f t="shared" si="4"/>
        <v>884.7830853009965</v>
      </c>
      <c r="Y53" s="38">
        <f t="shared" si="5"/>
        <v>558.64313200180345</v>
      </c>
      <c r="AA53" s="71">
        <v>48</v>
      </c>
      <c r="AB53" s="33">
        <f t="shared" si="6"/>
        <v>0</v>
      </c>
      <c r="AC53" s="304">
        <f t="shared" si="41"/>
        <v>0</v>
      </c>
      <c r="AD53" s="100">
        <f t="shared" si="8"/>
        <v>0</v>
      </c>
      <c r="AE53" s="100">
        <f t="shared" si="9"/>
        <v>0</v>
      </c>
      <c r="AF53" s="193">
        <f t="shared" si="36"/>
        <v>46.811795533865087</v>
      </c>
      <c r="AG53" s="193">
        <f t="shared" si="37"/>
        <v>76.007013115216779</v>
      </c>
      <c r="AH53" s="193">
        <f t="shared" si="38"/>
        <v>3.8146256437225503</v>
      </c>
      <c r="AI53" s="198">
        <f t="shared" si="39"/>
        <v>126.63343429280441</v>
      </c>
      <c r="AK53" s="71">
        <v>48</v>
      </c>
      <c r="AL53" s="33">
        <f t="shared" si="10"/>
        <v>0</v>
      </c>
      <c r="AM53" s="33">
        <f t="shared" si="11"/>
        <v>0</v>
      </c>
      <c r="AN53" s="33">
        <f t="shared" si="12"/>
        <v>0</v>
      </c>
      <c r="AO53" s="33">
        <f t="shared" si="13"/>
        <v>0</v>
      </c>
      <c r="AP53" s="33">
        <f t="shared" si="14"/>
        <v>0</v>
      </c>
      <c r="AQ53" s="193">
        <f t="shared" si="15"/>
        <v>0</v>
      </c>
      <c r="AR53" s="193">
        <f t="shared" si="16"/>
        <v>0</v>
      </c>
      <c r="AS53" s="193">
        <f t="shared" si="17"/>
        <v>0</v>
      </c>
      <c r="AT53" s="193">
        <f t="shared" si="18"/>
        <v>0</v>
      </c>
      <c r="AU53" s="33"/>
      <c r="AV53" s="33"/>
      <c r="AW53" s="33"/>
      <c r="AX53" s="33"/>
      <c r="AY53" s="76"/>
    </row>
    <row r="54" spans="2:51">
      <c r="B54" s="40">
        <f t="shared" si="34"/>
        <v>80</v>
      </c>
      <c r="C54" s="151">
        <f t="shared" si="40"/>
        <v>81</v>
      </c>
      <c r="D54" s="136">
        <v>719</v>
      </c>
      <c r="E54" s="140">
        <f t="shared" si="32"/>
        <v>1.3</v>
      </c>
      <c r="F54" s="42">
        <f t="shared" si="44"/>
        <v>934.7</v>
      </c>
      <c r="G54" s="51">
        <f t="shared" si="45"/>
        <v>-45.5</v>
      </c>
      <c r="I54" s="55">
        <v>49</v>
      </c>
      <c r="J54" s="33">
        <f t="shared" si="21"/>
        <v>14.489999999999998</v>
      </c>
      <c r="K54" s="33">
        <f t="shared" si="22"/>
        <v>4.8918382695850156</v>
      </c>
      <c r="L54" s="33">
        <f t="shared" si="23"/>
        <v>70</v>
      </c>
      <c r="M54" s="33">
        <f t="shared" si="24"/>
        <v>10</v>
      </c>
      <c r="N54" s="33">
        <f t="shared" si="0"/>
        <v>0</v>
      </c>
      <c r="O54" s="34">
        <f t="shared" si="1"/>
        <v>327.09003498619393</v>
      </c>
      <c r="P54" s="55">
        <v>49</v>
      </c>
      <c r="Q54" s="33">
        <f t="shared" si="19"/>
        <v>35.75</v>
      </c>
      <c r="R54" s="33">
        <f t="shared" si="25"/>
        <v>672.75000000000023</v>
      </c>
      <c r="S54" s="33">
        <f t="shared" si="26"/>
        <v>289.28250000000008</v>
      </c>
      <c r="T54" s="33">
        <f t="shared" si="2"/>
        <v>68.924928971077051</v>
      </c>
      <c r="U54" s="33">
        <f t="shared" si="20"/>
        <v>70</v>
      </c>
      <c r="V54" s="33">
        <f t="shared" si="3"/>
        <v>10</v>
      </c>
      <c r="W54" s="33">
        <v>0</v>
      </c>
      <c r="X54" s="33">
        <f t="shared" si="4"/>
        <v>917.21127212462613</v>
      </c>
      <c r="Y54" s="38">
        <f t="shared" si="5"/>
        <v>590.12123713843221</v>
      </c>
      <c r="AA54" s="71">
        <v>49</v>
      </c>
      <c r="AB54" s="33">
        <f t="shared" si="6"/>
        <v>0</v>
      </c>
      <c r="AC54" s="304">
        <f t="shared" si="41"/>
        <v>0</v>
      </c>
      <c r="AD54" s="100">
        <f t="shared" si="8"/>
        <v>0</v>
      </c>
      <c r="AE54" s="100">
        <f t="shared" si="9"/>
        <v>0</v>
      </c>
      <c r="AF54" s="193">
        <f t="shared" si="36"/>
        <v>45.893844775821954</v>
      </c>
      <c r="AG54" s="193">
        <f t="shared" si="37"/>
        <v>73.928597344546077</v>
      </c>
      <c r="AH54" s="193">
        <f t="shared" si="38"/>
        <v>2.6973476603643145</v>
      </c>
      <c r="AI54" s="198">
        <f t="shared" si="39"/>
        <v>122.51978978073235</v>
      </c>
      <c r="AK54" s="71">
        <v>49</v>
      </c>
      <c r="AL54" s="33">
        <f t="shared" si="10"/>
        <v>0</v>
      </c>
      <c r="AM54" s="33">
        <f t="shared" si="11"/>
        <v>0</v>
      </c>
      <c r="AN54" s="33">
        <f t="shared" si="12"/>
        <v>0</v>
      </c>
      <c r="AO54" s="33">
        <f t="shared" si="13"/>
        <v>0</v>
      </c>
      <c r="AP54" s="33">
        <f t="shared" si="14"/>
        <v>0</v>
      </c>
      <c r="AQ54" s="193">
        <f t="shared" si="15"/>
        <v>0</v>
      </c>
      <c r="AR54" s="193">
        <f t="shared" si="16"/>
        <v>0</v>
      </c>
      <c r="AS54" s="193">
        <f t="shared" si="17"/>
        <v>0</v>
      </c>
      <c r="AT54" s="193">
        <f t="shared" si="18"/>
        <v>0</v>
      </c>
      <c r="AU54" s="33"/>
      <c r="AV54" s="33"/>
      <c r="AW54" s="33"/>
      <c r="AX54" s="33"/>
      <c r="AY54" s="76"/>
    </row>
    <row r="55" spans="2:51">
      <c r="B55" s="40"/>
      <c r="C55" s="151"/>
      <c r="D55" s="136"/>
      <c r="E55" s="140"/>
      <c r="F55" s="42"/>
      <c r="G55" s="51"/>
      <c r="I55" s="55">
        <v>50</v>
      </c>
      <c r="J55" s="33">
        <f t="shared" si="21"/>
        <v>14.909999999999998</v>
      </c>
      <c r="K55" s="33">
        <f t="shared" si="22"/>
        <v>5.0169169366515129</v>
      </c>
      <c r="L55" s="33">
        <f t="shared" si="23"/>
        <v>70</v>
      </c>
      <c r="M55" s="33">
        <f t="shared" si="24"/>
        <v>10</v>
      </c>
      <c r="N55" s="33">
        <f t="shared" si="0"/>
        <v>0</v>
      </c>
      <c r="O55" s="34">
        <f t="shared" si="1"/>
        <v>328.03938033133471</v>
      </c>
      <c r="P55" s="55">
        <v>50</v>
      </c>
      <c r="Q55" s="33">
        <f t="shared" si="19"/>
        <v>35.75</v>
      </c>
      <c r="R55" s="33">
        <f t="shared" si="25"/>
        <v>708.50000000000023</v>
      </c>
      <c r="S55" s="33">
        <f t="shared" si="26"/>
        <v>304.65500000000009</v>
      </c>
      <c r="T55" s="33">
        <f t="shared" si="2"/>
        <v>72.151454047526002</v>
      </c>
      <c r="U55" s="33">
        <f t="shared" si="20"/>
        <v>70</v>
      </c>
      <c r="V55" s="33">
        <f t="shared" si="3"/>
        <v>10</v>
      </c>
      <c r="W55" s="33">
        <v>0</v>
      </c>
      <c r="X55" s="33">
        <f t="shared" si="4"/>
        <v>949.60457413277447</v>
      </c>
      <c r="Y55" s="38">
        <f t="shared" si="5"/>
        <v>621.56519380143982</v>
      </c>
      <c r="AA55" s="71">
        <v>50</v>
      </c>
      <c r="AB55" s="33">
        <f t="shared" si="6"/>
        <v>0</v>
      </c>
      <c r="AC55" s="304">
        <f t="shared" si="41"/>
        <v>0</v>
      </c>
      <c r="AD55" s="100">
        <f t="shared" si="8"/>
        <v>0</v>
      </c>
      <c r="AE55" s="100">
        <f t="shared" si="9"/>
        <v>0</v>
      </c>
      <c r="AF55" s="193">
        <f t="shared" si="36"/>
        <v>44.993894472249373</v>
      </c>
      <c r="AG55" s="193">
        <f t="shared" si="37"/>
        <v>71.9070159624235</v>
      </c>
      <c r="AH55" s="193">
        <f t="shared" si="38"/>
        <v>1.9073128218612754</v>
      </c>
      <c r="AI55" s="198">
        <f t="shared" si="39"/>
        <v>118.80822325653416</v>
      </c>
      <c r="AK55" s="71">
        <v>50</v>
      </c>
      <c r="AL55" s="33">
        <f t="shared" si="10"/>
        <v>0</v>
      </c>
      <c r="AM55" s="33">
        <f t="shared" si="11"/>
        <v>0</v>
      </c>
      <c r="AN55" s="33">
        <f t="shared" si="12"/>
        <v>0</v>
      </c>
      <c r="AO55" s="33">
        <f t="shared" si="13"/>
        <v>0</v>
      </c>
      <c r="AP55" s="33">
        <f t="shared" si="14"/>
        <v>0</v>
      </c>
      <c r="AQ55" s="193">
        <f t="shared" si="15"/>
        <v>0</v>
      </c>
      <c r="AR55" s="193">
        <f t="shared" si="16"/>
        <v>0</v>
      </c>
      <c r="AS55" s="193">
        <f t="shared" si="17"/>
        <v>0</v>
      </c>
      <c r="AT55" s="193">
        <f t="shared" si="18"/>
        <v>0</v>
      </c>
      <c r="AU55" s="33"/>
      <c r="AV55" s="33"/>
      <c r="AW55" s="33"/>
      <c r="AX55" s="33"/>
      <c r="AY55" s="76"/>
    </row>
    <row r="56" spans="2:51">
      <c r="B56" s="40"/>
      <c r="C56" s="151"/>
      <c r="D56" s="136"/>
      <c r="E56" s="140"/>
      <c r="F56" s="42"/>
      <c r="G56" s="51"/>
      <c r="I56" s="55">
        <v>51</v>
      </c>
      <c r="J56" s="33">
        <f t="shared" si="21"/>
        <v>15.329999999999998</v>
      </c>
      <c r="K56" s="33">
        <f t="shared" si="22"/>
        <v>5.1415861010251849</v>
      </c>
      <c r="L56" s="33">
        <f t="shared" si="23"/>
        <v>70</v>
      </c>
      <c r="M56" s="33">
        <f t="shared" si="24"/>
        <v>10</v>
      </c>
      <c r="N56" s="33">
        <f t="shared" si="0"/>
        <v>0</v>
      </c>
      <c r="O56" s="34">
        <f t="shared" si="1"/>
        <v>328.98801245928553</v>
      </c>
      <c r="P56" s="55">
        <v>51</v>
      </c>
      <c r="Q56" s="33">
        <f t="shared" si="19"/>
        <v>-76.699999999999932</v>
      </c>
      <c r="R56" s="33">
        <f t="shared" si="25"/>
        <v>631.8000000000003</v>
      </c>
      <c r="S56" s="33">
        <f t="shared" si="26"/>
        <v>271.67400000000015</v>
      </c>
      <c r="T56" s="33">
        <f t="shared" si="2"/>
        <v>65.204406437729162</v>
      </c>
      <c r="U56" s="33">
        <f t="shared" si="20"/>
        <v>70</v>
      </c>
      <c r="V56" s="33">
        <f t="shared" si="3"/>
        <v>10</v>
      </c>
      <c r="W56" s="33">
        <v>0</v>
      </c>
      <c r="X56" s="33">
        <f t="shared" si="4"/>
        <v>880.06322454571193</v>
      </c>
      <c r="Y56" s="38">
        <f t="shared" si="5"/>
        <v>551.0752120864264</v>
      </c>
      <c r="AA56" s="71">
        <v>51</v>
      </c>
      <c r="AB56" s="33">
        <f t="shared" si="6"/>
        <v>59</v>
      </c>
      <c r="AC56" s="304">
        <f t="shared" si="41"/>
        <v>0.4</v>
      </c>
      <c r="AD56" s="100">
        <f t="shared" si="8"/>
        <v>0.11199999999999999</v>
      </c>
      <c r="AE56" s="100">
        <f t="shared" si="9"/>
        <v>8.7999999999999981E-2</v>
      </c>
      <c r="AF56" s="193">
        <f t="shared" si="36"/>
        <v>61.612160567154952</v>
      </c>
      <c r="AG56" s="193">
        <f t="shared" si="37"/>
        <v>74.821580333384915</v>
      </c>
      <c r="AH56" s="193">
        <f t="shared" si="38"/>
        <v>4.634783329797548</v>
      </c>
      <c r="AI56" s="198">
        <f t="shared" si="39"/>
        <v>141.06852423033743</v>
      </c>
      <c r="AK56" s="71">
        <v>51</v>
      </c>
      <c r="AL56" s="33">
        <f t="shared" si="10"/>
        <v>59</v>
      </c>
      <c r="AM56" s="33">
        <f t="shared" si="11"/>
        <v>0.8</v>
      </c>
      <c r="AN56" s="33">
        <f t="shared" si="12"/>
        <v>0.11199999999999999</v>
      </c>
      <c r="AO56" s="33">
        <f t="shared" si="13"/>
        <v>8.7999999999999981E-2</v>
      </c>
      <c r="AP56" s="33">
        <f t="shared" si="14"/>
        <v>0</v>
      </c>
      <c r="AQ56" s="193">
        <f t="shared" si="15"/>
        <v>47.2</v>
      </c>
      <c r="AR56" s="193">
        <f t="shared" si="16"/>
        <v>6.6079999999999997</v>
      </c>
      <c r="AS56" s="193">
        <f t="shared" si="17"/>
        <v>5.1919999999999993</v>
      </c>
      <c r="AT56" s="193">
        <f t="shared" si="18"/>
        <v>0</v>
      </c>
      <c r="AU56" s="33"/>
      <c r="AV56" s="33"/>
      <c r="AW56" s="33"/>
      <c r="AX56" s="33"/>
      <c r="AY56" s="76"/>
    </row>
    <row r="57" spans="2:51">
      <c r="B57" s="40"/>
      <c r="C57" s="151"/>
      <c r="D57" s="136"/>
      <c r="E57" s="140"/>
      <c r="F57" s="42"/>
      <c r="G57" s="51"/>
      <c r="I57" s="55">
        <v>52</v>
      </c>
      <c r="J57" s="33">
        <f t="shared" si="21"/>
        <v>15.749999999999998</v>
      </c>
      <c r="K57" s="33">
        <f t="shared" si="22"/>
        <v>5.2658582710976578</v>
      </c>
      <c r="L57" s="33">
        <f t="shared" si="23"/>
        <v>70</v>
      </c>
      <c r="M57" s="33">
        <f t="shared" si="24"/>
        <v>10</v>
      </c>
      <c r="N57" s="33">
        <f t="shared" si="0"/>
        <v>0</v>
      </c>
      <c r="O57" s="34">
        <f t="shared" si="1"/>
        <v>329.9359531554951</v>
      </c>
      <c r="P57" s="55">
        <v>52</v>
      </c>
      <c r="Q57" s="33">
        <f t="shared" si="19"/>
        <v>32.824999999999989</v>
      </c>
      <c r="R57" s="33">
        <f t="shared" si="25"/>
        <v>664.62500000000023</v>
      </c>
      <c r="S57" s="33">
        <f t="shared" si="26"/>
        <v>285.78875000000011</v>
      </c>
      <c r="T57" s="33">
        <f t="shared" si="2"/>
        <v>68.188877414953737</v>
      </c>
      <c r="U57" s="33">
        <f t="shared" si="20"/>
        <v>70</v>
      </c>
      <c r="V57" s="33">
        <f t="shared" si="3"/>
        <v>10</v>
      </c>
      <c r="W57" s="33">
        <v>0</v>
      </c>
      <c r="X57" s="33">
        <f t="shared" si="4"/>
        <v>909.84436774771132</v>
      </c>
      <c r="Y57" s="38">
        <f t="shared" si="5"/>
        <v>579.90841459221622</v>
      </c>
      <c r="AA57" s="71">
        <v>52</v>
      </c>
      <c r="AB57" s="33">
        <f t="shared" si="6"/>
        <v>0</v>
      </c>
      <c r="AC57" s="304">
        <f t="shared" si="41"/>
        <v>0</v>
      </c>
      <c r="AD57" s="100">
        <f t="shared" si="8"/>
        <v>0</v>
      </c>
      <c r="AE57" s="100">
        <f t="shared" si="9"/>
        <v>0</v>
      </c>
      <c r="AF57" s="193">
        <f t="shared" si="36"/>
        <v>60.4039836781403</v>
      </c>
      <c r="AG57" s="193">
        <f t="shared" si="37"/>
        <v>72.775580284472596</v>
      </c>
      <c r="AH57" s="193">
        <f t="shared" si="38"/>
        <v>3.2772867218302131</v>
      </c>
      <c r="AI57" s="198">
        <f t="shared" si="39"/>
        <v>136.45685068444311</v>
      </c>
      <c r="AK57" s="71">
        <v>52</v>
      </c>
      <c r="AL57" s="33">
        <f t="shared" si="10"/>
        <v>0</v>
      </c>
      <c r="AM57" s="33">
        <f t="shared" si="11"/>
        <v>0</v>
      </c>
      <c r="AN57" s="33">
        <f t="shared" si="12"/>
        <v>0</v>
      </c>
      <c r="AO57" s="33">
        <f t="shared" si="13"/>
        <v>0</v>
      </c>
      <c r="AP57" s="33">
        <f t="shared" si="14"/>
        <v>0</v>
      </c>
      <c r="AQ57" s="193">
        <f t="shared" si="15"/>
        <v>0</v>
      </c>
      <c r="AR57" s="193">
        <f t="shared" si="16"/>
        <v>0</v>
      </c>
      <c r="AS57" s="193">
        <f t="shared" si="17"/>
        <v>0</v>
      </c>
      <c r="AT57" s="193">
        <f t="shared" si="18"/>
        <v>0</v>
      </c>
      <c r="AU57" s="33"/>
      <c r="AV57" s="33"/>
      <c r="AW57" s="33"/>
      <c r="AX57" s="33"/>
      <c r="AY57" s="76"/>
    </row>
    <row r="58" spans="2:51">
      <c r="B58" s="40"/>
      <c r="C58" s="151"/>
      <c r="D58" s="136"/>
      <c r="E58" s="140"/>
      <c r="F58" s="42"/>
      <c r="G58" s="51"/>
      <c r="I58" s="55">
        <v>53</v>
      </c>
      <c r="J58" s="33">
        <f t="shared" si="21"/>
        <v>16.169999999999998</v>
      </c>
      <c r="K58" s="33">
        <f t="shared" si="22"/>
        <v>5.3897452501624228</v>
      </c>
      <c r="L58" s="33">
        <f t="shared" si="23"/>
        <v>70</v>
      </c>
      <c r="M58" s="33">
        <f t="shared" si="24"/>
        <v>10</v>
      </c>
      <c r="N58" s="33">
        <f t="shared" si="0"/>
        <v>0</v>
      </c>
      <c r="O58" s="34">
        <f t="shared" si="1"/>
        <v>330.88322297736619</v>
      </c>
      <c r="P58" s="55">
        <v>53</v>
      </c>
      <c r="Q58" s="33">
        <f t="shared" si="19"/>
        <v>32.824999999999989</v>
      </c>
      <c r="R58" s="33">
        <f t="shared" si="25"/>
        <v>697.45000000000027</v>
      </c>
      <c r="S58" s="33">
        <f t="shared" si="26"/>
        <v>299.90350000000012</v>
      </c>
      <c r="T58" s="33">
        <f t="shared" si="2"/>
        <v>71.156232990309221</v>
      </c>
      <c r="U58" s="33">
        <f t="shared" si="20"/>
        <v>70</v>
      </c>
      <c r="V58" s="33">
        <f t="shared" si="3"/>
        <v>10</v>
      </c>
      <c r="W58" s="33">
        <v>0</v>
      </c>
      <c r="X58" s="33">
        <f t="shared" si="4"/>
        <v>939.5957016247886</v>
      </c>
      <c r="Y58" s="38">
        <f t="shared" si="5"/>
        <v>608.71247864742236</v>
      </c>
      <c r="AA58" s="71">
        <v>53</v>
      </c>
      <c r="AB58" s="33">
        <f t="shared" si="6"/>
        <v>0</v>
      </c>
      <c r="AC58" s="304">
        <f t="shared" si="41"/>
        <v>0</v>
      </c>
      <c r="AD58" s="100">
        <f t="shared" si="8"/>
        <v>0</v>
      </c>
      <c r="AE58" s="100">
        <f t="shared" si="9"/>
        <v>0</v>
      </c>
      <c r="AF58" s="193">
        <f t="shared" si="36"/>
        <v>59.219498401004088</v>
      </c>
      <c r="AG58" s="193">
        <f t="shared" si="37"/>
        <v>70.78552821449226</v>
      </c>
      <c r="AH58" s="193">
        <f t="shared" si="38"/>
        <v>2.3173916648987745</v>
      </c>
      <c r="AI58" s="198">
        <f t="shared" si="39"/>
        <v>132.32241828039511</v>
      </c>
      <c r="AK58" s="71">
        <v>53</v>
      </c>
      <c r="AL58" s="33">
        <f t="shared" si="10"/>
        <v>0</v>
      </c>
      <c r="AM58" s="33">
        <f t="shared" si="11"/>
        <v>0</v>
      </c>
      <c r="AN58" s="33">
        <f t="shared" si="12"/>
        <v>0</v>
      </c>
      <c r="AO58" s="33">
        <f t="shared" si="13"/>
        <v>0</v>
      </c>
      <c r="AP58" s="33">
        <f t="shared" si="14"/>
        <v>0</v>
      </c>
      <c r="AQ58" s="193">
        <f t="shared" si="15"/>
        <v>0</v>
      </c>
      <c r="AR58" s="193">
        <f t="shared" si="16"/>
        <v>0</v>
      </c>
      <c r="AS58" s="193">
        <f t="shared" si="17"/>
        <v>0</v>
      </c>
      <c r="AT58" s="193">
        <f t="shared" si="18"/>
        <v>0</v>
      </c>
      <c r="AU58" s="33"/>
      <c r="AV58" s="33"/>
      <c r="AW58" s="33"/>
      <c r="AX58" s="33"/>
      <c r="AY58" s="76"/>
    </row>
    <row r="59" spans="2:51">
      <c r="B59" s="40"/>
      <c r="C59" s="151"/>
      <c r="D59" s="136"/>
      <c r="E59" s="140"/>
      <c r="F59" s="42"/>
      <c r="G59" s="51"/>
      <c r="I59" s="55">
        <v>54</v>
      </c>
      <c r="J59" s="33">
        <f t="shared" si="21"/>
        <v>16.59</v>
      </c>
      <c r="K59" s="33">
        <f t="shared" si="22"/>
        <v>5.5132581934290155</v>
      </c>
      <c r="L59" s="33">
        <f t="shared" si="23"/>
        <v>70</v>
      </c>
      <c r="M59" s="33">
        <f t="shared" si="24"/>
        <v>10</v>
      </c>
      <c r="N59" s="33">
        <f t="shared" si="0"/>
        <v>0</v>
      </c>
      <c r="O59" s="34">
        <f t="shared" si="1"/>
        <v>331.82984135355554</v>
      </c>
      <c r="P59" s="55">
        <v>54</v>
      </c>
      <c r="Q59" s="33">
        <f t="shared" si="19"/>
        <v>32.824999999999989</v>
      </c>
      <c r="R59" s="33">
        <f t="shared" si="25"/>
        <v>730.27500000000032</v>
      </c>
      <c r="S59" s="33">
        <f t="shared" si="26"/>
        <v>314.01825000000014</v>
      </c>
      <c r="T59" s="33">
        <f t="shared" si="2"/>
        <v>74.107370670190946</v>
      </c>
      <c r="U59" s="33">
        <f t="shared" si="20"/>
        <v>70</v>
      </c>
      <c r="V59" s="33">
        <f t="shared" si="3"/>
        <v>10</v>
      </c>
      <c r="W59" s="33">
        <v>0</v>
      </c>
      <c r="X59" s="33">
        <f t="shared" si="4"/>
        <v>969.31878933391602</v>
      </c>
      <c r="Y59" s="38">
        <f t="shared" si="5"/>
        <v>637.48894798036054</v>
      </c>
      <c r="AA59" s="71">
        <v>54</v>
      </c>
      <c r="AB59" s="33">
        <f t="shared" si="6"/>
        <v>0</v>
      </c>
      <c r="AC59" s="304">
        <f t="shared" si="41"/>
        <v>0</v>
      </c>
      <c r="AD59" s="100">
        <f t="shared" si="8"/>
        <v>0</v>
      </c>
      <c r="AE59" s="100">
        <f t="shared" si="9"/>
        <v>0</v>
      </c>
      <c r="AF59" s="193">
        <f t="shared" si="36"/>
        <v>58.058240157687834</v>
      </c>
      <c r="AG59" s="193">
        <f t="shared" si="37"/>
        <v>68.849894223017827</v>
      </c>
      <c r="AH59" s="193">
        <f t="shared" si="38"/>
        <v>1.638643360915107</v>
      </c>
      <c r="AI59" s="198">
        <f t="shared" si="39"/>
        <v>128.54677774162076</v>
      </c>
      <c r="AK59" s="71">
        <v>54</v>
      </c>
      <c r="AL59" s="33">
        <f t="shared" si="10"/>
        <v>0</v>
      </c>
      <c r="AM59" s="33">
        <f t="shared" si="11"/>
        <v>0</v>
      </c>
      <c r="AN59" s="33">
        <f t="shared" si="12"/>
        <v>0</v>
      </c>
      <c r="AO59" s="33">
        <f t="shared" si="13"/>
        <v>0</v>
      </c>
      <c r="AP59" s="33">
        <f t="shared" si="14"/>
        <v>0</v>
      </c>
      <c r="AQ59" s="193">
        <f t="shared" si="15"/>
        <v>0</v>
      </c>
      <c r="AR59" s="193">
        <f t="shared" si="16"/>
        <v>0</v>
      </c>
      <c r="AS59" s="193">
        <f t="shared" si="17"/>
        <v>0</v>
      </c>
      <c r="AT59" s="193">
        <f t="shared" si="18"/>
        <v>0</v>
      </c>
      <c r="AU59" s="33"/>
      <c r="AV59" s="33"/>
      <c r="AW59" s="33"/>
      <c r="AX59" s="33"/>
      <c r="AY59" s="76"/>
    </row>
    <row r="60" spans="2:51">
      <c r="B60" s="40"/>
      <c r="C60" s="151"/>
      <c r="D60" s="136"/>
      <c r="E60" s="140"/>
      <c r="F60" s="42"/>
      <c r="G60" s="51"/>
      <c r="I60" s="55">
        <v>55</v>
      </c>
      <c r="J60" s="33">
        <f t="shared" si="21"/>
        <v>17.010000000000002</v>
      </c>
      <c r="K60" s="33">
        <f t="shared" si="22"/>
        <v>5.6364076591011436</v>
      </c>
      <c r="L60" s="33">
        <f t="shared" si="23"/>
        <v>70</v>
      </c>
      <c r="M60" s="33">
        <f t="shared" si="24"/>
        <v>10</v>
      </c>
      <c r="N60" s="33">
        <f t="shared" si="0"/>
        <v>0</v>
      </c>
      <c r="O60" s="34">
        <f t="shared" si="1"/>
        <v>332.7758266729345</v>
      </c>
      <c r="P60" s="55">
        <v>55</v>
      </c>
      <c r="Q60" s="33">
        <f t="shared" si="19"/>
        <v>32.824999999999989</v>
      </c>
      <c r="R60" s="33">
        <f t="shared" si="25"/>
        <v>763.10000000000036</v>
      </c>
      <c r="S60" s="33">
        <f t="shared" si="26"/>
        <v>328.13300000000015</v>
      </c>
      <c r="T60" s="33">
        <f t="shared" si="2"/>
        <v>77.043102716082018</v>
      </c>
      <c r="U60" s="33">
        <f t="shared" si="20"/>
        <v>70</v>
      </c>
      <c r="V60" s="33">
        <f t="shared" si="3"/>
        <v>10</v>
      </c>
      <c r="W60" s="33">
        <v>0</v>
      </c>
      <c r="X60" s="33">
        <f t="shared" si="4"/>
        <v>999.01504556384316</v>
      </c>
      <c r="Y60" s="38">
        <f t="shared" si="5"/>
        <v>666.23921889090866</v>
      </c>
      <c r="AA60" s="71">
        <v>55</v>
      </c>
      <c r="AB60" s="33">
        <f t="shared" si="6"/>
        <v>0</v>
      </c>
      <c r="AC60" s="304">
        <f t="shared" si="41"/>
        <v>0</v>
      </c>
      <c r="AD60" s="100">
        <f t="shared" si="8"/>
        <v>0</v>
      </c>
      <c r="AE60" s="100">
        <f t="shared" si="9"/>
        <v>0</v>
      </c>
      <c r="AF60" s="193">
        <f t="shared" si="36"/>
        <v>56.919753480225424</v>
      </c>
      <c r="AG60" s="193">
        <f t="shared" si="37"/>
        <v>66.967190244830832</v>
      </c>
      <c r="AH60" s="193">
        <f t="shared" si="38"/>
        <v>1.1586958324493875</v>
      </c>
      <c r="AI60" s="198">
        <f t="shared" si="39"/>
        <v>125.04563955750564</v>
      </c>
      <c r="AK60" s="71">
        <v>55</v>
      </c>
      <c r="AL60" s="33">
        <f t="shared" si="10"/>
        <v>0</v>
      </c>
      <c r="AM60" s="33">
        <f t="shared" si="11"/>
        <v>0</v>
      </c>
      <c r="AN60" s="33">
        <f t="shared" si="12"/>
        <v>0</v>
      </c>
      <c r="AO60" s="33">
        <f t="shared" si="13"/>
        <v>0</v>
      </c>
      <c r="AP60" s="33">
        <f t="shared" si="14"/>
        <v>0</v>
      </c>
      <c r="AQ60" s="193">
        <f t="shared" si="15"/>
        <v>0</v>
      </c>
      <c r="AR60" s="193">
        <f t="shared" si="16"/>
        <v>0</v>
      </c>
      <c r="AS60" s="193">
        <f t="shared" si="17"/>
        <v>0</v>
      </c>
      <c r="AT60" s="193">
        <f t="shared" si="18"/>
        <v>0</v>
      </c>
      <c r="AU60" s="33"/>
      <c r="AV60" s="33"/>
      <c r="AW60" s="33"/>
      <c r="AX60" s="33"/>
      <c r="AY60" s="76"/>
    </row>
    <row r="61" spans="2:51">
      <c r="B61" s="40"/>
      <c r="C61" s="151"/>
      <c r="D61" s="136"/>
      <c r="E61" s="140"/>
      <c r="F61" s="42"/>
      <c r="G61" s="51"/>
      <c r="I61" s="55">
        <v>56</v>
      </c>
      <c r="J61" s="33">
        <f t="shared" si="21"/>
        <v>17.430000000000003</v>
      </c>
      <c r="K61" s="33">
        <f t="shared" si="22"/>
        <v>5.7592036542680249</v>
      </c>
      <c r="L61" s="33">
        <f t="shared" si="23"/>
        <v>70</v>
      </c>
      <c r="M61" s="33">
        <f t="shared" si="24"/>
        <v>10</v>
      </c>
      <c r="N61" s="33">
        <f t="shared" si="0"/>
        <v>0</v>
      </c>
      <c r="O61" s="34">
        <f t="shared" si="1"/>
        <v>333.72119636451686</v>
      </c>
      <c r="P61" s="55">
        <v>56</v>
      </c>
      <c r="Q61" s="33">
        <f t="shared" si="19"/>
        <v>-66.299999999999955</v>
      </c>
      <c r="R61" s="33">
        <f t="shared" si="25"/>
        <v>696.80000000000041</v>
      </c>
      <c r="S61" s="33">
        <f t="shared" si="26"/>
        <v>299.62400000000019</v>
      </c>
      <c r="T61" s="33">
        <f t="shared" si="2"/>
        <v>71.097633680944583</v>
      </c>
      <c r="U61" s="33">
        <f t="shared" si="20"/>
        <v>70</v>
      </c>
      <c r="V61" s="33">
        <f t="shared" si="3"/>
        <v>10</v>
      </c>
      <c r="W61" s="33">
        <v>0</v>
      </c>
      <c r="X61" s="33">
        <f t="shared" si="4"/>
        <v>939.00684532764546</v>
      </c>
      <c r="Y61" s="38">
        <f t="shared" si="5"/>
        <v>605.28564896312855</v>
      </c>
      <c r="AA61" s="71">
        <v>56</v>
      </c>
      <c r="AB61" s="33">
        <f t="shared" si="6"/>
        <v>51</v>
      </c>
      <c r="AC61" s="304">
        <f t="shared" si="41"/>
        <v>0.45</v>
      </c>
      <c r="AD61" s="100">
        <f t="shared" si="8"/>
        <v>5.5999999999999994E-2</v>
      </c>
      <c r="AE61" s="100">
        <f t="shared" si="9"/>
        <v>4.3999999999999991E-2</v>
      </c>
      <c r="AF61" s="193">
        <f t="shared" si="36"/>
        <v>72.822153559156376</v>
      </c>
      <c r="AG61" s="193">
        <f t="shared" si="37"/>
        <v>67.245495522017961</v>
      </c>
      <c r="AH61" s="193">
        <f t="shared" si="38"/>
        <v>2.2395893455455615</v>
      </c>
      <c r="AI61" s="198">
        <f t="shared" si="39"/>
        <v>142.30723842671992</v>
      </c>
      <c r="AK61" s="71">
        <v>56</v>
      </c>
      <c r="AL61" s="33">
        <f t="shared" si="10"/>
        <v>51</v>
      </c>
      <c r="AM61" s="33">
        <f t="shared" si="11"/>
        <v>0.9</v>
      </c>
      <c r="AN61" s="33">
        <f t="shared" si="12"/>
        <v>5.5999999999999994E-2</v>
      </c>
      <c r="AO61" s="33">
        <f t="shared" si="13"/>
        <v>4.3999999999999991E-2</v>
      </c>
      <c r="AP61" s="33">
        <f t="shared" si="14"/>
        <v>0</v>
      </c>
      <c r="AQ61" s="193">
        <f t="shared" si="15"/>
        <v>45.9</v>
      </c>
      <c r="AR61" s="193">
        <f t="shared" si="16"/>
        <v>2.8559999999999999</v>
      </c>
      <c r="AS61" s="193">
        <f t="shared" si="17"/>
        <v>2.2439999999999993</v>
      </c>
      <c r="AT61" s="193">
        <f t="shared" si="18"/>
        <v>0</v>
      </c>
      <c r="AU61" s="33"/>
      <c r="AV61" s="33"/>
      <c r="AW61" s="33"/>
      <c r="AX61" s="33"/>
      <c r="AY61" s="76"/>
    </row>
    <row r="62" spans="2:51">
      <c r="B62" s="40"/>
      <c r="C62" s="151"/>
      <c r="D62" s="136"/>
      <c r="E62" s="140"/>
      <c r="F62" s="42"/>
      <c r="G62" s="51"/>
      <c r="I62" s="55">
        <v>57</v>
      </c>
      <c r="J62" s="33">
        <f t="shared" si="21"/>
        <v>17.850000000000005</v>
      </c>
      <c r="K62" s="33">
        <f t="shared" si="22"/>
        <v>5.8816556762478864</v>
      </c>
      <c r="L62" s="33">
        <f t="shared" si="23"/>
        <v>70</v>
      </c>
      <c r="M62" s="33">
        <f t="shared" si="24"/>
        <v>10</v>
      </c>
      <c r="N62" s="33">
        <f t="shared" si="0"/>
        <v>0</v>
      </c>
      <c r="O62" s="34">
        <f t="shared" si="1"/>
        <v>334.66596696946505</v>
      </c>
      <c r="P62" s="55">
        <v>57</v>
      </c>
      <c r="Q62" s="33">
        <f t="shared" si="19"/>
        <v>29.899999999999977</v>
      </c>
      <c r="R62" s="33">
        <f t="shared" si="25"/>
        <v>726.70000000000039</v>
      </c>
      <c r="S62" s="33">
        <f t="shared" si="26"/>
        <v>312.48100000000017</v>
      </c>
      <c r="T62" s="33">
        <f t="shared" si="2"/>
        <v>73.786721094721486</v>
      </c>
      <c r="U62" s="33">
        <f t="shared" si="20"/>
        <v>70</v>
      </c>
      <c r="V62" s="33">
        <f t="shared" si="3"/>
        <v>10</v>
      </c>
      <c r="W62" s="33">
        <v>0</v>
      </c>
      <c r="X62" s="33">
        <f t="shared" si="4"/>
        <v>966.08294757330702</v>
      </c>
      <c r="Y62" s="38">
        <f t="shared" si="5"/>
        <v>631.41698060384192</v>
      </c>
      <c r="AA62" s="71">
        <v>57</v>
      </c>
      <c r="AB62" s="33">
        <f t="shared" si="6"/>
        <v>0</v>
      </c>
      <c r="AC62" s="304">
        <f t="shared" si="41"/>
        <v>0</v>
      </c>
      <c r="AD62" s="100">
        <f t="shared" si="8"/>
        <v>0</v>
      </c>
      <c r="AE62" s="100">
        <f t="shared" si="9"/>
        <v>0</v>
      </c>
      <c r="AF62" s="193">
        <f t="shared" si="36"/>
        <v>71.394155544989161</v>
      </c>
      <c r="AG62" s="193">
        <f t="shared" si="37"/>
        <v>65.406663910681459</v>
      </c>
      <c r="AH62" s="193">
        <f t="shared" si="38"/>
        <v>1.5836288133084087</v>
      </c>
      <c r="AI62" s="198">
        <f t="shared" si="39"/>
        <v>138.38444826897904</v>
      </c>
      <c r="AK62" s="71">
        <v>57</v>
      </c>
      <c r="AL62" s="33">
        <f t="shared" si="10"/>
        <v>0</v>
      </c>
      <c r="AM62" s="33">
        <f t="shared" si="11"/>
        <v>0</v>
      </c>
      <c r="AN62" s="33">
        <f t="shared" si="12"/>
        <v>0</v>
      </c>
      <c r="AO62" s="33">
        <f t="shared" si="13"/>
        <v>0</v>
      </c>
      <c r="AP62" s="33">
        <f t="shared" si="14"/>
        <v>0</v>
      </c>
      <c r="AQ62" s="193">
        <f t="shared" si="15"/>
        <v>0</v>
      </c>
      <c r="AR62" s="193">
        <f t="shared" si="16"/>
        <v>0</v>
      </c>
      <c r="AS62" s="193">
        <f t="shared" si="17"/>
        <v>0</v>
      </c>
      <c r="AT62" s="193">
        <f t="shared" si="18"/>
        <v>0</v>
      </c>
      <c r="AU62" s="33"/>
      <c r="AV62" s="33"/>
      <c r="AW62" s="33"/>
      <c r="AX62" s="33"/>
      <c r="AY62" s="76"/>
    </row>
    <row r="63" spans="2:51">
      <c r="B63" s="40"/>
      <c r="C63" s="151"/>
      <c r="D63" s="136"/>
      <c r="E63" s="140"/>
      <c r="F63" s="42"/>
      <c r="G63" s="51"/>
      <c r="I63" s="55">
        <v>58</v>
      </c>
      <c r="J63" s="33">
        <f t="shared" si="21"/>
        <v>18.270000000000007</v>
      </c>
      <c r="K63" s="33">
        <f t="shared" si="22"/>
        <v>6.0037727499306985</v>
      </c>
      <c r="L63" s="33">
        <f t="shared" si="23"/>
        <v>70</v>
      </c>
      <c r="M63" s="33">
        <f t="shared" si="24"/>
        <v>10</v>
      </c>
      <c r="N63" s="33">
        <f t="shared" si="0"/>
        <v>0</v>
      </c>
      <c r="O63" s="34">
        <f t="shared" si="1"/>
        <v>335.61015420612932</v>
      </c>
      <c r="P63" s="55">
        <v>58</v>
      </c>
      <c r="Q63" s="33">
        <f t="shared" si="19"/>
        <v>29.899999999999977</v>
      </c>
      <c r="R63" s="33">
        <f t="shared" si="25"/>
        <v>756.60000000000036</v>
      </c>
      <c r="S63" s="33">
        <f t="shared" si="26"/>
        <v>325.33800000000014</v>
      </c>
      <c r="T63" s="33">
        <f t="shared" si="2"/>
        <v>76.462956713256233</v>
      </c>
      <c r="U63" s="33">
        <f t="shared" si="20"/>
        <v>70</v>
      </c>
      <c r="V63" s="33">
        <f t="shared" si="3"/>
        <v>10</v>
      </c>
      <c r="W63" s="33">
        <v>0</v>
      </c>
      <c r="X63" s="33">
        <f t="shared" si="4"/>
        <v>993.13666627558814</v>
      </c>
      <c r="Y63" s="38">
        <f t="shared" si="5"/>
        <v>657.52651206945882</v>
      </c>
      <c r="AA63" s="71">
        <v>58</v>
      </c>
      <c r="AB63" s="33">
        <f t="shared" si="6"/>
        <v>0</v>
      </c>
      <c r="AC63" s="304">
        <f t="shared" si="41"/>
        <v>0</v>
      </c>
      <c r="AD63" s="100">
        <f t="shared" si="8"/>
        <v>0</v>
      </c>
      <c r="AE63" s="100">
        <f t="shared" si="9"/>
        <v>0</v>
      </c>
      <c r="AF63" s="193">
        <f t="shared" si="36"/>
        <v>69.994159700886982</v>
      </c>
      <c r="AG63" s="193">
        <f t="shared" si="37"/>
        <v>63.61811524645691</v>
      </c>
      <c r="AH63" s="193">
        <f t="shared" si="38"/>
        <v>1.119794672772781</v>
      </c>
      <c r="AI63" s="198">
        <f t="shared" si="39"/>
        <v>134.73206962011668</v>
      </c>
      <c r="AK63" s="71">
        <v>58</v>
      </c>
      <c r="AL63" s="33">
        <f t="shared" si="10"/>
        <v>0</v>
      </c>
      <c r="AM63" s="33">
        <f t="shared" si="11"/>
        <v>0</v>
      </c>
      <c r="AN63" s="33">
        <f t="shared" si="12"/>
        <v>0</v>
      </c>
      <c r="AO63" s="33">
        <f t="shared" si="13"/>
        <v>0</v>
      </c>
      <c r="AP63" s="33">
        <f t="shared" si="14"/>
        <v>0</v>
      </c>
      <c r="AQ63" s="193">
        <f t="shared" si="15"/>
        <v>0</v>
      </c>
      <c r="AR63" s="193">
        <f t="shared" si="16"/>
        <v>0</v>
      </c>
      <c r="AS63" s="193">
        <f t="shared" si="17"/>
        <v>0</v>
      </c>
      <c r="AT63" s="193">
        <f t="shared" si="18"/>
        <v>0</v>
      </c>
      <c r="AU63" s="33"/>
      <c r="AV63" s="33"/>
      <c r="AW63" s="33"/>
      <c r="AX63" s="33"/>
      <c r="AY63" s="76"/>
    </row>
    <row r="64" spans="2:51">
      <c r="B64" s="40"/>
      <c r="C64" s="151"/>
      <c r="D64" s="136"/>
      <c r="E64" s="140"/>
      <c r="F64" s="42"/>
      <c r="G64" s="51"/>
      <c r="I64" s="55">
        <v>59</v>
      </c>
      <c r="J64" s="33">
        <f t="shared" si="21"/>
        <v>18.690000000000008</v>
      </c>
      <c r="K64" s="33">
        <f t="shared" si="22"/>
        <v>6.1255634615903167</v>
      </c>
      <c r="L64" s="33">
        <f t="shared" si="23"/>
        <v>70</v>
      </c>
      <c r="M64" s="33">
        <f t="shared" si="24"/>
        <v>10</v>
      </c>
      <c r="N64" s="33">
        <f t="shared" si="0"/>
        <v>0</v>
      </c>
      <c r="O64" s="34">
        <f t="shared" si="1"/>
        <v>336.55377302893652</v>
      </c>
      <c r="P64" s="55">
        <v>59</v>
      </c>
      <c r="Q64" s="33">
        <f t="shared" si="19"/>
        <v>29.899999999999977</v>
      </c>
      <c r="R64" s="33">
        <f t="shared" si="25"/>
        <v>786.50000000000034</v>
      </c>
      <c r="S64" s="33">
        <f t="shared" si="26"/>
        <v>338.19500000000016</v>
      </c>
      <c r="T64" s="33">
        <f t="shared" si="2"/>
        <v>79.126906541659238</v>
      </c>
      <c r="U64" s="33">
        <f t="shared" si="20"/>
        <v>70</v>
      </c>
      <c r="V64" s="33">
        <f t="shared" si="3"/>
        <v>10</v>
      </c>
      <c r="W64" s="33">
        <v>0</v>
      </c>
      <c r="X64" s="33">
        <f t="shared" si="4"/>
        <v>1020.1689872267234</v>
      </c>
      <c r="Y64" s="38">
        <f t="shared" si="5"/>
        <v>683.61521419778683</v>
      </c>
      <c r="AA64" s="71">
        <v>59</v>
      </c>
      <c r="AB64" s="33">
        <f t="shared" si="6"/>
        <v>0</v>
      </c>
      <c r="AC64" s="304">
        <f t="shared" si="41"/>
        <v>0</v>
      </c>
      <c r="AD64" s="100">
        <f t="shared" si="8"/>
        <v>0</v>
      </c>
      <c r="AE64" s="100">
        <f t="shared" si="9"/>
        <v>0</v>
      </c>
      <c r="AF64" s="193">
        <f t="shared" si="36"/>
        <v>68.621616921374496</v>
      </c>
      <c r="AG64" s="193">
        <f t="shared" si="37"/>
        <v>61.878474539511267</v>
      </c>
      <c r="AH64" s="193">
        <f t="shared" si="38"/>
        <v>0.79181440665420444</v>
      </c>
      <c r="AI64" s="198">
        <f t="shared" si="39"/>
        <v>131.29190586753995</v>
      </c>
      <c r="AK64" s="71">
        <v>59</v>
      </c>
      <c r="AL64" s="33">
        <f t="shared" si="10"/>
        <v>0</v>
      </c>
      <c r="AM64" s="33">
        <f t="shared" si="11"/>
        <v>0</v>
      </c>
      <c r="AN64" s="33">
        <f t="shared" si="12"/>
        <v>0</v>
      </c>
      <c r="AO64" s="33">
        <f t="shared" si="13"/>
        <v>0</v>
      </c>
      <c r="AP64" s="33">
        <f t="shared" si="14"/>
        <v>0</v>
      </c>
      <c r="AQ64" s="193">
        <f t="shared" si="15"/>
        <v>0</v>
      </c>
      <c r="AR64" s="193">
        <f t="shared" si="16"/>
        <v>0</v>
      </c>
      <c r="AS64" s="193">
        <f t="shared" si="17"/>
        <v>0</v>
      </c>
      <c r="AT64" s="193">
        <f t="shared" si="18"/>
        <v>0</v>
      </c>
      <c r="AU64" s="33"/>
      <c r="AV64" s="33"/>
      <c r="AW64" s="33"/>
      <c r="AX64" s="33"/>
      <c r="AY64" s="76"/>
    </row>
    <row r="65" spans="2:51">
      <c r="B65" s="40"/>
      <c r="C65" s="151"/>
      <c r="D65" s="136"/>
      <c r="E65" s="140"/>
      <c r="F65" s="42"/>
      <c r="G65" s="51"/>
      <c r="I65" s="55">
        <v>60</v>
      </c>
      <c r="J65" s="33">
        <f t="shared" si="21"/>
        <v>19.11000000000001</v>
      </c>
      <c r="K65" s="33">
        <f t="shared" si="22"/>
        <v>6.2470359895716525</v>
      </c>
      <c r="L65" s="33">
        <f t="shared" si="23"/>
        <v>70</v>
      </c>
      <c r="M65" s="33">
        <f t="shared" si="24"/>
        <v>10</v>
      </c>
      <c r="N65" s="33">
        <f t="shared" si="0"/>
        <v>0</v>
      </c>
      <c r="O65" s="34">
        <f t="shared" si="1"/>
        <v>337.49683768183735</v>
      </c>
      <c r="P65" s="55">
        <v>60</v>
      </c>
      <c r="Q65" s="33">
        <f t="shared" si="19"/>
        <v>29.899999999999977</v>
      </c>
      <c r="R65" s="33">
        <f t="shared" si="25"/>
        <v>816.40000000000032</v>
      </c>
      <c r="S65" s="33">
        <f t="shared" si="26"/>
        <v>351.05200000000013</v>
      </c>
      <c r="T65" s="33">
        <f t="shared" si="2"/>
        <v>81.779091112437655</v>
      </c>
      <c r="U65" s="33">
        <f t="shared" si="20"/>
        <v>70</v>
      </c>
      <c r="V65" s="33">
        <f t="shared" si="3"/>
        <v>10</v>
      </c>
      <c r="W65" s="33">
        <v>0</v>
      </c>
      <c r="X65" s="33">
        <f t="shared" si="4"/>
        <v>1047.1808170208292</v>
      </c>
      <c r="Y65" s="38">
        <f t="shared" si="5"/>
        <v>709.68397933899178</v>
      </c>
      <c r="AA65" s="71">
        <v>60</v>
      </c>
      <c r="AB65" s="33">
        <f t="shared" si="6"/>
        <v>0</v>
      </c>
      <c r="AC65" s="304">
        <f t="shared" si="41"/>
        <v>0</v>
      </c>
      <c r="AD65" s="100">
        <f t="shared" si="8"/>
        <v>0</v>
      </c>
      <c r="AE65" s="100">
        <f t="shared" si="9"/>
        <v>0</v>
      </c>
      <c r="AF65" s="193">
        <f t="shared" si="36"/>
        <v>67.275988868599825</v>
      </c>
      <c r="AG65" s="193">
        <f t="shared" si="37"/>
        <v>60.18640439918078</v>
      </c>
      <c r="AH65" s="193">
        <f t="shared" si="38"/>
        <v>0.5598973363863905</v>
      </c>
      <c r="AI65" s="198">
        <f t="shared" si="39"/>
        <v>128.02229060416701</v>
      </c>
      <c r="AK65" s="71">
        <v>60</v>
      </c>
      <c r="AL65" s="33">
        <f t="shared" si="10"/>
        <v>0</v>
      </c>
      <c r="AM65" s="33">
        <f t="shared" si="11"/>
        <v>0</v>
      </c>
      <c r="AN65" s="33">
        <f t="shared" si="12"/>
        <v>0</v>
      </c>
      <c r="AO65" s="33">
        <f t="shared" si="13"/>
        <v>0</v>
      </c>
      <c r="AP65" s="33">
        <f t="shared" si="14"/>
        <v>0</v>
      </c>
      <c r="AQ65" s="193">
        <f t="shared" si="15"/>
        <v>0</v>
      </c>
      <c r="AR65" s="193">
        <f t="shared" si="16"/>
        <v>0</v>
      </c>
      <c r="AS65" s="193">
        <f t="shared" si="17"/>
        <v>0</v>
      </c>
      <c r="AT65" s="193">
        <f t="shared" si="18"/>
        <v>0</v>
      </c>
      <c r="AU65" s="33"/>
      <c r="AV65" s="33"/>
      <c r="AW65" s="33"/>
      <c r="AX65" s="33"/>
      <c r="AY65" s="76"/>
    </row>
    <row r="66" spans="2:51">
      <c r="B66" s="40"/>
      <c r="C66" s="151"/>
      <c r="D66" s="136"/>
      <c r="E66" s="140"/>
      <c r="F66" s="42"/>
      <c r="G66" s="51"/>
      <c r="I66" s="55">
        <v>61</v>
      </c>
      <c r="J66" s="33">
        <f t="shared" si="21"/>
        <v>19.530000000000012</v>
      </c>
      <c r="K66" s="33">
        <f t="shared" si="22"/>
        <v>6.3681981322039647</v>
      </c>
      <c r="L66" s="33">
        <f t="shared" si="23"/>
        <v>70</v>
      </c>
      <c r="M66" s="33">
        <f t="shared" si="24"/>
        <v>10</v>
      </c>
      <c r="N66" s="33">
        <f t="shared" si="0"/>
        <v>0</v>
      </c>
      <c r="O66" s="34">
        <f t="shared" si="1"/>
        <v>338.43936174692197</v>
      </c>
      <c r="P66" s="55">
        <v>61</v>
      </c>
      <c r="Q66" s="33">
        <f t="shared" si="19"/>
        <v>-58.5</v>
      </c>
      <c r="R66" s="33">
        <f t="shared" si="25"/>
        <v>757.90000000000032</v>
      </c>
      <c r="S66" s="33">
        <f t="shared" si="26"/>
        <v>325.89700000000011</v>
      </c>
      <c r="T66" s="33">
        <f t="shared" si="2"/>
        <v>76.579032171333608</v>
      </c>
      <c r="U66" s="33">
        <f t="shared" si="20"/>
        <v>70</v>
      </c>
      <c r="V66" s="33">
        <f t="shared" si="3"/>
        <v>10</v>
      </c>
      <c r="W66" s="33">
        <v>0</v>
      </c>
      <c r="X66" s="33">
        <f t="shared" si="4"/>
        <v>994.31242269840641</v>
      </c>
      <c r="Y66" s="38">
        <f t="shared" si="5"/>
        <v>655.87306095148438</v>
      </c>
      <c r="AA66" s="71">
        <v>61</v>
      </c>
      <c r="AB66" s="33">
        <f t="shared" si="6"/>
        <v>45</v>
      </c>
      <c r="AC66" s="304">
        <f t="shared" si="41"/>
        <v>0.45</v>
      </c>
      <c r="AD66" s="100">
        <f t="shared" si="8"/>
        <v>5.5999999999999994E-2</v>
      </c>
      <c r="AE66" s="100">
        <f t="shared" si="9"/>
        <v>4.3999999999999991E-2</v>
      </c>
      <c r="AF66" s="193">
        <f t="shared" si="36"/>
        <v>80.973125755649733</v>
      </c>
      <c r="AG66" s="193">
        <f t="shared" si="37"/>
        <v>60.401951020011069</v>
      </c>
      <c r="AH66" s="193">
        <f t="shared" si="38"/>
        <v>1.6490845548753448</v>
      </c>
      <c r="AI66" s="198">
        <f t="shared" si="39"/>
        <v>143.02416133053615</v>
      </c>
      <c r="AK66" s="71">
        <v>61</v>
      </c>
      <c r="AL66" s="33">
        <f t="shared" si="10"/>
        <v>45</v>
      </c>
      <c r="AM66" s="33">
        <f t="shared" si="11"/>
        <v>0.9</v>
      </c>
      <c r="AN66" s="33">
        <f t="shared" si="12"/>
        <v>5.5999999999999994E-2</v>
      </c>
      <c r="AO66" s="33">
        <f t="shared" si="13"/>
        <v>4.3999999999999991E-2</v>
      </c>
      <c r="AP66" s="33">
        <f t="shared" si="14"/>
        <v>0</v>
      </c>
      <c r="AQ66" s="193">
        <f t="shared" si="15"/>
        <v>40.5</v>
      </c>
      <c r="AR66" s="193">
        <f t="shared" si="16"/>
        <v>2.5199999999999996</v>
      </c>
      <c r="AS66" s="193">
        <f t="shared" si="17"/>
        <v>1.9799999999999995</v>
      </c>
      <c r="AT66" s="193">
        <f t="shared" si="18"/>
        <v>0</v>
      </c>
      <c r="AU66" s="33"/>
      <c r="AV66" s="33"/>
      <c r="AW66" s="33"/>
      <c r="AX66" s="33"/>
      <c r="AY66" s="76"/>
    </row>
    <row r="67" spans="2:51">
      <c r="B67" s="40"/>
      <c r="C67" s="151"/>
      <c r="D67" s="136"/>
      <c r="E67" s="140"/>
      <c r="F67" s="42"/>
      <c r="G67" s="51"/>
      <c r="I67" s="55">
        <v>62</v>
      </c>
      <c r="J67" s="33">
        <f t="shared" si="21"/>
        <v>19.950000000000014</v>
      </c>
      <c r="K67" s="33">
        <f t="shared" si="22"/>
        <v>6.4890573332452952</v>
      </c>
      <c r="L67" s="33">
        <f t="shared" si="23"/>
        <v>70</v>
      </c>
      <c r="M67" s="33">
        <f t="shared" si="24"/>
        <v>10</v>
      </c>
      <c r="N67" s="33">
        <f t="shared" si="0"/>
        <v>0</v>
      </c>
      <c r="O67" s="34">
        <f t="shared" si="1"/>
        <v>339.38135818873559</v>
      </c>
      <c r="P67" s="55">
        <v>62</v>
      </c>
      <c r="Q67" s="33">
        <f t="shared" si="19"/>
        <v>26.975000000000023</v>
      </c>
      <c r="R67" s="33">
        <f t="shared" si="25"/>
        <v>784.87500000000034</v>
      </c>
      <c r="S67" s="33">
        <f t="shared" si="26"/>
        <v>337.49625000000015</v>
      </c>
      <c r="T67" s="33">
        <f t="shared" si="2"/>
        <v>78.982433507753726</v>
      </c>
      <c r="U67" s="33">
        <f t="shared" si="20"/>
        <v>70</v>
      </c>
      <c r="V67" s="33">
        <f t="shared" si="3"/>
        <v>10</v>
      </c>
      <c r="W67" s="33">
        <v>0</v>
      </c>
      <c r="X67" s="33">
        <f t="shared" si="4"/>
        <v>1018.7003737760048</v>
      </c>
      <c r="Y67" s="38">
        <f t="shared" si="5"/>
        <v>679.31901558726918</v>
      </c>
      <c r="AA67" s="71">
        <v>62</v>
      </c>
      <c r="AB67" s="33">
        <f t="shared" si="6"/>
        <v>0</v>
      </c>
      <c r="AC67" s="304">
        <f t="shared" si="41"/>
        <v>0</v>
      </c>
      <c r="AD67" s="100">
        <f t="shared" si="8"/>
        <v>0</v>
      </c>
      <c r="AE67" s="100">
        <f t="shared" si="9"/>
        <v>0</v>
      </c>
      <c r="AF67" s="193">
        <f t="shared" si="36"/>
        <v>79.385292148311422</v>
      </c>
      <c r="AG67" s="193">
        <f t="shared" si="37"/>
        <v>58.750256492968312</v>
      </c>
      <c r="AH67" s="193">
        <f t="shared" si="38"/>
        <v>1.1660788715023556</v>
      </c>
      <c r="AI67" s="198">
        <f t="shared" si="39"/>
        <v>139.30162751278209</v>
      </c>
      <c r="AK67" s="71">
        <v>62</v>
      </c>
      <c r="AL67" s="33">
        <f t="shared" si="10"/>
        <v>0</v>
      </c>
      <c r="AM67" s="33">
        <f t="shared" si="11"/>
        <v>0</v>
      </c>
      <c r="AN67" s="33">
        <f t="shared" si="12"/>
        <v>0</v>
      </c>
      <c r="AO67" s="33">
        <f t="shared" si="13"/>
        <v>0</v>
      </c>
      <c r="AP67" s="33">
        <f t="shared" si="14"/>
        <v>0</v>
      </c>
      <c r="AQ67" s="193">
        <f t="shared" si="15"/>
        <v>0</v>
      </c>
      <c r="AR67" s="193">
        <f t="shared" si="16"/>
        <v>0</v>
      </c>
      <c r="AS67" s="193">
        <f t="shared" si="17"/>
        <v>0</v>
      </c>
      <c r="AT67" s="193">
        <f t="shared" si="18"/>
        <v>0</v>
      </c>
      <c r="AU67" s="33"/>
      <c r="AV67" s="33"/>
      <c r="AW67" s="33"/>
      <c r="AX67" s="33"/>
      <c r="AY67" s="76"/>
    </row>
    <row r="68" spans="2:51">
      <c r="B68" s="40"/>
      <c r="C68" s="151"/>
      <c r="D68" s="136"/>
      <c r="E68" s="140"/>
      <c r="F68" s="42"/>
      <c r="G68" s="51"/>
      <c r="I68" s="55">
        <v>63</v>
      </c>
      <c r="J68" s="33">
        <f t="shared" si="21"/>
        <v>20.370000000000015</v>
      </c>
      <c r="K68" s="33">
        <f t="shared" si="22"/>
        <v>6.609620705123719</v>
      </c>
      <c r="L68" s="33">
        <f t="shared" si="23"/>
        <v>70</v>
      </c>
      <c r="M68" s="33">
        <f t="shared" si="24"/>
        <v>10</v>
      </c>
      <c r="N68" s="33">
        <f t="shared" si="0"/>
        <v>0</v>
      </c>
      <c r="O68" s="34">
        <f t="shared" si="1"/>
        <v>340.32283939475718</v>
      </c>
      <c r="P68" s="55">
        <v>63</v>
      </c>
      <c r="Q68" s="33">
        <f t="shared" si="19"/>
        <v>26.975000000000023</v>
      </c>
      <c r="R68" s="33">
        <f t="shared" si="25"/>
        <v>811.85000000000036</v>
      </c>
      <c r="S68" s="33">
        <f t="shared" si="26"/>
        <v>349.09550000000013</v>
      </c>
      <c r="T68" s="33">
        <f t="shared" si="2"/>
        <v>81.376237254980026</v>
      </c>
      <c r="U68" s="33">
        <f t="shared" si="20"/>
        <v>70</v>
      </c>
      <c r="V68" s="33">
        <f t="shared" si="3"/>
        <v>10</v>
      </c>
      <c r="W68" s="33">
        <v>0</v>
      </c>
      <c r="X68" s="33">
        <f t="shared" si="4"/>
        <v>1043.0716090524238</v>
      </c>
      <c r="Y68" s="38">
        <f t="shared" si="5"/>
        <v>702.74876965766657</v>
      </c>
      <c r="AA68" s="71">
        <v>63</v>
      </c>
      <c r="AB68" s="33">
        <f t="shared" si="6"/>
        <v>0</v>
      </c>
      <c r="AC68" s="304">
        <f t="shared" si="41"/>
        <v>0</v>
      </c>
      <c r="AD68" s="100">
        <f t="shared" si="8"/>
        <v>0</v>
      </c>
      <c r="AE68" s="100">
        <f t="shared" si="9"/>
        <v>0</v>
      </c>
      <c r="AF68" s="193">
        <f t="shared" si="36"/>
        <v>77.828594989530146</v>
      </c>
      <c r="AG68" s="193">
        <f t="shared" si="37"/>
        <v>57.143727639626377</v>
      </c>
      <c r="AH68" s="193">
        <f t="shared" si="38"/>
        <v>0.8245422774376725</v>
      </c>
      <c r="AI68" s="198">
        <f t="shared" si="39"/>
        <v>135.79686490659418</v>
      </c>
      <c r="AK68" s="71">
        <v>63</v>
      </c>
      <c r="AL68" s="33">
        <f t="shared" si="10"/>
        <v>0</v>
      </c>
      <c r="AM68" s="33">
        <f t="shared" si="11"/>
        <v>0</v>
      </c>
      <c r="AN68" s="33">
        <f t="shared" si="12"/>
        <v>0</v>
      </c>
      <c r="AO68" s="33">
        <f t="shared" si="13"/>
        <v>0</v>
      </c>
      <c r="AP68" s="33">
        <f t="shared" si="14"/>
        <v>0</v>
      </c>
      <c r="AQ68" s="193">
        <f t="shared" si="15"/>
        <v>0</v>
      </c>
      <c r="AR68" s="193">
        <f t="shared" si="16"/>
        <v>0</v>
      </c>
      <c r="AS68" s="193">
        <f t="shared" si="17"/>
        <v>0</v>
      </c>
      <c r="AT68" s="193">
        <f t="shared" si="18"/>
        <v>0</v>
      </c>
      <c r="AU68" s="33"/>
      <c r="AV68" s="33"/>
      <c r="AW68" s="33"/>
      <c r="AX68" s="33"/>
      <c r="AY68" s="76"/>
    </row>
    <row r="69" spans="2:51">
      <c r="B69" s="40"/>
      <c r="C69" s="151"/>
      <c r="D69" s="136"/>
      <c r="E69" s="140"/>
      <c r="F69" s="42"/>
      <c r="G69" s="51"/>
      <c r="I69" s="55">
        <v>64</v>
      </c>
      <c r="J69" s="33">
        <f t="shared" si="21"/>
        <v>20.790000000000017</v>
      </c>
      <c r="K69" s="33">
        <f t="shared" si="22"/>
        <v>6.7298950502076895</v>
      </c>
      <c r="L69" s="33">
        <f t="shared" si="23"/>
        <v>70</v>
      </c>
      <c r="M69" s="33">
        <f t="shared" si="24"/>
        <v>10</v>
      </c>
      <c r="N69" s="33">
        <f t="shared" ref="N69:N132" si="46">IF(P70&lt;=$F$18,0,)</f>
        <v>0</v>
      </c>
      <c r="O69" s="34">
        <f t="shared" ref="O69:O132" si="47">((J69+K69)*0.475+L69+M69+N69)*44/12</f>
        <v>341.26381721244508</v>
      </c>
      <c r="P69" s="55">
        <v>64</v>
      </c>
      <c r="Q69" s="33">
        <f t="shared" si="19"/>
        <v>26.975000000000023</v>
      </c>
      <c r="R69" s="33">
        <f t="shared" si="25"/>
        <v>838.82500000000039</v>
      </c>
      <c r="S69" s="33">
        <f t="shared" si="26"/>
        <v>360.69475000000017</v>
      </c>
      <c r="T69" s="33">
        <f t="shared" ref="T69:T132" si="48">IF(S69=0,0,EXP(-1.0587+0.8836*LN(S69)+0.284))</f>
        <v>83.760798872748481</v>
      </c>
      <c r="U69" s="33">
        <f t="shared" si="20"/>
        <v>70</v>
      </c>
      <c r="V69" s="33">
        <f t="shared" ref="V69:V132" si="49">IF(P69&lt;=$F$18,IF(P69&lt;=30,P69*($F$16-$F$6)/30,$F$16-$F$6),)</f>
        <v>10</v>
      </c>
      <c r="W69" s="33">
        <v>0</v>
      </c>
      <c r="X69" s="33">
        <f t="shared" ref="X69:X132" si="50">((S69+T69)*0.475+U69+V69+W69)*44/12</f>
        <v>1067.4267476200371</v>
      </c>
      <c r="Y69" s="38">
        <f t="shared" ref="Y69:Y132" si="51">IF(P69&lt;=$F$18,X69-O69,)</f>
        <v>726.16293040759206</v>
      </c>
      <c r="AA69" s="71">
        <v>64</v>
      </c>
      <c r="AB69" s="33">
        <f t="shared" ref="AB69:AB132" si="52">IF(AA69&lt;=$F$18,IFERROR(VLOOKUP($AA69,$B$82:$G$94,2,FALSE),0),)</f>
        <v>0</v>
      </c>
      <c r="AC69" s="304">
        <f t="shared" si="41"/>
        <v>0</v>
      </c>
      <c r="AD69" s="100">
        <f t="shared" ref="AD69:AD132" si="53">IF(AA69&lt;=$F$18,IFERROR(VLOOKUP($AA69,$B$82:$G$94,4,FALSE),0),)</f>
        <v>0</v>
      </c>
      <c r="AE69" s="100">
        <f t="shared" ref="AE69:AE132" si="54">IF(AA69&lt;=$F$18,IFERROR(VLOOKUP($AA69,$B$82:$G$94,5,FALSE),0),)</f>
        <v>0</v>
      </c>
      <c r="AF69" s="193">
        <f t="shared" si="36"/>
        <v>76.302423712541056</v>
      </c>
      <c r="AG69" s="193">
        <f t="shared" si="37"/>
        <v>55.581129402262761</v>
      </c>
      <c r="AH69" s="193">
        <f t="shared" si="38"/>
        <v>0.58303943575117789</v>
      </c>
      <c r="AI69" s="198">
        <f t="shared" si="39"/>
        <v>132.46659255055499</v>
      </c>
      <c r="AK69" s="71">
        <v>64</v>
      </c>
      <c r="AL69" s="33">
        <f t="shared" ref="AL69:AL132" si="55">IF(AK69&lt;=$F$18,IFERROR(VLOOKUP($AA69,$B$82:$G$94,2,FALSE),0),)</f>
        <v>0</v>
      </c>
      <c r="AM69" s="33">
        <f t="shared" ref="AM69:AM132" si="56">IF(AK69&lt;=$F$18,IFERROR(VLOOKUP($AA69,$B$82:$G$94,3,FALSE),0),)</f>
        <v>0</v>
      </c>
      <c r="AN69" s="33">
        <f t="shared" ref="AN69:AN132" si="57">IF(AK69&lt;=$F$18,IFERROR(VLOOKUP($AA69,$B$82:$G$94,4,FALSE),0),)</f>
        <v>0</v>
      </c>
      <c r="AO69" s="33">
        <f t="shared" ref="AO69:AO132" si="58">IF(AK69&lt;=$F$18,IFERROR(VLOOKUP($AA69,$B$82:$G$94,5,FALSE),0),)</f>
        <v>0</v>
      </c>
      <c r="AP69" s="33">
        <f t="shared" ref="AP69:AP132" si="59">IF(AK69&lt;=$F$18,IFERROR(VLOOKUP($AA69,$B$82:$G$94,6,FALSE),0),)</f>
        <v>0</v>
      </c>
      <c r="AQ69" s="193">
        <f t="shared" ref="AQ69:AT132" si="60">IF($AK69&lt;=$F$18,$AL69*AM69,)</f>
        <v>0</v>
      </c>
      <c r="AR69" s="193">
        <f t="shared" si="60"/>
        <v>0</v>
      </c>
      <c r="AS69" s="193">
        <f t="shared" si="60"/>
        <v>0</v>
      </c>
      <c r="AT69" s="193">
        <f t="shared" si="60"/>
        <v>0</v>
      </c>
      <c r="AU69" s="33"/>
      <c r="AV69" s="33"/>
      <c r="AW69" s="33"/>
      <c r="AX69" s="33"/>
      <c r="AY69" s="76"/>
    </row>
    <row r="70" spans="2:51">
      <c r="B70" s="40"/>
      <c r="C70" s="151"/>
      <c r="D70" s="136"/>
      <c r="E70" s="140"/>
      <c r="F70" s="42"/>
      <c r="G70" s="51"/>
      <c r="I70" s="55">
        <v>65</v>
      </c>
      <c r="J70" s="33">
        <f t="shared" si="21"/>
        <v>21.210000000000019</v>
      </c>
      <c r="K70" s="33">
        <f t="shared" si="22"/>
        <v>6.8498868803090076</v>
      </c>
      <c r="L70" s="33">
        <f t="shared" si="23"/>
        <v>70</v>
      </c>
      <c r="M70" s="33">
        <f t="shared" si="24"/>
        <v>10</v>
      </c>
      <c r="N70" s="33">
        <f t="shared" si="46"/>
        <v>0</v>
      </c>
      <c r="O70" s="34">
        <f t="shared" si="47"/>
        <v>342.20430298320485</v>
      </c>
      <c r="P70" s="55">
        <v>65</v>
      </c>
      <c r="Q70" s="33">
        <f t="shared" ref="Q70:Q133" si="61">IF(P70&lt;=$F$18,LOOKUP(P70-1,$B$25:$B$78,$G$25:$G$78),)</f>
        <v>26.975000000000023</v>
      </c>
      <c r="R70" s="33">
        <f t="shared" si="25"/>
        <v>865.80000000000041</v>
      </c>
      <c r="S70" s="33">
        <f t="shared" si="26"/>
        <v>372.29400000000015</v>
      </c>
      <c r="T70" s="33">
        <f t="shared" si="48"/>
        <v>86.136449661008839</v>
      </c>
      <c r="U70" s="33">
        <f t="shared" ref="U70:U133" si="62">IF(P70&lt;=$F$18,$F$5+($F$15-$F$5)*(1-EXP(-0.0175*P70)),)</f>
        <v>70</v>
      </c>
      <c r="V70" s="33">
        <f t="shared" si="49"/>
        <v>10</v>
      </c>
      <c r="W70" s="33">
        <v>0</v>
      </c>
      <c r="X70" s="33">
        <f t="shared" si="50"/>
        <v>1091.7663664929239</v>
      </c>
      <c r="Y70" s="38">
        <f t="shared" si="51"/>
        <v>749.56206350971911</v>
      </c>
      <c r="AA70" s="71">
        <v>65</v>
      </c>
      <c r="AB70" s="33">
        <f t="shared" si="52"/>
        <v>0</v>
      </c>
      <c r="AC70" s="304">
        <f t="shared" si="41"/>
        <v>0</v>
      </c>
      <c r="AD70" s="100">
        <f t="shared" si="53"/>
        <v>0</v>
      </c>
      <c r="AE70" s="100">
        <f t="shared" si="54"/>
        <v>0</v>
      </c>
      <c r="AF70" s="193">
        <f t="shared" si="36"/>
        <v>74.806179723421153</v>
      </c>
      <c r="AG70" s="193">
        <f t="shared" si="37"/>
        <v>54.06126049587332</v>
      </c>
      <c r="AH70" s="193">
        <f t="shared" si="38"/>
        <v>0.41227113871883631</v>
      </c>
      <c r="AI70" s="198">
        <f t="shared" si="39"/>
        <v>129.27971135801332</v>
      </c>
      <c r="AK70" s="71">
        <v>65</v>
      </c>
      <c r="AL70" s="33">
        <f t="shared" si="55"/>
        <v>0</v>
      </c>
      <c r="AM70" s="33">
        <f t="shared" si="56"/>
        <v>0</v>
      </c>
      <c r="AN70" s="33">
        <f t="shared" si="57"/>
        <v>0</v>
      </c>
      <c r="AO70" s="33">
        <f t="shared" si="58"/>
        <v>0</v>
      </c>
      <c r="AP70" s="33">
        <f t="shared" si="59"/>
        <v>0</v>
      </c>
      <c r="AQ70" s="193">
        <f t="shared" si="60"/>
        <v>0</v>
      </c>
      <c r="AR70" s="193">
        <f t="shared" si="60"/>
        <v>0</v>
      </c>
      <c r="AS70" s="193">
        <f t="shared" si="60"/>
        <v>0</v>
      </c>
      <c r="AT70" s="193">
        <f t="shared" si="60"/>
        <v>0</v>
      </c>
      <c r="AU70" s="33"/>
      <c r="AV70" s="33"/>
      <c r="AW70" s="33"/>
      <c r="AX70" s="33"/>
      <c r="AY70" s="76"/>
    </row>
    <row r="71" spans="2:51">
      <c r="B71" s="40"/>
      <c r="C71" s="151"/>
      <c r="D71" s="136"/>
      <c r="E71" s="140"/>
      <c r="F71" s="42"/>
      <c r="G71" s="51"/>
      <c r="I71" s="55">
        <v>66</v>
      </c>
      <c r="J71" s="33">
        <f t="shared" ref="J71:J134" si="63">IF($I71&lt;=$F$10,$F$11*$F$13+J70,)</f>
        <v>21.63000000000002</v>
      </c>
      <c r="K71" s="33">
        <f t="shared" ref="K71:K134" si="64">IF(J71=0,0,EXP(-1.0587+0.8836*LN(J71)+0.284))</f>
        <v>6.9696024345973786</v>
      </c>
      <c r="L71" s="33">
        <f t="shared" ref="L71:L134" si="65">IF(I71&lt;=$F$10,$F$5+($F$8-$F$5)*(1-EXP(-0.0175*I71)),)</f>
        <v>70</v>
      </c>
      <c r="M71" s="33">
        <f t="shared" ref="M71:M134" si="66">IF(I71&lt;=$F$10,IF(I71&lt;=30,I71*($F$9-$F$6)/30,$F$9-$F$6),)</f>
        <v>10</v>
      </c>
      <c r="N71" s="33">
        <f t="shared" si="46"/>
        <v>0</v>
      </c>
      <c r="O71" s="34">
        <f t="shared" si="47"/>
        <v>343.14430757359042</v>
      </c>
      <c r="P71" s="55">
        <v>66</v>
      </c>
      <c r="Q71" s="33">
        <f t="shared" si="61"/>
        <v>-53.300000000000068</v>
      </c>
      <c r="R71" s="33">
        <f t="shared" ref="R71:R134" si="67">IF(P71&lt;=$F$18,Q71+R70,)</f>
        <v>812.50000000000034</v>
      </c>
      <c r="S71" s="33">
        <f t="shared" ref="S71:S134" si="68">$F$19*R71</f>
        <v>349.37500000000011</v>
      </c>
      <c r="T71" s="33">
        <f t="shared" si="48"/>
        <v>81.433803863229613</v>
      </c>
      <c r="U71" s="33">
        <f t="shared" si="62"/>
        <v>70</v>
      </c>
      <c r="V71" s="33">
        <f t="shared" si="49"/>
        <v>10</v>
      </c>
      <c r="W71" s="33">
        <v>0</v>
      </c>
      <c r="X71" s="33">
        <f t="shared" si="50"/>
        <v>1043.6586667284585</v>
      </c>
      <c r="Y71" s="38">
        <f t="shared" si="51"/>
        <v>700.51435915486809</v>
      </c>
      <c r="AA71" s="71">
        <v>66</v>
      </c>
      <c r="AB71" s="33">
        <f t="shared" si="52"/>
        <v>41</v>
      </c>
      <c r="AC71" s="304">
        <f t="shared" si="41"/>
        <v>0.47499999999999998</v>
      </c>
      <c r="AD71" s="100">
        <f t="shared" si="53"/>
        <v>2.8000000000000028E-2</v>
      </c>
      <c r="AE71" s="100">
        <f t="shared" si="54"/>
        <v>2.200000000000002E-2</v>
      </c>
      <c r="AF71" s="193">
        <f t="shared" si="36"/>
        <v>87.780953274563117</v>
      </c>
      <c r="AG71" s="193">
        <f t="shared" si="37"/>
        <v>53.430899457787149</v>
      </c>
      <c r="AH71" s="193">
        <f t="shared" si="38"/>
        <v>0.86241162246978909</v>
      </c>
      <c r="AI71" s="198">
        <f t="shared" si="39"/>
        <v>142.07426435482006</v>
      </c>
      <c r="AK71" s="71">
        <v>66</v>
      </c>
      <c r="AL71" s="33">
        <f t="shared" si="55"/>
        <v>41</v>
      </c>
      <c r="AM71" s="33">
        <f t="shared" si="56"/>
        <v>0.95</v>
      </c>
      <c r="AN71" s="33">
        <f t="shared" si="57"/>
        <v>2.8000000000000028E-2</v>
      </c>
      <c r="AO71" s="33">
        <f t="shared" si="58"/>
        <v>2.200000000000002E-2</v>
      </c>
      <c r="AP71" s="33">
        <f t="shared" si="59"/>
        <v>0</v>
      </c>
      <c r="AQ71" s="193">
        <f t="shared" si="60"/>
        <v>38.949999999999996</v>
      </c>
      <c r="AR71" s="193">
        <f t="shared" si="60"/>
        <v>1.1480000000000012</v>
      </c>
      <c r="AS71" s="193">
        <f t="shared" si="60"/>
        <v>0.9020000000000008</v>
      </c>
      <c r="AT71" s="193">
        <f t="shared" si="60"/>
        <v>0</v>
      </c>
      <c r="AU71" s="33"/>
      <c r="AV71" s="33"/>
      <c r="AW71" s="33"/>
      <c r="AX71" s="33"/>
      <c r="AY71" s="76"/>
    </row>
    <row r="72" spans="2:51">
      <c r="B72" s="40"/>
      <c r="C72" s="151"/>
      <c r="D72" s="136"/>
      <c r="E72" s="140"/>
      <c r="F72" s="42"/>
      <c r="G72" s="51"/>
      <c r="I72" s="55">
        <v>67</v>
      </c>
      <c r="J72" s="33">
        <f t="shared" si="63"/>
        <v>22.050000000000022</v>
      </c>
      <c r="K72" s="33">
        <f t="shared" si="64"/>
        <v>7.0890476960841928</v>
      </c>
      <c r="L72" s="33">
        <f t="shared" si="65"/>
        <v>70</v>
      </c>
      <c r="M72" s="33">
        <f t="shared" si="66"/>
        <v>10</v>
      </c>
      <c r="N72" s="33">
        <f t="shared" si="46"/>
        <v>0</v>
      </c>
      <c r="O72" s="34">
        <f t="shared" si="47"/>
        <v>344.08384140401336</v>
      </c>
      <c r="P72" s="55">
        <v>67</v>
      </c>
      <c r="Q72" s="33">
        <f t="shared" si="61"/>
        <v>24.375</v>
      </c>
      <c r="R72" s="33">
        <f t="shared" si="67"/>
        <v>836.87500000000034</v>
      </c>
      <c r="S72" s="33">
        <f t="shared" si="68"/>
        <v>359.85625000000016</v>
      </c>
      <c r="T72" s="33">
        <f t="shared" si="48"/>
        <v>83.588723559340238</v>
      </c>
      <c r="U72" s="33">
        <f t="shared" si="62"/>
        <v>70</v>
      </c>
      <c r="V72" s="33">
        <f t="shared" si="49"/>
        <v>10</v>
      </c>
      <c r="W72" s="33">
        <v>0</v>
      </c>
      <c r="X72" s="33">
        <f t="shared" si="50"/>
        <v>1065.6666622825176</v>
      </c>
      <c r="Y72" s="38">
        <f t="shared" si="51"/>
        <v>721.58282087850421</v>
      </c>
      <c r="AA72" s="71">
        <v>67</v>
      </c>
      <c r="AB72" s="33">
        <f t="shared" si="52"/>
        <v>0</v>
      </c>
      <c r="AC72" s="304">
        <f t="shared" si="41"/>
        <v>0</v>
      </c>
      <c r="AD72" s="100">
        <f t="shared" si="53"/>
        <v>0</v>
      </c>
      <c r="AE72" s="100">
        <f t="shared" si="54"/>
        <v>0</v>
      </c>
      <c r="AF72" s="193">
        <f t="shared" si="36"/>
        <v>86.059622321943692</v>
      </c>
      <c r="AG72" s="193">
        <f t="shared" si="37"/>
        <v>51.969828702305072</v>
      </c>
      <c r="AH72" s="193">
        <f t="shared" si="38"/>
        <v>0.60981710642248066</v>
      </c>
      <c r="AI72" s="198">
        <f t="shared" si="39"/>
        <v>138.63926813067124</v>
      </c>
      <c r="AK72" s="71">
        <v>67</v>
      </c>
      <c r="AL72" s="33">
        <f t="shared" si="55"/>
        <v>0</v>
      </c>
      <c r="AM72" s="33">
        <f t="shared" si="56"/>
        <v>0</v>
      </c>
      <c r="AN72" s="33">
        <f t="shared" si="57"/>
        <v>0</v>
      </c>
      <c r="AO72" s="33">
        <f t="shared" si="58"/>
        <v>0</v>
      </c>
      <c r="AP72" s="33">
        <f t="shared" si="59"/>
        <v>0</v>
      </c>
      <c r="AQ72" s="193">
        <f t="shared" si="60"/>
        <v>0</v>
      </c>
      <c r="AR72" s="193">
        <f t="shared" si="60"/>
        <v>0</v>
      </c>
      <c r="AS72" s="193">
        <f t="shared" si="60"/>
        <v>0</v>
      </c>
      <c r="AT72" s="193">
        <f t="shared" si="60"/>
        <v>0</v>
      </c>
      <c r="AU72" s="33"/>
      <c r="AV72" s="33"/>
      <c r="AW72" s="33"/>
      <c r="AX72" s="33"/>
      <c r="AY72" s="76"/>
    </row>
    <row r="73" spans="2:51">
      <c r="B73" s="40"/>
      <c r="C73" s="151"/>
      <c r="D73" s="136"/>
      <c r="E73" s="140"/>
      <c r="F73" s="42"/>
      <c r="G73" s="51"/>
      <c r="I73" s="55">
        <v>68</v>
      </c>
      <c r="J73" s="33">
        <f t="shared" si="63"/>
        <v>22.470000000000024</v>
      </c>
      <c r="K73" s="33">
        <f t="shared" si="64"/>
        <v>7.208228406814932</v>
      </c>
      <c r="L73" s="33">
        <f t="shared" si="65"/>
        <v>70</v>
      </c>
      <c r="M73" s="33">
        <f t="shared" si="66"/>
        <v>10</v>
      </c>
      <c r="N73" s="33">
        <f t="shared" si="46"/>
        <v>0</v>
      </c>
      <c r="O73" s="34">
        <f t="shared" si="47"/>
        <v>345.0229144752027</v>
      </c>
      <c r="P73" s="55">
        <v>68</v>
      </c>
      <c r="Q73" s="33">
        <f t="shared" si="61"/>
        <v>24.375</v>
      </c>
      <c r="R73" s="33">
        <f t="shared" si="67"/>
        <v>861.25000000000034</v>
      </c>
      <c r="S73" s="33">
        <f t="shared" si="68"/>
        <v>370.33750000000015</v>
      </c>
      <c r="T73" s="33">
        <f t="shared" si="48"/>
        <v>85.736348730685762</v>
      </c>
      <c r="U73" s="33">
        <f t="shared" si="62"/>
        <v>70</v>
      </c>
      <c r="V73" s="33">
        <f t="shared" si="49"/>
        <v>10</v>
      </c>
      <c r="W73" s="33">
        <v>0</v>
      </c>
      <c r="X73" s="33">
        <f t="shared" si="50"/>
        <v>1087.6619532059447</v>
      </c>
      <c r="Y73" s="38">
        <f t="shared" si="51"/>
        <v>742.63903873074196</v>
      </c>
      <c r="AA73" s="71">
        <v>68</v>
      </c>
      <c r="AB73" s="33">
        <f t="shared" si="52"/>
        <v>0</v>
      </c>
      <c r="AC73" s="304">
        <f t="shared" si="41"/>
        <v>0</v>
      </c>
      <c r="AD73" s="100">
        <f t="shared" si="53"/>
        <v>0</v>
      </c>
      <c r="AE73" s="100">
        <f t="shared" si="54"/>
        <v>0</v>
      </c>
      <c r="AF73" s="193">
        <f t="shared" si="36"/>
        <v>84.372045619396914</v>
      </c>
      <c r="AG73" s="193">
        <f t="shared" si="37"/>
        <v>50.548711003466025</v>
      </c>
      <c r="AH73" s="193">
        <f t="shared" si="38"/>
        <v>0.43120581123489465</v>
      </c>
      <c r="AI73" s="198">
        <f t="shared" si="39"/>
        <v>135.35196243409783</v>
      </c>
      <c r="AK73" s="71">
        <v>68</v>
      </c>
      <c r="AL73" s="33">
        <f t="shared" si="55"/>
        <v>0</v>
      </c>
      <c r="AM73" s="33">
        <f t="shared" si="56"/>
        <v>0</v>
      </c>
      <c r="AN73" s="33">
        <f t="shared" si="57"/>
        <v>0</v>
      </c>
      <c r="AO73" s="33">
        <f t="shared" si="58"/>
        <v>0</v>
      </c>
      <c r="AP73" s="33">
        <f t="shared" si="59"/>
        <v>0</v>
      </c>
      <c r="AQ73" s="193">
        <f t="shared" si="60"/>
        <v>0</v>
      </c>
      <c r="AR73" s="193">
        <f t="shared" si="60"/>
        <v>0</v>
      </c>
      <c r="AS73" s="193">
        <f t="shared" si="60"/>
        <v>0</v>
      </c>
      <c r="AT73" s="193">
        <f t="shared" si="60"/>
        <v>0</v>
      </c>
      <c r="AU73" s="33"/>
      <c r="AV73" s="33"/>
      <c r="AW73" s="33"/>
      <c r="AX73" s="33"/>
      <c r="AY73" s="76"/>
    </row>
    <row r="74" spans="2:51">
      <c r="B74" s="40"/>
      <c r="C74" s="151"/>
      <c r="D74" s="136"/>
      <c r="E74" s="140"/>
      <c r="F74" s="42"/>
      <c r="G74" s="51"/>
      <c r="I74" s="55">
        <v>69</v>
      </c>
      <c r="J74" s="33">
        <f t="shared" si="63"/>
        <v>22.890000000000025</v>
      </c>
      <c r="K74" s="33">
        <f t="shared" si="64"/>
        <v>7.3271500818935387</v>
      </c>
      <c r="L74" s="33">
        <f t="shared" si="65"/>
        <v>70</v>
      </c>
      <c r="M74" s="33">
        <f t="shared" si="66"/>
        <v>10</v>
      </c>
      <c r="N74" s="33">
        <f t="shared" si="46"/>
        <v>0</v>
      </c>
      <c r="O74" s="34">
        <f t="shared" si="47"/>
        <v>345.96153639263122</v>
      </c>
      <c r="P74" s="55">
        <v>69</v>
      </c>
      <c r="Q74" s="33">
        <f t="shared" si="61"/>
        <v>24.375</v>
      </c>
      <c r="R74" s="33">
        <f t="shared" si="67"/>
        <v>885.62500000000034</v>
      </c>
      <c r="S74" s="33">
        <f t="shared" si="68"/>
        <v>380.81875000000014</v>
      </c>
      <c r="T74" s="33">
        <f t="shared" si="48"/>
        <v>87.876909539758699</v>
      </c>
      <c r="U74" s="33">
        <f t="shared" si="62"/>
        <v>70</v>
      </c>
      <c r="V74" s="33">
        <f t="shared" si="49"/>
        <v>10</v>
      </c>
      <c r="W74" s="33">
        <v>0</v>
      </c>
      <c r="X74" s="33">
        <f t="shared" si="50"/>
        <v>1109.6449403650797</v>
      </c>
      <c r="Y74" s="38">
        <f t="shared" si="51"/>
        <v>763.68340397244856</v>
      </c>
      <c r="AA74" s="71">
        <v>69</v>
      </c>
      <c r="AB74" s="33">
        <f t="shared" si="52"/>
        <v>0</v>
      </c>
      <c r="AC74" s="304">
        <f t="shared" si="41"/>
        <v>0</v>
      </c>
      <c r="AD74" s="100">
        <f t="shared" si="53"/>
        <v>0</v>
      </c>
      <c r="AE74" s="100">
        <f t="shared" si="54"/>
        <v>0</v>
      </c>
      <c r="AF74" s="193">
        <f t="shared" si="36"/>
        <v>82.717561266666934</v>
      </c>
      <c r="AG74" s="193">
        <f t="shared" si="37"/>
        <v>49.166453842835068</v>
      </c>
      <c r="AH74" s="193">
        <f t="shared" si="38"/>
        <v>0.30490855321124039</v>
      </c>
      <c r="AI74" s="198">
        <f t="shared" si="39"/>
        <v>132.18892366271325</v>
      </c>
      <c r="AK74" s="71">
        <v>69</v>
      </c>
      <c r="AL74" s="33">
        <f t="shared" si="55"/>
        <v>0</v>
      </c>
      <c r="AM74" s="33">
        <f t="shared" si="56"/>
        <v>0</v>
      </c>
      <c r="AN74" s="33">
        <f t="shared" si="57"/>
        <v>0</v>
      </c>
      <c r="AO74" s="33">
        <f t="shared" si="58"/>
        <v>0</v>
      </c>
      <c r="AP74" s="33">
        <f t="shared" si="59"/>
        <v>0</v>
      </c>
      <c r="AQ74" s="193">
        <f t="shared" si="60"/>
        <v>0</v>
      </c>
      <c r="AR74" s="193">
        <f t="shared" si="60"/>
        <v>0</v>
      </c>
      <c r="AS74" s="193">
        <f t="shared" si="60"/>
        <v>0</v>
      </c>
      <c r="AT74" s="193">
        <f t="shared" si="60"/>
        <v>0</v>
      </c>
      <c r="AU74" s="33"/>
      <c r="AV74" s="33"/>
      <c r="AW74" s="33"/>
      <c r="AX74" s="33"/>
      <c r="AY74" s="76"/>
    </row>
    <row r="75" spans="2:51">
      <c r="B75" s="40"/>
      <c r="C75" s="151"/>
      <c r="D75" s="136"/>
      <c r="E75" s="140"/>
      <c r="F75" s="42"/>
      <c r="G75" s="51"/>
      <c r="I75" s="55">
        <v>70</v>
      </c>
      <c r="J75" s="33">
        <f t="shared" si="63"/>
        <v>23.310000000000027</v>
      </c>
      <c r="K75" s="33">
        <f t="shared" si="64"/>
        <v>7.4458180224483508</v>
      </c>
      <c r="L75" s="33">
        <f t="shared" si="65"/>
        <v>70</v>
      </c>
      <c r="M75" s="33">
        <f t="shared" si="66"/>
        <v>10</v>
      </c>
      <c r="N75" s="33">
        <f t="shared" si="46"/>
        <v>0</v>
      </c>
      <c r="O75" s="34">
        <f t="shared" si="47"/>
        <v>346.89971638909759</v>
      </c>
      <c r="P75" s="55">
        <v>70</v>
      </c>
      <c r="Q75" s="33">
        <f t="shared" si="61"/>
        <v>24.375</v>
      </c>
      <c r="R75" s="33">
        <f t="shared" si="67"/>
        <v>910.00000000000034</v>
      </c>
      <c r="S75" s="33">
        <f t="shared" si="68"/>
        <v>391.30000000000013</v>
      </c>
      <c r="T75" s="33">
        <f t="shared" si="48"/>
        <v>90.010622758534694</v>
      </c>
      <c r="U75" s="33">
        <f t="shared" si="62"/>
        <v>70</v>
      </c>
      <c r="V75" s="33">
        <f t="shared" si="49"/>
        <v>10</v>
      </c>
      <c r="W75" s="33">
        <v>0</v>
      </c>
      <c r="X75" s="33">
        <f t="shared" si="50"/>
        <v>1131.616001304448</v>
      </c>
      <c r="Y75" s="38">
        <f t="shared" si="51"/>
        <v>784.71628491535034</v>
      </c>
      <c r="AA75" s="71">
        <v>70</v>
      </c>
      <c r="AB75" s="33">
        <f t="shared" si="52"/>
        <v>0</v>
      </c>
      <c r="AC75" s="304">
        <f t="shared" si="41"/>
        <v>0</v>
      </c>
      <c r="AD75" s="100">
        <f t="shared" si="53"/>
        <v>0</v>
      </c>
      <c r="AE75" s="100">
        <f t="shared" si="54"/>
        <v>0</v>
      </c>
      <c r="AF75" s="193">
        <f t="shared" si="36"/>
        <v>81.095520342958181</v>
      </c>
      <c r="AG75" s="193">
        <f t="shared" si="37"/>
        <v>47.821994576951305</v>
      </c>
      <c r="AH75" s="193">
        <f t="shared" si="38"/>
        <v>0.21560290561744735</v>
      </c>
      <c r="AI75" s="198">
        <f t="shared" si="39"/>
        <v>129.13311782552694</v>
      </c>
      <c r="AK75" s="71">
        <v>70</v>
      </c>
      <c r="AL75" s="33">
        <f t="shared" si="55"/>
        <v>0</v>
      </c>
      <c r="AM75" s="33">
        <f t="shared" si="56"/>
        <v>0</v>
      </c>
      <c r="AN75" s="33">
        <f t="shared" si="57"/>
        <v>0</v>
      </c>
      <c r="AO75" s="33">
        <f t="shared" si="58"/>
        <v>0</v>
      </c>
      <c r="AP75" s="33">
        <f t="shared" si="59"/>
        <v>0</v>
      </c>
      <c r="AQ75" s="193">
        <f t="shared" si="60"/>
        <v>0</v>
      </c>
      <c r="AR75" s="193">
        <f t="shared" si="60"/>
        <v>0</v>
      </c>
      <c r="AS75" s="193">
        <f t="shared" si="60"/>
        <v>0</v>
      </c>
      <c r="AT75" s="193">
        <f t="shared" si="60"/>
        <v>0</v>
      </c>
      <c r="AU75" s="33"/>
      <c r="AV75" s="33"/>
      <c r="AW75" s="33"/>
      <c r="AX75" s="33"/>
      <c r="AY75" s="76"/>
    </row>
    <row r="76" spans="2:51">
      <c r="B76" s="40"/>
      <c r="C76" s="151"/>
      <c r="D76" s="136"/>
      <c r="E76" s="140"/>
      <c r="F76" s="42"/>
      <c r="G76" s="51"/>
      <c r="I76" s="55">
        <v>71</v>
      </c>
      <c r="J76" s="33">
        <f t="shared" si="63"/>
        <v>23.730000000000029</v>
      </c>
      <c r="K76" s="33">
        <f t="shared" si="64"/>
        <v>7.5642373276371462</v>
      </c>
      <c r="L76" s="33">
        <f t="shared" si="65"/>
        <v>70</v>
      </c>
      <c r="M76" s="33">
        <f t="shared" si="66"/>
        <v>10</v>
      </c>
      <c r="N76" s="33">
        <f t="shared" si="46"/>
        <v>0</v>
      </c>
      <c r="O76" s="34">
        <f t="shared" si="47"/>
        <v>347.83746334563472</v>
      </c>
      <c r="P76" s="55">
        <v>71</v>
      </c>
      <c r="Q76" s="33">
        <f t="shared" si="61"/>
        <v>-50.699999999999932</v>
      </c>
      <c r="R76" s="33">
        <f t="shared" si="67"/>
        <v>859.30000000000041</v>
      </c>
      <c r="S76" s="33">
        <f t="shared" si="68"/>
        <v>369.49900000000019</v>
      </c>
      <c r="T76" s="33">
        <f t="shared" si="48"/>
        <v>85.564801646421571</v>
      </c>
      <c r="U76" s="33">
        <f t="shared" si="62"/>
        <v>70</v>
      </c>
      <c r="V76" s="33">
        <f t="shared" si="49"/>
        <v>10</v>
      </c>
      <c r="W76" s="33">
        <v>0</v>
      </c>
      <c r="X76" s="33">
        <f t="shared" si="50"/>
        <v>1085.9027878675179</v>
      </c>
      <c r="Y76" s="38">
        <f t="shared" si="51"/>
        <v>738.06532452188321</v>
      </c>
      <c r="AA76" s="71">
        <v>71</v>
      </c>
      <c r="AB76" s="33">
        <f t="shared" si="52"/>
        <v>0</v>
      </c>
      <c r="AC76" s="304">
        <f t="shared" si="41"/>
        <v>0</v>
      </c>
      <c r="AD76" s="100">
        <f t="shared" si="53"/>
        <v>0</v>
      </c>
      <c r="AE76" s="100">
        <f t="shared" si="54"/>
        <v>0</v>
      </c>
      <c r="AF76" s="193">
        <f t="shared" si="36"/>
        <v>79.505286652416075</v>
      </c>
      <c r="AG76" s="193">
        <f t="shared" si="37"/>
        <v>46.514299620395178</v>
      </c>
      <c r="AH76" s="193">
        <f t="shared" si="38"/>
        <v>0.15245427660562022</v>
      </c>
      <c r="AI76" s="198">
        <f t="shared" si="39"/>
        <v>126.17204054941688</v>
      </c>
      <c r="AK76" s="71">
        <v>71</v>
      </c>
      <c r="AL76" s="33">
        <f t="shared" si="55"/>
        <v>0</v>
      </c>
      <c r="AM76" s="33">
        <f t="shared" si="56"/>
        <v>0</v>
      </c>
      <c r="AN76" s="33">
        <f t="shared" si="57"/>
        <v>0</v>
      </c>
      <c r="AO76" s="33">
        <f t="shared" si="58"/>
        <v>0</v>
      </c>
      <c r="AP76" s="33">
        <f t="shared" si="59"/>
        <v>0</v>
      </c>
      <c r="AQ76" s="193">
        <f t="shared" si="60"/>
        <v>0</v>
      </c>
      <c r="AR76" s="193">
        <f t="shared" si="60"/>
        <v>0</v>
      </c>
      <c r="AS76" s="193">
        <f t="shared" si="60"/>
        <v>0</v>
      </c>
      <c r="AT76" s="193">
        <f t="shared" si="60"/>
        <v>0</v>
      </c>
      <c r="AU76" s="33"/>
      <c r="AV76" s="33"/>
      <c r="AW76" s="33"/>
      <c r="AX76" s="33"/>
      <c r="AY76" s="76"/>
    </row>
    <row r="77" spans="2:51">
      <c r="B77" s="40"/>
      <c r="C77" s="151"/>
      <c r="D77" s="136"/>
      <c r="E77" s="140"/>
      <c r="F77" s="42"/>
      <c r="G77" s="51"/>
      <c r="I77" s="55">
        <v>72</v>
      </c>
      <c r="J77" s="33">
        <f t="shared" si="63"/>
        <v>24.150000000000031</v>
      </c>
      <c r="K77" s="33">
        <f t="shared" si="64"/>
        <v>7.6824129057781763</v>
      </c>
      <c r="L77" s="33">
        <f t="shared" si="65"/>
        <v>70</v>
      </c>
      <c r="M77" s="33">
        <f t="shared" si="66"/>
        <v>10</v>
      </c>
      <c r="N77" s="33">
        <f t="shared" si="46"/>
        <v>0</v>
      </c>
      <c r="O77" s="34">
        <f t="shared" si="47"/>
        <v>348.77478581089707</v>
      </c>
      <c r="P77" s="55">
        <v>72</v>
      </c>
      <c r="Q77" s="33">
        <f t="shared" si="61"/>
        <v>22.424999999999983</v>
      </c>
      <c r="R77" s="33">
        <f t="shared" si="67"/>
        <v>881.72500000000036</v>
      </c>
      <c r="S77" s="33">
        <f t="shared" si="68"/>
        <v>379.14175000000017</v>
      </c>
      <c r="T77" s="33">
        <f t="shared" si="48"/>
        <v>87.534885448818017</v>
      </c>
      <c r="U77" s="33">
        <f t="shared" si="62"/>
        <v>70</v>
      </c>
      <c r="V77" s="33">
        <f t="shared" si="49"/>
        <v>10</v>
      </c>
      <c r="W77" s="33">
        <v>0</v>
      </c>
      <c r="X77" s="33">
        <f t="shared" si="50"/>
        <v>1106.1284734066915</v>
      </c>
      <c r="Y77" s="38">
        <f t="shared" si="51"/>
        <v>757.35368759579433</v>
      </c>
      <c r="AA77" s="71">
        <v>72</v>
      </c>
      <c r="AB77" s="33">
        <f t="shared" si="52"/>
        <v>0</v>
      </c>
      <c r="AC77" s="304">
        <f t="shared" si="41"/>
        <v>0</v>
      </c>
      <c r="AD77" s="100">
        <f t="shared" si="53"/>
        <v>0</v>
      </c>
      <c r="AE77" s="100">
        <f t="shared" si="54"/>
        <v>0</v>
      </c>
      <c r="AF77" s="193">
        <f t="shared" si="36"/>
        <v>77.94623647459872</v>
      </c>
      <c r="AG77" s="193">
        <f t="shared" si="37"/>
        <v>45.242363651194765</v>
      </c>
      <c r="AH77" s="193">
        <f t="shared" si="38"/>
        <v>0.10780145280872369</v>
      </c>
      <c r="AI77" s="198">
        <f t="shared" si="39"/>
        <v>123.29640157860221</v>
      </c>
      <c r="AK77" s="71">
        <v>72</v>
      </c>
      <c r="AL77" s="33">
        <f t="shared" si="55"/>
        <v>0</v>
      </c>
      <c r="AM77" s="33">
        <f t="shared" si="56"/>
        <v>0</v>
      </c>
      <c r="AN77" s="33">
        <f t="shared" si="57"/>
        <v>0</v>
      </c>
      <c r="AO77" s="33">
        <f t="shared" si="58"/>
        <v>0</v>
      </c>
      <c r="AP77" s="33">
        <f t="shared" si="59"/>
        <v>0</v>
      </c>
      <c r="AQ77" s="193">
        <f t="shared" si="60"/>
        <v>0</v>
      </c>
      <c r="AR77" s="193">
        <f t="shared" si="60"/>
        <v>0</v>
      </c>
      <c r="AS77" s="193">
        <f t="shared" si="60"/>
        <v>0</v>
      </c>
      <c r="AT77" s="193">
        <f t="shared" si="60"/>
        <v>0</v>
      </c>
      <c r="AU77" s="33"/>
      <c r="AV77" s="33"/>
      <c r="AW77" s="33"/>
      <c r="AX77" s="33"/>
      <c r="AY77" s="76"/>
    </row>
    <row r="78" spans="2:51">
      <c r="B78" s="43"/>
      <c r="C78" s="152"/>
      <c r="D78" s="153"/>
      <c r="E78" s="143"/>
      <c r="F78" s="44"/>
      <c r="G78" s="52"/>
      <c r="I78" s="55">
        <v>73</v>
      </c>
      <c r="J78" s="33">
        <f t="shared" si="63"/>
        <v>24.570000000000032</v>
      </c>
      <c r="K78" s="33">
        <f t="shared" si="64"/>
        <v>7.8003494846849346</v>
      </c>
      <c r="L78" s="33">
        <f t="shared" si="65"/>
        <v>70</v>
      </c>
      <c r="M78" s="33">
        <f t="shared" si="66"/>
        <v>10</v>
      </c>
      <c r="N78" s="33">
        <f t="shared" si="46"/>
        <v>0</v>
      </c>
      <c r="O78" s="34">
        <f t="shared" si="47"/>
        <v>349.71169201915967</v>
      </c>
      <c r="P78" s="55">
        <v>73</v>
      </c>
      <c r="Q78" s="33">
        <f t="shared" si="61"/>
        <v>22.424999999999983</v>
      </c>
      <c r="R78" s="33">
        <f t="shared" si="67"/>
        <v>904.15000000000032</v>
      </c>
      <c r="S78" s="33">
        <f t="shared" si="68"/>
        <v>388.78450000000015</v>
      </c>
      <c r="T78" s="33">
        <f t="shared" si="48"/>
        <v>89.49914495072737</v>
      </c>
      <c r="U78" s="33">
        <f t="shared" si="62"/>
        <v>70</v>
      </c>
      <c r="V78" s="33">
        <f t="shared" si="49"/>
        <v>10</v>
      </c>
      <c r="W78" s="33">
        <v>0</v>
      </c>
      <c r="X78" s="33">
        <f t="shared" si="50"/>
        <v>1126.3440149558505</v>
      </c>
      <c r="Y78" s="38">
        <f t="shared" si="51"/>
        <v>776.6323229366908</v>
      </c>
      <c r="AA78" s="71">
        <v>73</v>
      </c>
      <c r="AB78" s="33">
        <f t="shared" si="52"/>
        <v>0</v>
      </c>
      <c r="AC78" s="304">
        <f t="shared" si="41"/>
        <v>0</v>
      </c>
      <c r="AD78" s="100">
        <f t="shared" si="53"/>
        <v>0</v>
      </c>
      <c r="AE78" s="100">
        <f t="shared" si="54"/>
        <v>0</v>
      </c>
      <c r="AF78" s="193">
        <f t="shared" si="36"/>
        <v>76.417758319841653</v>
      </c>
      <c r="AG78" s="193">
        <f t="shared" si="37"/>
        <v>44.005208837960339</v>
      </c>
      <c r="AH78" s="193">
        <f t="shared" si="38"/>
        <v>7.6227138302810124E-2</v>
      </c>
      <c r="AI78" s="198">
        <f t="shared" si="39"/>
        <v>120.4991942961048</v>
      </c>
      <c r="AK78" s="71">
        <v>73</v>
      </c>
      <c r="AL78" s="33">
        <f t="shared" si="55"/>
        <v>0</v>
      </c>
      <c r="AM78" s="33">
        <f t="shared" si="56"/>
        <v>0</v>
      </c>
      <c r="AN78" s="33">
        <f t="shared" si="57"/>
        <v>0</v>
      </c>
      <c r="AO78" s="33">
        <f t="shared" si="58"/>
        <v>0</v>
      </c>
      <c r="AP78" s="33">
        <f t="shared" si="59"/>
        <v>0</v>
      </c>
      <c r="AQ78" s="193">
        <f t="shared" si="60"/>
        <v>0</v>
      </c>
      <c r="AR78" s="193">
        <f t="shared" si="60"/>
        <v>0</v>
      </c>
      <c r="AS78" s="193">
        <f t="shared" si="60"/>
        <v>0</v>
      </c>
      <c r="AT78" s="193">
        <f t="shared" si="60"/>
        <v>0</v>
      </c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63"/>
        <v>24.990000000000034</v>
      </c>
      <c r="K79" s="33">
        <f t="shared" si="64"/>
        <v>7.9180516212743148</v>
      </c>
      <c r="L79" s="33">
        <f t="shared" si="65"/>
        <v>70</v>
      </c>
      <c r="M79" s="33">
        <f t="shared" si="66"/>
        <v>10</v>
      </c>
      <c r="N79" s="33">
        <f t="shared" si="46"/>
        <v>0</v>
      </c>
      <c r="O79" s="34">
        <f t="shared" si="47"/>
        <v>350.64818990705277</v>
      </c>
      <c r="P79" s="55">
        <v>74</v>
      </c>
      <c r="Q79" s="33">
        <f t="shared" si="61"/>
        <v>22.424999999999983</v>
      </c>
      <c r="R79" s="33">
        <f t="shared" si="67"/>
        <v>926.57500000000027</v>
      </c>
      <c r="S79" s="33">
        <f t="shared" si="68"/>
        <v>398.42725000000013</v>
      </c>
      <c r="T79" s="33">
        <f t="shared" si="48"/>
        <v>91.457741223720575</v>
      </c>
      <c r="U79" s="33">
        <f t="shared" si="62"/>
        <v>70</v>
      </c>
      <c r="V79" s="33">
        <f t="shared" si="49"/>
        <v>10</v>
      </c>
      <c r="W79" s="33">
        <v>0</v>
      </c>
      <c r="X79" s="33">
        <f t="shared" si="50"/>
        <v>1146.5496930479801</v>
      </c>
      <c r="Y79" s="38">
        <f t="shared" si="51"/>
        <v>795.90150314092739</v>
      </c>
      <c r="AA79" s="71">
        <v>74</v>
      </c>
      <c r="AB79" s="33">
        <f t="shared" si="52"/>
        <v>0</v>
      </c>
      <c r="AC79" s="304">
        <f t="shared" si="41"/>
        <v>0</v>
      </c>
      <c r="AD79" s="100">
        <f t="shared" si="53"/>
        <v>0</v>
      </c>
      <c r="AE79" s="100">
        <f t="shared" si="54"/>
        <v>0</v>
      </c>
      <c r="AF79" s="193">
        <f t="shared" si="36"/>
        <v>74.91925268941975</v>
      </c>
      <c r="AG79" s="193">
        <f t="shared" si="37"/>
        <v>42.801884088152953</v>
      </c>
      <c r="AH79" s="193">
        <f t="shared" si="38"/>
        <v>5.3900726404361859E-2</v>
      </c>
      <c r="AI79" s="198">
        <f t="shared" si="39"/>
        <v>117.77503750397706</v>
      </c>
      <c r="AK79" s="71">
        <v>74</v>
      </c>
      <c r="AL79" s="33">
        <f t="shared" si="55"/>
        <v>0</v>
      </c>
      <c r="AM79" s="33">
        <f t="shared" si="56"/>
        <v>0</v>
      </c>
      <c r="AN79" s="33">
        <f t="shared" si="57"/>
        <v>0</v>
      </c>
      <c r="AO79" s="33">
        <f t="shared" si="58"/>
        <v>0</v>
      </c>
      <c r="AP79" s="33">
        <f t="shared" si="59"/>
        <v>0</v>
      </c>
      <c r="AQ79" s="193">
        <f t="shared" si="60"/>
        <v>0</v>
      </c>
      <c r="AR79" s="193">
        <f t="shared" si="60"/>
        <v>0</v>
      </c>
      <c r="AS79" s="193">
        <f t="shared" si="60"/>
        <v>0</v>
      </c>
      <c r="AT79" s="193">
        <f t="shared" si="60"/>
        <v>0</v>
      </c>
      <c r="AU79" s="33"/>
      <c r="AV79" s="33"/>
      <c r="AW79" s="33"/>
      <c r="AX79" s="33"/>
      <c r="AY79" s="76"/>
    </row>
    <row r="80" spans="2:51">
      <c r="B80" s="357" t="s">
        <v>259</v>
      </c>
      <c r="C80" s="358"/>
      <c r="D80" s="358"/>
      <c r="E80" s="358"/>
      <c r="F80" s="358"/>
      <c r="G80" s="359"/>
      <c r="H80" s="23"/>
      <c r="I80" s="55">
        <v>75</v>
      </c>
      <c r="J80" s="33">
        <f t="shared" si="63"/>
        <v>25.410000000000036</v>
      </c>
      <c r="K80" s="33">
        <f t="shared" si="64"/>
        <v>8.0355237105104518</v>
      </c>
      <c r="L80" s="33">
        <f t="shared" si="65"/>
        <v>70</v>
      </c>
      <c r="M80" s="33">
        <f t="shared" si="66"/>
        <v>10</v>
      </c>
      <c r="N80" s="33">
        <f t="shared" si="46"/>
        <v>0</v>
      </c>
      <c r="O80" s="34">
        <f t="shared" si="47"/>
        <v>351.58428712913906</v>
      </c>
      <c r="P80" s="55">
        <v>75</v>
      </c>
      <c r="Q80" s="33">
        <f t="shared" si="61"/>
        <v>22.424999999999983</v>
      </c>
      <c r="R80" s="33">
        <f t="shared" si="67"/>
        <v>949.00000000000023</v>
      </c>
      <c r="S80" s="33">
        <f t="shared" si="68"/>
        <v>408.07000000000011</v>
      </c>
      <c r="T80" s="33">
        <f t="shared" si="48"/>
        <v>93.410827098278034</v>
      </c>
      <c r="U80" s="33">
        <f t="shared" si="62"/>
        <v>70</v>
      </c>
      <c r="V80" s="33">
        <f t="shared" si="49"/>
        <v>10</v>
      </c>
      <c r="W80" s="33">
        <v>0</v>
      </c>
      <c r="X80" s="33">
        <f t="shared" si="50"/>
        <v>1166.7457738628345</v>
      </c>
      <c r="Y80" s="38">
        <f t="shared" si="51"/>
        <v>815.16148673369548</v>
      </c>
      <c r="AA80" s="71">
        <v>75</v>
      </c>
      <c r="AB80" s="33">
        <f t="shared" si="52"/>
        <v>0</v>
      </c>
      <c r="AC80" s="304">
        <f t="shared" si="41"/>
        <v>0</v>
      </c>
      <c r="AD80" s="100">
        <f t="shared" si="53"/>
        <v>0</v>
      </c>
      <c r="AE80" s="100">
        <f t="shared" si="54"/>
        <v>0</v>
      </c>
      <c r="AF80" s="193">
        <f t="shared" si="36"/>
        <v>73.45013184041224</v>
      </c>
      <c r="AG80" s="193">
        <f t="shared" si="37"/>
        <v>41.631464316909153</v>
      </c>
      <c r="AH80" s="193">
        <f t="shared" si="38"/>
        <v>3.8113569151405069E-2</v>
      </c>
      <c r="AI80" s="198">
        <f t="shared" si="39"/>
        <v>115.11970972647281</v>
      </c>
      <c r="AK80" s="71">
        <v>75</v>
      </c>
      <c r="AL80" s="33">
        <f t="shared" si="55"/>
        <v>0</v>
      </c>
      <c r="AM80" s="33">
        <f t="shared" si="56"/>
        <v>0</v>
      </c>
      <c r="AN80" s="33">
        <f t="shared" si="57"/>
        <v>0</v>
      </c>
      <c r="AO80" s="33">
        <f t="shared" si="58"/>
        <v>0</v>
      </c>
      <c r="AP80" s="33">
        <f t="shared" si="59"/>
        <v>0</v>
      </c>
      <c r="AQ80" s="193">
        <f t="shared" si="60"/>
        <v>0</v>
      </c>
      <c r="AR80" s="193">
        <f t="shared" si="60"/>
        <v>0</v>
      </c>
      <c r="AS80" s="193">
        <f t="shared" si="60"/>
        <v>0</v>
      </c>
      <c r="AT80" s="193">
        <f t="shared" si="60"/>
        <v>0</v>
      </c>
      <c r="AU80" s="33"/>
      <c r="AV80" s="33"/>
      <c r="AW80" s="33"/>
      <c r="AX80" s="33"/>
      <c r="AY80" s="76"/>
    </row>
    <row r="81" spans="2:51">
      <c r="B81" s="155" t="s">
        <v>76</v>
      </c>
      <c r="C81" s="131" t="s">
        <v>156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7"/>
      <c r="I81" s="55">
        <v>76</v>
      </c>
      <c r="J81" s="33">
        <f t="shared" si="63"/>
        <v>25.830000000000037</v>
      </c>
      <c r="K81" s="33">
        <f t="shared" si="64"/>
        <v>8.1527699937405416</v>
      </c>
      <c r="L81" s="33">
        <f t="shared" si="65"/>
        <v>70</v>
      </c>
      <c r="M81" s="33">
        <f t="shared" si="66"/>
        <v>10</v>
      </c>
      <c r="N81" s="33">
        <f t="shared" si="46"/>
        <v>0</v>
      </c>
      <c r="O81" s="34">
        <f t="shared" si="47"/>
        <v>352.51999107243154</v>
      </c>
      <c r="P81" s="55">
        <v>76</v>
      </c>
      <c r="Q81" s="33">
        <f t="shared" si="61"/>
        <v>-46.799999999999955</v>
      </c>
      <c r="R81" s="33">
        <f t="shared" si="67"/>
        <v>902.20000000000027</v>
      </c>
      <c r="S81" s="33">
        <f t="shared" si="68"/>
        <v>387.94600000000008</v>
      </c>
      <c r="T81" s="33">
        <f t="shared" si="48"/>
        <v>89.328566851116761</v>
      </c>
      <c r="U81" s="33">
        <f t="shared" si="62"/>
        <v>70</v>
      </c>
      <c r="V81" s="33">
        <f t="shared" si="49"/>
        <v>10</v>
      </c>
      <c r="W81" s="33">
        <v>0</v>
      </c>
      <c r="X81" s="33">
        <f t="shared" si="50"/>
        <v>1124.5865372656951</v>
      </c>
      <c r="Y81" s="38">
        <f t="shared" si="51"/>
        <v>772.06654619326355</v>
      </c>
      <c r="AA81" s="71">
        <v>76</v>
      </c>
      <c r="AB81" s="33">
        <f t="shared" si="52"/>
        <v>0</v>
      </c>
      <c r="AC81" s="304">
        <f t="shared" si="41"/>
        <v>0</v>
      </c>
      <c r="AD81" s="100">
        <f t="shared" si="53"/>
        <v>0</v>
      </c>
      <c r="AE81" s="100">
        <f t="shared" si="54"/>
        <v>0</v>
      </c>
      <c r="AF81" s="193">
        <f t="shared" si="36"/>
        <v>72.009819555178524</v>
      </c>
      <c r="AG81" s="193">
        <f t="shared" si="37"/>
        <v>40.493049735859714</v>
      </c>
      <c r="AH81" s="193">
        <f t="shared" si="38"/>
        <v>2.6950363202180933E-2</v>
      </c>
      <c r="AI81" s="198">
        <f t="shared" si="39"/>
        <v>112.52981965424041</v>
      </c>
      <c r="AK81" s="71">
        <v>76</v>
      </c>
      <c r="AL81" s="33">
        <f t="shared" si="55"/>
        <v>0</v>
      </c>
      <c r="AM81" s="33">
        <f t="shared" si="56"/>
        <v>0</v>
      </c>
      <c r="AN81" s="33">
        <f t="shared" si="57"/>
        <v>0</v>
      </c>
      <c r="AO81" s="33">
        <f t="shared" si="58"/>
        <v>0</v>
      </c>
      <c r="AP81" s="33">
        <f t="shared" si="59"/>
        <v>0</v>
      </c>
      <c r="AQ81" s="193">
        <f t="shared" si="60"/>
        <v>0</v>
      </c>
      <c r="AR81" s="193">
        <f t="shared" si="60"/>
        <v>0</v>
      </c>
      <c r="AS81" s="193">
        <f t="shared" si="60"/>
        <v>0</v>
      </c>
      <c r="AT81" s="193">
        <f t="shared" si="60"/>
        <v>0</v>
      </c>
      <c r="AU81" s="33"/>
      <c r="AV81" s="33"/>
      <c r="AW81" s="33"/>
      <c r="AX81" s="33"/>
      <c r="AY81" s="76"/>
    </row>
    <row r="82" spans="2:51">
      <c r="B82" s="169">
        <f>IF(C25&lt;=$F$18,C25+1,"-")</f>
        <v>11</v>
      </c>
      <c r="C82" s="144">
        <f>D25-D26</f>
        <v>0</v>
      </c>
      <c r="D82" s="145">
        <v>0</v>
      </c>
      <c r="E82" s="170">
        <f>IF(G82+D82&lt;&gt;1,(1-(G82+D82))*56%,0)</f>
        <v>0.56000000000000005</v>
      </c>
      <c r="F82" s="170">
        <f>IF(G82+D82&lt;&gt;1,(1-(G82+D82))*44%,0)</f>
        <v>0.44</v>
      </c>
      <c r="G82" s="146"/>
      <c r="H82" s="58">
        <f t="shared" ref="H82:H94" si="69">IF(C82=0,0,IF(SUM(D82:G82)&lt;&gt;1,"erreur",))</f>
        <v>0</v>
      </c>
      <c r="I82" s="55">
        <v>77</v>
      </c>
      <c r="J82" s="33">
        <f t="shared" si="63"/>
        <v>26.250000000000039</v>
      </c>
      <c r="K82" s="33">
        <f t="shared" si="64"/>
        <v>8.2697945664731147</v>
      </c>
      <c r="L82" s="33">
        <f t="shared" si="65"/>
        <v>70</v>
      </c>
      <c r="M82" s="33">
        <f t="shared" si="66"/>
        <v>10</v>
      </c>
      <c r="N82" s="33">
        <f t="shared" si="46"/>
        <v>0</v>
      </c>
      <c r="O82" s="34">
        <f t="shared" si="47"/>
        <v>353.45530886994078</v>
      </c>
      <c r="P82" s="55">
        <v>77</v>
      </c>
      <c r="Q82" s="33">
        <f t="shared" si="61"/>
        <v>19.5</v>
      </c>
      <c r="R82" s="33">
        <f t="shared" si="67"/>
        <v>921.70000000000027</v>
      </c>
      <c r="S82" s="33">
        <f t="shared" si="68"/>
        <v>396.33100000000013</v>
      </c>
      <c r="T82" s="33">
        <f t="shared" si="48"/>
        <v>91.032433327944716</v>
      </c>
      <c r="U82" s="33">
        <f t="shared" si="62"/>
        <v>70</v>
      </c>
      <c r="V82" s="33">
        <f t="shared" si="49"/>
        <v>10</v>
      </c>
      <c r="W82" s="33">
        <v>0</v>
      </c>
      <c r="X82" s="33">
        <f t="shared" si="50"/>
        <v>1142.1579797128372</v>
      </c>
      <c r="Y82" s="38">
        <f t="shared" si="51"/>
        <v>788.7026708428964</v>
      </c>
      <c r="AA82" s="71">
        <v>77</v>
      </c>
      <c r="AB82" s="33">
        <f t="shared" si="52"/>
        <v>0</v>
      </c>
      <c r="AC82" s="304">
        <f t="shared" si="41"/>
        <v>0</v>
      </c>
      <c r="AD82" s="100">
        <f t="shared" si="53"/>
        <v>0</v>
      </c>
      <c r="AE82" s="100">
        <f t="shared" si="54"/>
        <v>0</v>
      </c>
      <c r="AF82" s="193">
        <f t="shared" si="36"/>
        <v>70.597750915354496</v>
      </c>
      <c r="AG82" s="193">
        <f t="shared" si="37"/>
        <v>39.385765161395689</v>
      </c>
      <c r="AH82" s="193">
        <f t="shared" si="38"/>
        <v>1.9056784575702538E-2</v>
      </c>
      <c r="AI82" s="198">
        <f t="shared" si="39"/>
        <v>110.00257286132589</v>
      </c>
      <c r="AK82" s="71">
        <v>77</v>
      </c>
      <c r="AL82" s="33">
        <f t="shared" si="55"/>
        <v>0</v>
      </c>
      <c r="AM82" s="33">
        <f t="shared" si="56"/>
        <v>0</v>
      </c>
      <c r="AN82" s="33">
        <f t="shared" si="57"/>
        <v>0</v>
      </c>
      <c r="AO82" s="33">
        <f t="shared" si="58"/>
        <v>0</v>
      </c>
      <c r="AP82" s="33">
        <f t="shared" si="59"/>
        <v>0</v>
      </c>
      <c r="AQ82" s="193">
        <f t="shared" si="60"/>
        <v>0</v>
      </c>
      <c r="AR82" s="193">
        <f t="shared" si="60"/>
        <v>0</v>
      </c>
      <c r="AS82" s="193">
        <f t="shared" si="60"/>
        <v>0</v>
      </c>
      <c r="AT82" s="193">
        <f t="shared" si="60"/>
        <v>0</v>
      </c>
      <c r="AU82" s="33"/>
      <c r="AV82" s="33"/>
      <c r="AW82" s="33"/>
      <c r="AX82" s="33"/>
      <c r="AY82" s="76"/>
    </row>
    <row r="83" spans="2:51">
      <c r="B83" s="171">
        <f>IF(C27&lt;=$F$18,C27+1,"-")</f>
        <v>16</v>
      </c>
      <c r="C83" s="147">
        <f>D27-D28</f>
        <v>34</v>
      </c>
      <c r="D83" s="148">
        <v>0</v>
      </c>
      <c r="E83" s="128">
        <f t="shared" ref="E83:E94" si="70">IF(G83+D83&lt;&gt;1,(1-(G83+D83))*56%,0)</f>
        <v>0.56000000000000005</v>
      </c>
      <c r="F83" s="128">
        <f t="shared" ref="F83:F94" si="71">IF(G83+D83&lt;&gt;1,(1-(G83+D83))*44%,0)</f>
        <v>0.44</v>
      </c>
      <c r="G83" s="149"/>
      <c r="H83" s="58">
        <f t="shared" si="69"/>
        <v>0</v>
      </c>
      <c r="I83" s="55">
        <v>78</v>
      </c>
      <c r="J83" s="33">
        <f t="shared" si="63"/>
        <v>26.670000000000041</v>
      </c>
      <c r="K83" s="33">
        <f t="shared" si="64"/>
        <v>8.3866013856443349</v>
      </c>
      <c r="L83" s="33">
        <f t="shared" si="65"/>
        <v>70</v>
      </c>
      <c r="M83" s="33">
        <f t="shared" si="66"/>
        <v>10</v>
      </c>
      <c r="N83" s="33">
        <f t="shared" si="46"/>
        <v>0</v>
      </c>
      <c r="O83" s="34">
        <f t="shared" si="47"/>
        <v>354.3902474133306</v>
      </c>
      <c r="P83" s="55">
        <v>78</v>
      </c>
      <c r="Q83" s="33">
        <f t="shared" si="61"/>
        <v>19.5</v>
      </c>
      <c r="R83" s="33">
        <f t="shared" si="67"/>
        <v>941.20000000000027</v>
      </c>
      <c r="S83" s="33">
        <f t="shared" si="68"/>
        <v>404.71600000000012</v>
      </c>
      <c r="T83" s="33">
        <f t="shared" si="48"/>
        <v>92.732108655131213</v>
      </c>
      <c r="U83" s="33">
        <f t="shared" si="62"/>
        <v>70</v>
      </c>
      <c r="V83" s="33">
        <f t="shared" si="49"/>
        <v>10</v>
      </c>
      <c r="W83" s="33">
        <v>0</v>
      </c>
      <c r="X83" s="33">
        <f t="shared" si="50"/>
        <v>1159.722122574354</v>
      </c>
      <c r="Y83" s="38">
        <f t="shared" si="51"/>
        <v>805.33187516102339</v>
      </c>
      <c r="AA83" s="71">
        <v>78</v>
      </c>
      <c r="AB83" s="33">
        <f t="shared" si="52"/>
        <v>0</v>
      </c>
      <c r="AC83" s="304">
        <f t="shared" si="41"/>
        <v>0</v>
      </c>
      <c r="AD83" s="100">
        <f t="shared" si="53"/>
        <v>0</v>
      </c>
      <c r="AE83" s="100">
        <f t="shared" si="54"/>
        <v>0</v>
      </c>
      <c r="AF83" s="193">
        <f t="shared" si="36"/>
        <v>69.213372080280593</v>
      </c>
      <c r="AG83" s="193">
        <f t="shared" si="37"/>
        <v>38.308759341849949</v>
      </c>
      <c r="AH83" s="193">
        <f t="shared" si="38"/>
        <v>1.347518160109047E-2</v>
      </c>
      <c r="AI83" s="198">
        <f t="shared" si="39"/>
        <v>107.53560660373164</v>
      </c>
      <c r="AK83" s="71">
        <v>78</v>
      </c>
      <c r="AL83" s="33">
        <f t="shared" si="55"/>
        <v>0</v>
      </c>
      <c r="AM83" s="33">
        <f t="shared" si="56"/>
        <v>0</v>
      </c>
      <c r="AN83" s="33">
        <f t="shared" si="57"/>
        <v>0</v>
      </c>
      <c r="AO83" s="33">
        <f t="shared" si="58"/>
        <v>0</v>
      </c>
      <c r="AP83" s="33">
        <f t="shared" si="59"/>
        <v>0</v>
      </c>
      <c r="AQ83" s="193">
        <f t="shared" si="60"/>
        <v>0</v>
      </c>
      <c r="AR83" s="193">
        <f t="shared" si="60"/>
        <v>0</v>
      </c>
      <c r="AS83" s="193">
        <f t="shared" si="60"/>
        <v>0</v>
      </c>
      <c r="AT83" s="193">
        <f t="shared" si="60"/>
        <v>0</v>
      </c>
      <c r="AU83" s="33"/>
      <c r="AV83" s="33"/>
      <c r="AW83" s="33"/>
      <c r="AX83" s="33"/>
      <c r="AY83" s="76"/>
    </row>
    <row r="84" spans="2:51">
      <c r="B84" s="186">
        <f>IF(C29&lt;=$F$18,C29+1,"-")</f>
        <v>21</v>
      </c>
      <c r="C84" s="147">
        <f>D29-D30</f>
        <v>70</v>
      </c>
      <c r="D84" s="148">
        <v>0</v>
      </c>
      <c r="E84" s="128">
        <f t="shared" si="70"/>
        <v>0.56000000000000005</v>
      </c>
      <c r="F84" s="128">
        <f t="shared" si="71"/>
        <v>0.44</v>
      </c>
      <c r="G84" s="149"/>
      <c r="H84" s="58">
        <f t="shared" si="69"/>
        <v>0</v>
      </c>
      <c r="I84" s="55">
        <v>79</v>
      </c>
      <c r="J84" s="33">
        <f t="shared" si="63"/>
        <v>27.090000000000042</v>
      </c>
      <c r="K84" s="33">
        <f t="shared" si="64"/>
        <v>8.5031942764136481</v>
      </c>
      <c r="L84" s="33">
        <f t="shared" si="65"/>
        <v>70</v>
      </c>
      <c r="M84" s="33">
        <f t="shared" si="66"/>
        <v>10</v>
      </c>
      <c r="N84" s="33">
        <f t="shared" si="46"/>
        <v>0</v>
      </c>
      <c r="O84" s="34">
        <f t="shared" si="47"/>
        <v>355.32481336475388</v>
      </c>
      <c r="P84" s="55">
        <v>79</v>
      </c>
      <c r="Q84" s="33">
        <f t="shared" si="61"/>
        <v>19.5</v>
      </c>
      <c r="R84" s="33">
        <f t="shared" si="67"/>
        <v>960.70000000000027</v>
      </c>
      <c r="S84" s="33">
        <f t="shared" si="68"/>
        <v>413.10100000000011</v>
      </c>
      <c r="T84" s="33">
        <f t="shared" si="48"/>
        <v>94.427689670462357</v>
      </c>
      <c r="U84" s="33">
        <f t="shared" si="62"/>
        <v>70</v>
      </c>
      <c r="V84" s="33">
        <f t="shared" si="49"/>
        <v>10</v>
      </c>
      <c r="W84" s="33">
        <v>0</v>
      </c>
      <c r="X84" s="33">
        <f t="shared" si="50"/>
        <v>1177.2791345093888</v>
      </c>
      <c r="Y84" s="38">
        <f t="shared" si="51"/>
        <v>821.95432114463483</v>
      </c>
      <c r="AA84" s="71">
        <v>79</v>
      </c>
      <c r="AB84" s="33">
        <f t="shared" si="52"/>
        <v>0</v>
      </c>
      <c r="AC84" s="304">
        <f t="shared" si="41"/>
        <v>0</v>
      </c>
      <c r="AD84" s="100">
        <f t="shared" si="53"/>
        <v>0</v>
      </c>
      <c r="AE84" s="100">
        <f t="shared" si="54"/>
        <v>0</v>
      </c>
      <c r="AF84" s="193">
        <f t="shared" si="36"/>
        <v>67.856140069774781</v>
      </c>
      <c r="AG84" s="193">
        <f t="shared" si="37"/>
        <v>37.261204303076966</v>
      </c>
      <c r="AH84" s="193">
        <f t="shared" si="38"/>
        <v>9.5283922878512707E-3</v>
      </c>
      <c r="AI84" s="198">
        <f t="shared" si="39"/>
        <v>105.12687276513959</v>
      </c>
      <c r="AK84" s="71">
        <v>79</v>
      </c>
      <c r="AL84" s="33">
        <f t="shared" si="55"/>
        <v>0</v>
      </c>
      <c r="AM84" s="33">
        <f t="shared" si="56"/>
        <v>0</v>
      </c>
      <c r="AN84" s="33">
        <f t="shared" si="57"/>
        <v>0</v>
      </c>
      <c r="AO84" s="33">
        <f t="shared" si="58"/>
        <v>0</v>
      </c>
      <c r="AP84" s="33">
        <f t="shared" si="59"/>
        <v>0</v>
      </c>
      <c r="AQ84" s="193">
        <f t="shared" si="60"/>
        <v>0</v>
      </c>
      <c r="AR84" s="193">
        <f t="shared" si="60"/>
        <v>0</v>
      </c>
      <c r="AS84" s="193">
        <f t="shared" si="60"/>
        <v>0</v>
      </c>
      <c r="AT84" s="193">
        <f t="shared" si="60"/>
        <v>0</v>
      </c>
      <c r="AU84" s="33"/>
      <c r="AV84" s="33"/>
      <c r="AW84" s="33"/>
      <c r="AX84" s="33"/>
      <c r="AY84" s="76"/>
    </row>
    <row r="85" spans="2:51">
      <c r="B85" s="171">
        <f>IF(C31&lt;=$F$18,C31+1,"-")</f>
        <v>26</v>
      </c>
      <c r="C85" s="147">
        <f>D31-D32</f>
        <v>70</v>
      </c>
      <c r="D85" s="148">
        <v>0</v>
      </c>
      <c r="E85" s="128">
        <f t="shared" si="70"/>
        <v>0.56000000000000005</v>
      </c>
      <c r="F85" s="128">
        <f t="shared" si="71"/>
        <v>0.44</v>
      </c>
      <c r="G85" s="149"/>
      <c r="H85" s="58">
        <f t="shared" si="69"/>
        <v>0</v>
      </c>
      <c r="I85" s="55">
        <v>80</v>
      </c>
      <c r="J85" s="33">
        <f t="shared" si="63"/>
        <v>27.510000000000044</v>
      </c>
      <c r="K85" s="33">
        <f t="shared" si="64"/>
        <v>8.6195769385260075</v>
      </c>
      <c r="L85" s="33">
        <f t="shared" si="65"/>
        <v>70</v>
      </c>
      <c r="M85" s="33">
        <f t="shared" si="66"/>
        <v>10</v>
      </c>
      <c r="N85" s="33">
        <f t="shared" si="46"/>
        <v>0</v>
      </c>
      <c r="O85" s="34">
        <f t="shared" si="47"/>
        <v>356.25901316793284</v>
      </c>
      <c r="P85" s="55">
        <v>80</v>
      </c>
      <c r="Q85" s="33">
        <f t="shared" si="61"/>
        <v>19.5</v>
      </c>
      <c r="R85" s="33">
        <f t="shared" si="67"/>
        <v>980.20000000000027</v>
      </c>
      <c r="S85" s="33">
        <f t="shared" si="68"/>
        <v>421.4860000000001</v>
      </c>
      <c r="T85" s="33">
        <f t="shared" si="48"/>
        <v>96.119269055816233</v>
      </c>
      <c r="U85" s="33">
        <f t="shared" si="62"/>
        <v>70</v>
      </c>
      <c r="V85" s="33">
        <f t="shared" si="49"/>
        <v>10</v>
      </c>
      <c r="W85" s="33">
        <v>0</v>
      </c>
      <c r="X85" s="33">
        <f t="shared" si="50"/>
        <v>1194.82917693888</v>
      </c>
      <c r="Y85" s="38">
        <f t="shared" si="51"/>
        <v>838.57016377094715</v>
      </c>
      <c r="AA85" s="71">
        <v>80</v>
      </c>
      <c r="AB85" s="33">
        <f t="shared" si="52"/>
        <v>754</v>
      </c>
      <c r="AC85" s="304">
        <f t="shared" si="41"/>
        <v>0.47499999999999998</v>
      </c>
      <c r="AD85" s="100">
        <f t="shared" si="53"/>
        <v>2.8000000000000028E-2</v>
      </c>
      <c r="AE85" s="100">
        <f t="shared" si="54"/>
        <v>2.200000000000002E-2</v>
      </c>
      <c r="AF85" s="193">
        <f t="shared" si="36"/>
        <v>332.11148693222543</v>
      </c>
      <c r="AG85" s="193">
        <f t="shared" si="37"/>
        <v>51.836246364152963</v>
      </c>
      <c r="AH85" s="193">
        <f t="shared" si="38"/>
        <v>10.505578958215835</v>
      </c>
      <c r="AI85" s="198">
        <f t="shared" si="39"/>
        <v>394.45331225459421</v>
      </c>
      <c r="AK85" s="71">
        <v>80</v>
      </c>
      <c r="AL85" s="33">
        <f t="shared" si="55"/>
        <v>754</v>
      </c>
      <c r="AM85" s="33">
        <f t="shared" si="56"/>
        <v>0.95</v>
      </c>
      <c r="AN85" s="33">
        <f t="shared" si="57"/>
        <v>2.8000000000000028E-2</v>
      </c>
      <c r="AO85" s="33">
        <f t="shared" si="58"/>
        <v>2.200000000000002E-2</v>
      </c>
      <c r="AP85" s="33">
        <f t="shared" si="59"/>
        <v>0</v>
      </c>
      <c r="AQ85" s="193">
        <f t="shared" si="60"/>
        <v>716.3</v>
      </c>
      <c r="AR85" s="193">
        <f t="shared" si="60"/>
        <v>21.11200000000002</v>
      </c>
      <c r="AS85" s="193">
        <f t="shared" si="60"/>
        <v>16.588000000000015</v>
      </c>
      <c r="AT85" s="193">
        <f t="shared" si="60"/>
        <v>0</v>
      </c>
      <c r="AU85" s="33"/>
      <c r="AV85" s="33"/>
      <c r="AW85" s="33"/>
      <c r="AX85" s="33"/>
      <c r="AY85" s="76"/>
    </row>
    <row r="86" spans="2:51">
      <c r="B86" s="171">
        <f>IF(C33&lt;=$F$18,C33+1,"-")</f>
        <v>31</v>
      </c>
      <c r="C86" s="147">
        <f>D33-D34</f>
        <v>70</v>
      </c>
      <c r="D86" s="148">
        <v>0.3</v>
      </c>
      <c r="E86" s="128">
        <f t="shared" si="70"/>
        <v>0.39200000000000002</v>
      </c>
      <c r="F86" s="128">
        <f t="shared" si="71"/>
        <v>0.308</v>
      </c>
      <c r="G86" s="149"/>
      <c r="H86" s="58">
        <f t="shared" si="69"/>
        <v>0</v>
      </c>
      <c r="I86" s="55">
        <v>81</v>
      </c>
      <c r="J86" s="33">
        <f t="shared" si="63"/>
        <v>0</v>
      </c>
      <c r="K86" s="33">
        <f t="shared" si="64"/>
        <v>0</v>
      </c>
      <c r="L86" s="33">
        <f t="shared" si="65"/>
        <v>0</v>
      </c>
      <c r="M86" s="33">
        <f t="shared" si="66"/>
        <v>0</v>
      </c>
      <c r="N86" s="33">
        <f t="shared" si="46"/>
        <v>0</v>
      </c>
      <c r="O86" s="34">
        <f t="shared" si="47"/>
        <v>0</v>
      </c>
      <c r="P86" s="55">
        <v>81</v>
      </c>
      <c r="Q86" s="33">
        <f t="shared" si="61"/>
        <v>0</v>
      </c>
      <c r="R86" s="33">
        <f t="shared" si="67"/>
        <v>0</v>
      </c>
      <c r="S86" s="33">
        <f t="shared" si="68"/>
        <v>0</v>
      </c>
      <c r="T86" s="33">
        <f t="shared" si="48"/>
        <v>0</v>
      </c>
      <c r="U86" s="33">
        <f t="shared" si="62"/>
        <v>0</v>
      </c>
      <c r="V86" s="33">
        <f t="shared" si="49"/>
        <v>0</v>
      </c>
      <c r="W86" s="33">
        <v>0</v>
      </c>
      <c r="X86" s="33">
        <f t="shared" si="50"/>
        <v>0</v>
      </c>
      <c r="Y86" s="38">
        <f t="shared" si="51"/>
        <v>0</v>
      </c>
      <c r="AA86" s="71">
        <v>81</v>
      </c>
      <c r="AB86" s="33">
        <f t="shared" si="52"/>
        <v>0</v>
      </c>
      <c r="AC86" s="304">
        <f t="shared" si="41"/>
        <v>0</v>
      </c>
      <c r="AD86" s="100">
        <f t="shared" si="53"/>
        <v>0</v>
      </c>
      <c r="AE86" s="100">
        <f t="shared" si="54"/>
        <v>0</v>
      </c>
      <c r="AF86" s="193">
        <f t="shared" si="36"/>
        <v>0</v>
      </c>
      <c r="AG86" s="193">
        <f t="shared" si="37"/>
        <v>0</v>
      </c>
      <c r="AH86" s="193">
        <f t="shared" si="38"/>
        <v>0</v>
      </c>
      <c r="AI86" s="198">
        <f t="shared" si="39"/>
        <v>0</v>
      </c>
      <c r="AK86" s="71">
        <v>81</v>
      </c>
      <c r="AL86" s="33">
        <f t="shared" si="55"/>
        <v>0</v>
      </c>
      <c r="AM86" s="33">
        <f t="shared" si="56"/>
        <v>0</v>
      </c>
      <c r="AN86" s="33">
        <f t="shared" si="57"/>
        <v>0</v>
      </c>
      <c r="AO86" s="33">
        <f t="shared" si="58"/>
        <v>0</v>
      </c>
      <c r="AP86" s="33">
        <f t="shared" si="59"/>
        <v>0</v>
      </c>
      <c r="AQ86" s="193">
        <f t="shared" si="60"/>
        <v>0</v>
      </c>
      <c r="AR86" s="193">
        <f t="shared" si="60"/>
        <v>0</v>
      </c>
      <c r="AS86" s="193">
        <f t="shared" si="60"/>
        <v>0</v>
      </c>
      <c r="AT86" s="193">
        <f t="shared" si="60"/>
        <v>0</v>
      </c>
      <c r="AU86" s="33"/>
      <c r="AV86" s="33"/>
      <c r="AW86" s="33"/>
      <c r="AX86" s="33"/>
      <c r="AY86" s="76"/>
    </row>
    <row r="87" spans="2:51">
      <c r="B87" s="171">
        <f>IF(C35&lt;=$F$18,C35+1,"-")</f>
        <v>36</v>
      </c>
      <c r="C87" s="147">
        <f>D35-D36</f>
        <v>70</v>
      </c>
      <c r="D87" s="148">
        <v>0.5</v>
      </c>
      <c r="E87" s="128">
        <f t="shared" si="70"/>
        <v>0.28000000000000003</v>
      </c>
      <c r="F87" s="128">
        <f t="shared" si="71"/>
        <v>0.22</v>
      </c>
      <c r="G87" s="149"/>
      <c r="H87" s="58">
        <f t="shared" si="69"/>
        <v>0</v>
      </c>
      <c r="I87" s="55">
        <v>82</v>
      </c>
      <c r="J87" s="33">
        <f t="shared" si="63"/>
        <v>0</v>
      </c>
      <c r="K87" s="33">
        <f t="shared" si="64"/>
        <v>0</v>
      </c>
      <c r="L87" s="33">
        <f t="shared" si="65"/>
        <v>0</v>
      </c>
      <c r="M87" s="33">
        <f t="shared" si="66"/>
        <v>0</v>
      </c>
      <c r="N87" s="33">
        <f t="shared" si="46"/>
        <v>0</v>
      </c>
      <c r="O87" s="34">
        <f t="shared" si="47"/>
        <v>0</v>
      </c>
      <c r="P87" s="55">
        <v>82</v>
      </c>
      <c r="Q87" s="33">
        <f t="shared" si="61"/>
        <v>0</v>
      </c>
      <c r="R87" s="33">
        <f t="shared" si="67"/>
        <v>0</v>
      </c>
      <c r="S87" s="33">
        <f t="shared" si="68"/>
        <v>0</v>
      </c>
      <c r="T87" s="33">
        <f t="shared" si="48"/>
        <v>0</v>
      </c>
      <c r="U87" s="33">
        <f t="shared" si="62"/>
        <v>0</v>
      </c>
      <c r="V87" s="33">
        <f t="shared" si="49"/>
        <v>0</v>
      </c>
      <c r="W87" s="33">
        <v>0</v>
      </c>
      <c r="X87" s="33">
        <f t="shared" si="50"/>
        <v>0</v>
      </c>
      <c r="Y87" s="38">
        <f t="shared" si="51"/>
        <v>0</v>
      </c>
      <c r="AA87" s="71">
        <v>82</v>
      </c>
      <c r="AB87" s="33">
        <f t="shared" si="52"/>
        <v>0</v>
      </c>
      <c r="AC87" s="304">
        <f t="shared" si="41"/>
        <v>0</v>
      </c>
      <c r="AD87" s="100">
        <f t="shared" si="53"/>
        <v>0</v>
      </c>
      <c r="AE87" s="100">
        <f t="shared" si="54"/>
        <v>0</v>
      </c>
      <c r="AF87" s="193">
        <f t="shared" si="36"/>
        <v>0</v>
      </c>
      <c r="AG87" s="193">
        <f t="shared" si="37"/>
        <v>0</v>
      </c>
      <c r="AH87" s="193">
        <f t="shared" si="38"/>
        <v>0</v>
      </c>
      <c r="AI87" s="198">
        <f t="shared" si="39"/>
        <v>0</v>
      </c>
      <c r="AK87" s="71">
        <v>82</v>
      </c>
      <c r="AL87" s="33">
        <f t="shared" si="55"/>
        <v>0</v>
      </c>
      <c r="AM87" s="33">
        <f t="shared" si="56"/>
        <v>0</v>
      </c>
      <c r="AN87" s="33">
        <f t="shared" si="57"/>
        <v>0</v>
      </c>
      <c r="AO87" s="33">
        <f t="shared" si="58"/>
        <v>0</v>
      </c>
      <c r="AP87" s="33">
        <f t="shared" si="59"/>
        <v>0</v>
      </c>
      <c r="AQ87" s="193">
        <f t="shared" si="60"/>
        <v>0</v>
      </c>
      <c r="AR87" s="193">
        <f t="shared" si="60"/>
        <v>0</v>
      </c>
      <c r="AS87" s="193">
        <f t="shared" si="60"/>
        <v>0</v>
      </c>
      <c r="AT87" s="193">
        <f t="shared" si="60"/>
        <v>0</v>
      </c>
      <c r="AU87" s="33"/>
      <c r="AV87" s="33"/>
      <c r="AW87" s="33"/>
      <c r="AX87" s="33"/>
      <c r="AY87" s="76"/>
    </row>
    <row r="88" spans="2:51">
      <c r="B88" s="171">
        <f>IF(C37&lt;=$F$18,C37+1,"-")</f>
        <v>41</v>
      </c>
      <c r="C88" s="147">
        <f>D37-D38</f>
        <v>70</v>
      </c>
      <c r="D88" s="148">
        <v>0.6</v>
      </c>
      <c r="E88" s="128">
        <f t="shared" si="70"/>
        <v>0.22400000000000003</v>
      </c>
      <c r="F88" s="128">
        <f t="shared" si="71"/>
        <v>0.17600000000000002</v>
      </c>
      <c r="G88" s="149"/>
      <c r="H88" s="58">
        <f t="shared" si="69"/>
        <v>0</v>
      </c>
      <c r="I88" s="55">
        <v>83</v>
      </c>
      <c r="J88" s="33">
        <f t="shared" si="63"/>
        <v>0</v>
      </c>
      <c r="K88" s="33">
        <f t="shared" si="64"/>
        <v>0</v>
      </c>
      <c r="L88" s="33">
        <f t="shared" si="65"/>
        <v>0</v>
      </c>
      <c r="M88" s="33">
        <f t="shared" si="66"/>
        <v>0</v>
      </c>
      <c r="N88" s="33">
        <f t="shared" si="46"/>
        <v>0</v>
      </c>
      <c r="O88" s="34">
        <f t="shared" si="47"/>
        <v>0</v>
      </c>
      <c r="P88" s="55">
        <v>83</v>
      </c>
      <c r="Q88" s="33">
        <f t="shared" si="61"/>
        <v>0</v>
      </c>
      <c r="R88" s="33">
        <f t="shared" si="67"/>
        <v>0</v>
      </c>
      <c r="S88" s="33">
        <f t="shared" si="68"/>
        <v>0</v>
      </c>
      <c r="T88" s="33">
        <f t="shared" si="48"/>
        <v>0</v>
      </c>
      <c r="U88" s="33">
        <f t="shared" si="62"/>
        <v>0</v>
      </c>
      <c r="V88" s="33">
        <f t="shared" si="49"/>
        <v>0</v>
      </c>
      <c r="W88" s="33">
        <v>0</v>
      </c>
      <c r="X88" s="33">
        <f t="shared" si="50"/>
        <v>0</v>
      </c>
      <c r="Y88" s="38">
        <f t="shared" si="51"/>
        <v>0</v>
      </c>
      <c r="AA88" s="71">
        <v>83</v>
      </c>
      <c r="AB88" s="33">
        <f t="shared" si="52"/>
        <v>0</v>
      </c>
      <c r="AC88" s="304">
        <f t="shared" si="41"/>
        <v>0</v>
      </c>
      <c r="AD88" s="100">
        <f t="shared" si="53"/>
        <v>0</v>
      </c>
      <c r="AE88" s="100">
        <f t="shared" si="54"/>
        <v>0</v>
      </c>
      <c r="AF88" s="193">
        <f t="shared" si="36"/>
        <v>0</v>
      </c>
      <c r="AG88" s="193">
        <f t="shared" si="37"/>
        <v>0</v>
      </c>
      <c r="AH88" s="193">
        <f t="shared" si="38"/>
        <v>0</v>
      </c>
      <c r="AI88" s="198">
        <f t="shared" si="39"/>
        <v>0</v>
      </c>
      <c r="AK88" s="71">
        <v>83</v>
      </c>
      <c r="AL88" s="33">
        <f t="shared" si="55"/>
        <v>0</v>
      </c>
      <c r="AM88" s="33">
        <f t="shared" si="56"/>
        <v>0</v>
      </c>
      <c r="AN88" s="33">
        <f t="shared" si="57"/>
        <v>0</v>
      </c>
      <c r="AO88" s="33">
        <f t="shared" si="58"/>
        <v>0</v>
      </c>
      <c r="AP88" s="33">
        <f t="shared" si="59"/>
        <v>0</v>
      </c>
      <c r="AQ88" s="193">
        <f t="shared" si="60"/>
        <v>0</v>
      </c>
      <c r="AR88" s="193">
        <f t="shared" si="60"/>
        <v>0</v>
      </c>
      <c r="AS88" s="193">
        <f t="shared" si="60"/>
        <v>0</v>
      </c>
      <c r="AT88" s="193">
        <f t="shared" si="60"/>
        <v>0</v>
      </c>
      <c r="AU88" s="33"/>
      <c r="AV88" s="33"/>
      <c r="AW88" s="33"/>
      <c r="AX88" s="33"/>
      <c r="AY88" s="76"/>
    </row>
    <row r="89" spans="2:51">
      <c r="B89" s="171">
        <f>IF(C39&lt;=$F$18,C39+1,"-")</f>
        <v>46</v>
      </c>
      <c r="C89" s="147">
        <f>D39-D40</f>
        <v>70</v>
      </c>
      <c r="D89" s="148">
        <v>0.7</v>
      </c>
      <c r="E89" s="128">
        <f t="shared" si="70"/>
        <v>0.16800000000000004</v>
      </c>
      <c r="F89" s="128">
        <f t="shared" si="71"/>
        <v>0.13200000000000003</v>
      </c>
      <c r="G89" s="149"/>
      <c r="H89" s="58">
        <f t="shared" si="69"/>
        <v>0</v>
      </c>
      <c r="I89" s="55">
        <v>84</v>
      </c>
      <c r="J89" s="33">
        <f t="shared" si="63"/>
        <v>0</v>
      </c>
      <c r="K89" s="33">
        <f t="shared" si="64"/>
        <v>0</v>
      </c>
      <c r="L89" s="33">
        <f t="shared" si="65"/>
        <v>0</v>
      </c>
      <c r="M89" s="33">
        <f t="shared" si="66"/>
        <v>0</v>
      </c>
      <c r="N89" s="33">
        <f t="shared" si="46"/>
        <v>0</v>
      </c>
      <c r="O89" s="34">
        <f t="shared" si="47"/>
        <v>0</v>
      </c>
      <c r="P89" s="55">
        <v>84</v>
      </c>
      <c r="Q89" s="33">
        <f t="shared" si="61"/>
        <v>0</v>
      </c>
      <c r="R89" s="33">
        <f t="shared" si="67"/>
        <v>0</v>
      </c>
      <c r="S89" s="33">
        <f t="shared" si="68"/>
        <v>0</v>
      </c>
      <c r="T89" s="33">
        <f t="shared" si="48"/>
        <v>0</v>
      </c>
      <c r="U89" s="33">
        <f t="shared" si="62"/>
        <v>0</v>
      </c>
      <c r="V89" s="33">
        <f t="shared" si="49"/>
        <v>0</v>
      </c>
      <c r="W89" s="33">
        <v>0</v>
      </c>
      <c r="X89" s="33">
        <f t="shared" si="50"/>
        <v>0</v>
      </c>
      <c r="Y89" s="38">
        <f t="shared" si="51"/>
        <v>0</v>
      </c>
      <c r="AA89" s="71">
        <v>84</v>
      </c>
      <c r="AB89" s="33">
        <f t="shared" si="52"/>
        <v>0</v>
      </c>
      <c r="AC89" s="304">
        <f t="shared" si="41"/>
        <v>0</v>
      </c>
      <c r="AD89" s="100">
        <f t="shared" si="53"/>
        <v>0</v>
      </c>
      <c r="AE89" s="100">
        <f t="shared" si="54"/>
        <v>0</v>
      </c>
      <c r="AF89" s="193">
        <f t="shared" si="36"/>
        <v>0</v>
      </c>
      <c r="AG89" s="193">
        <f t="shared" si="37"/>
        <v>0</v>
      </c>
      <c r="AH89" s="193">
        <f t="shared" si="38"/>
        <v>0</v>
      </c>
      <c r="AI89" s="198">
        <f t="shared" si="39"/>
        <v>0</v>
      </c>
      <c r="AK89" s="71">
        <v>84</v>
      </c>
      <c r="AL89" s="33">
        <f t="shared" si="55"/>
        <v>0</v>
      </c>
      <c r="AM89" s="33">
        <f t="shared" si="56"/>
        <v>0</v>
      </c>
      <c r="AN89" s="33">
        <f t="shared" si="57"/>
        <v>0</v>
      </c>
      <c r="AO89" s="33">
        <f t="shared" si="58"/>
        <v>0</v>
      </c>
      <c r="AP89" s="33">
        <f t="shared" si="59"/>
        <v>0</v>
      </c>
      <c r="AQ89" s="193">
        <f t="shared" si="60"/>
        <v>0</v>
      </c>
      <c r="AR89" s="193">
        <f t="shared" si="60"/>
        <v>0</v>
      </c>
      <c r="AS89" s="193">
        <f t="shared" si="60"/>
        <v>0</v>
      </c>
      <c r="AT89" s="193">
        <f t="shared" si="60"/>
        <v>0</v>
      </c>
      <c r="AU89" s="33"/>
      <c r="AV89" s="33"/>
      <c r="AW89" s="33"/>
      <c r="AX89" s="33"/>
      <c r="AY89" s="76"/>
    </row>
    <row r="90" spans="2:51">
      <c r="B90" s="171">
        <f>IF(C41&lt;=$F$18,C41+1,"-")</f>
        <v>51</v>
      </c>
      <c r="C90" s="147">
        <f>D41-D42</f>
        <v>59</v>
      </c>
      <c r="D90" s="148">
        <v>0.8</v>
      </c>
      <c r="E90" s="128">
        <f t="shared" si="70"/>
        <v>0.11199999999999999</v>
      </c>
      <c r="F90" s="128">
        <f t="shared" si="71"/>
        <v>8.7999999999999981E-2</v>
      </c>
      <c r="G90" s="149"/>
      <c r="H90" s="58">
        <f t="shared" si="69"/>
        <v>0</v>
      </c>
      <c r="I90" s="55">
        <v>85</v>
      </c>
      <c r="J90" s="33">
        <f t="shared" si="63"/>
        <v>0</v>
      </c>
      <c r="K90" s="33">
        <f t="shared" si="64"/>
        <v>0</v>
      </c>
      <c r="L90" s="33">
        <f t="shared" si="65"/>
        <v>0</v>
      </c>
      <c r="M90" s="33">
        <f t="shared" si="66"/>
        <v>0</v>
      </c>
      <c r="N90" s="33">
        <f t="shared" si="46"/>
        <v>0</v>
      </c>
      <c r="O90" s="34">
        <f t="shared" si="47"/>
        <v>0</v>
      </c>
      <c r="P90" s="55">
        <v>85</v>
      </c>
      <c r="Q90" s="33">
        <f t="shared" si="61"/>
        <v>0</v>
      </c>
      <c r="R90" s="33">
        <f t="shared" si="67"/>
        <v>0</v>
      </c>
      <c r="S90" s="33">
        <f t="shared" si="68"/>
        <v>0</v>
      </c>
      <c r="T90" s="33">
        <f t="shared" si="48"/>
        <v>0</v>
      </c>
      <c r="U90" s="33">
        <f t="shared" si="62"/>
        <v>0</v>
      </c>
      <c r="V90" s="33">
        <f t="shared" si="49"/>
        <v>0</v>
      </c>
      <c r="W90" s="33">
        <v>0</v>
      </c>
      <c r="X90" s="33">
        <f t="shared" si="50"/>
        <v>0</v>
      </c>
      <c r="Y90" s="38">
        <f t="shared" si="51"/>
        <v>0</v>
      </c>
      <c r="AA90" s="71">
        <v>85</v>
      </c>
      <c r="AB90" s="33">
        <f t="shared" si="52"/>
        <v>0</v>
      </c>
      <c r="AC90" s="304">
        <f t="shared" si="41"/>
        <v>0</v>
      </c>
      <c r="AD90" s="100">
        <f t="shared" si="53"/>
        <v>0</v>
      </c>
      <c r="AE90" s="100">
        <f t="shared" si="54"/>
        <v>0</v>
      </c>
      <c r="AF90" s="193">
        <f t="shared" si="36"/>
        <v>0</v>
      </c>
      <c r="AG90" s="193">
        <f t="shared" si="37"/>
        <v>0</v>
      </c>
      <c r="AH90" s="193">
        <f t="shared" si="38"/>
        <v>0</v>
      </c>
      <c r="AI90" s="198">
        <f t="shared" si="39"/>
        <v>0</v>
      </c>
      <c r="AK90" s="71">
        <v>85</v>
      </c>
      <c r="AL90" s="33">
        <f t="shared" si="55"/>
        <v>0</v>
      </c>
      <c r="AM90" s="33">
        <f t="shared" si="56"/>
        <v>0</v>
      </c>
      <c r="AN90" s="33">
        <f t="shared" si="57"/>
        <v>0</v>
      </c>
      <c r="AO90" s="33">
        <f t="shared" si="58"/>
        <v>0</v>
      </c>
      <c r="AP90" s="33">
        <f t="shared" si="59"/>
        <v>0</v>
      </c>
      <c r="AQ90" s="193">
        <f t="shared" si="60"/>
        <v>0</v>
      </c>
      <c r="AR90" s="193">
        <f t="shared" si="60"/>
        <v>0</v>
      </c>
      <c r="AS90" s="193">
        <f t="shared" si="60"/>
        <v>0</v>
      </c>
      <c r="AT90" s="193">
        <f t="shared" si="60"/>
        <v>0</v>
      </c>
      <c r="AU90" s="33"/>
      <c r="AV90" s="33"/>
      <c r="AW90" s="33"/>
      <c r="AX90" s="33"/>
      <c r="AY90" s="76"/>
    </row>
    <row r="91" spans="2:51">
      <c r="B91" s="171">
        <f>IF(C43&lt;=$F$18,C43+1,"-")</f>
        <v>56</v>
      </c>
      <c r="C91" s="147">
        <f>D43-D44</f>
        <v>51</v>
      </c>
      <c r="D91" s="148">
        <v>0.9</v>
      </c>
      <c r="E91" s="128">
        <f>IF(G91+D91&lt;&gt;1,(1-(G91+D91))*56%,0)</f>
        <v>5.5999999999999994E-2</v>
      </c>
      <c r="F91" s="128">
        <f>IF(G91+D91&lt;&gt;1,(1-(G91+D91))*44%,0)</f>
        <v>4.3999999999999991E-2</v>
      </c>
      <c r="G91" s="149"/>
      <c r="H91" s="58">
        <f t="shared" si="69"/>
        <v>0</v>
      </c>
      <c r="I91" s="55">
        <v>86</v>
      </c>
      <c r="J91" s="33">
        <f t="shared" si="63"/>
        <v>0</v>
      </c>
      <c r="K91" s="33">
        <f t="shared" si="64"/>
        <v>0</v>
      </c>
      <c r="L91" s="33">
        <f t="shared" si="65"/>
        <v>0</v>
      </c>
      <c r="M91" s="33">
        <f t="shared" si="66"/>
        <v>0</v>
      </c>
      <c r="N91" s="33">
        <f t="shared" si="46"/>
        <v>0</v>
      </c>
      <c r="O91" s="34">
        <f t="shared" si="47"/>
        <v>0</v>
      </c>
      <c r="P91" s="55">
        <v>86</v>
      </c>
      <c r="Q91" s="33">
        <f t="shared" si="61"/>
        <v>0</v>
      </c>
      <c r="R91" s="33">
        <f t="shared" si="67"/>
        <v>0</v>
      </c>
      <c r="S91" s="33">
        <f t="shared" si="68"/>
        <v>0</v>
      </c>
      <c r="T91" s="33">
        <f t="shared" si="48"/>
        <v>0</v>
      </c>
      <c r="U91" s="33">
        <f t="shared" si="62"/>
        <v>0</v>
      </c>
      <c r="V91" s="33">
        <f t="shared" si="49"/>
        <v>0</v>
      </c>
      <c r="W91" s="33">
        <v>0</v>
      </c>
      <c r="X91" s="33">
        <f t="shared" si="50"/>
        <v>0</v>
      </c>
      <c r="Y91" s="38">
        <f t="shared" si="51"/>
        <v>0</v>
      </c>
      <c r="AA91" s="71">
        <v>86</v>
      </c>
      <c r="AB91" s="33">
        <f t="shared" si="52"/>
        <v>0</v>
      </c>
      <c r="AC91" s="304">
        <f t="shared" si="41"/>
        <v>0</v>
      </c>
      <c r="AD91" s="100">
        <f t="shared" si="53"/>
        <v>0</v>
      </c>
      <c r="AE91" s="100">
        <f t="shared" si="54"/>
        <v>0</v>
      </c>
      <c r="AF91" s="193">
        <f t="shared" ref="AF91:AF154" si="72">IF(OR(AA91&lt;=$F$18,AA91&lt;=30),EXP(-LN(2)/$D$104)*AF90+((1-EXP(-LN(2)/$D$104))/(LN(2)/$D$104))*$AB91*AC91*0.475*$F$19*44/12,)</f>
        <v>0</v>
      </c>
      <c r="AG91" s="193">
        <f t="shared" ref="AG91:AG154" si="73">IF(OR(AA91&lt;=$F$18,AA91&lt;=30),EXP(-LN(2)/$D$106)*AG90+((1-EXP(-LN(2)/$D$106))/(LN(2)/$D$106))*$AB91*AD91*0.475*$F$19*44/12,)</f>
        <v>0</v>
      </c>
      <c r="AH91" s="193">
        <f t="shared" ref="AH91:AH154" si="74">IF(OR(AA91&lt;=$F$18,AA91&lt;=30),EXP(-LN(2)/$D$105)*AH90+((1-EXP(-LN(2)/$D$105))/(LN(2)/$D$105))*$AB91*AE91*0.475*$F$19*44/12,)</f>
        <v>0</v>
      </c>
      <c r="AI91" s="198">
        <f t="shared" ref="AI91:AI154" si="75">IF(OR(AA91&lt;=$F$18,AA91&lt;=30),SUM(AF91:AH91),)</f>
        <v>0</v>
      </c>
      <c r="AK91" s="71">
        <v>86</v>
      </c>
      <c r="AL91" s="33">
        <f t="shared" si="55"/>
        <v>0</v>
      </c>
      <c r="AM91" s="33">
        <f t="shared" si="56"/>
        <v>0</v>
      </c>
      <c r="AN91" s="33">
        <f t="shared" si="57"/>
        <v>0</v>
      </c>
      <c r="AO91" s="33">
        <f t="shared" si="58"/>
        <v>0</v>
      </c>
      <c r="AP91" s="33">
        <f t="shared" si="59"/>
        <v>0</v>
      </c>
      <c r="AQ91" s="193">
        <f t="shared" si="60"/>
        <v>0</v>
      </c>
      <c r="AR91" s="193">
        <f t="shared" si="60"/>
        <v>0</v>
      </c>
      <c r="AS91" s="193">
        <f t="shared" si="60"/>
        <v>0</v>
      </c>
      <c r="AT91" s="193">
        <f t="shared" si="60"/>
        <v>0</v>
      </c>
      <c r="AU91" s="33"/>
      <c r="AV91" s="33"/>
      <c r="AW91" s="33"/>
      <c r="AX91" s="33"/>
      <c r="AY91" s="76"/>
    </row>
    <row r="92" spans="2:51">
      <c r="B92" s="171">
        <f>IF(C45&lt;=$F$18,C45+1,"-")</f>
        <v>61</v>
      </c>
      <c r="C92" s="147">
        <f>D45-D46</f>
        <v>45</v>
      </c>
      <c r="D92" s="148">
        <v>0.9</v>
      </c>
      <c r="E92" s="128">
        <f>IF(G92+D92&lt;&gt;1,(1-(G92+D92))*56%,0)</f>
        <v>5.5999999999999994E-2</v>
      </c>
      <c r="F92" s="128">
        <f>IF(G92+D92&lt;&gt;1,(1-(G92+D92))*44%,0)</f>
        <v>4.3999999999999991E-2</v>
      </c>
      <c r="G92" s="149"/>
      <c r="H92" s="58">
        <f t="shared" si="69"/>
        <v>0</v>
      </c>
      <c r="I92" s="55">
        <v>87</v>
      </c>
      <c r="J92" s="33">
        <f t="shared" si="63"/>
        <v>0</v>
      </c>
      <c r="K92" s="33">
        <f t="shared" si="64"/>
        <v>0</v>
      </c>
      <c r="L92" s="33">
        <f t="shared" si="65"/>
        <v>0</v>
      </c>
      <c r="M92" s="33">
        <f t="shared" si="66"/>
        <v>0</v>
      </c>
      <c r="N92" s="33">
        <f t="shared" si="46"/>
        <v>0</v>
      </c>
      <c r="O92" s="34">
        <f t="shared" si="47"/>
        <v>0</v>
      </c>
      <c r="P92" s="55">
        <v>87</v>
      </c>
      <c r="Q92" s="33">
        <f t="shared" si="61"/>
        <v>0</v>
      </c>
      <c r="R92" s="33">
        <f t="shared" si="67"/>
        <v>0</v>
      </c>
      <c r="S92" s="33">
        <f t="shared" si="68"/>
        <v>0</v>
      </c>
      <c r="T92" s="33">
        <f t="shared" si="48"/>
        <v>0</v>
      </c>
      <c r="U92" s="33">
        <f t="shared" si="62"/>
        <v>0</v>
      </c>
      <c r="V92" s="33">
        <f t="shared" si="49"/>
        <v>0</v>
      </c>
      <c r="W92" s="33">
        <v>0</v>
      </c>
      <c r="X92" s="33">
        <f t="shared" si="50"/>
        <v>0</v>
      </c>
      <c r="Y92" s="38">
        <f t="shared" si="51"/>
        <v>0</v>
      </c>
      <c r="AA92" s="71">
        <v>87</v>
      </c>
      <c r="AB92" s="33">
        <f t="shared" si="52"/>
        <v>0</v>
      </c>
      <c r="AC92" s="304">
        <f t="shared" si="41"/>
        <v>0</v>
      </c>
      <c r="AD92" s="100">
        <f t="shared" si="53"/>
        <v>0</v>
      </c>
      <c r="AE92" s="100">
        <f t="shared" si="54"/>
        <v>0</v>
      </c>
      <c r="AF92" s="193">
        <f t="shared" si="72"/>
        <v>0</v>
      </c>
      <c r="AG92" s="193">
        <f t="shared" si="73"/>
        <v>0</v>
      </c>
      <c r="AH92" s="193">
        <f t="shared" si="74"/>
        <v>0</v>
      </c>
      <c r="AI92" s="198">
        <f t="shared" si="75"/>
        <v>0</v>
      </c>
      <c r="AK92" s="71">
        <v>87</v>
      </c>
      <c r="AL92" s="33">
        <f t="shared" si="55"/>
        <v>0</v>
      </c>
      <c r="AM92" s="33">
        <f t="shared" si="56"/>
        <v>0</v>
      </c>
      <c r="AN92" s="33">
        <f t="shared" si="57"/>
        <v>0</v>
      </c>
      <c r="AO92" s="33">
        <f t="shared" si="58"/>
        <v>0</v>
      </c>
      <c r="AP92" s="33">
        <f t="shared" si="59"/>
        <v>0</v>
      </c>
      <c r="AQ92" s="193">
        <f t="shared" si="60"/>
        <v>0</v>
      </c>
      <c r="AR92" s="193">
        <f t="shared" si="60"/>
        <v>0</v>
      </c>
      <c r="AS92" s="193">
        <f t="shared" si="60"/>
        <v>0</v>
      </c>
      <c r="AT92" s="193">
        <f t="shared" si="60"/>
        <v>0</v>
      </c>
      <c r="AU92" s="33"/>
      <c r="AV92" s="33"/>
      <c r="AW92" s="33"/>
      <c r="AX92" s="33"/>
      <c r="AY92" s="76"/>
    </row>
    <row r="93" spans="2:51">
      <c r="B93" s="171">
        <f>IF(C47&lt;=$F$18,C47+1,"-")</f>
        <v>66</v>
      </c>
      <c r="C93" s="147">
        <f>D47-D48</f>
        <v>41</v>
      </c>
      <c r="D93" s="148">
        <v>0.95</v>
      </c>
      <c r="E93" s="128">
        <f>IF(G93+D93&lt;&gt;1,(1-(G93+D93))*56%,0)</f>
        <v>2.8000000000000028E-2</v>
      </c>
      <c r="F93" s="128">
        <f>IF(G93+D93&lt;&gt;1,(1-(G93+D93))*44%,0)</f>
        <v>2.200000000000002E-2</v>
      </c>
      <c r="G93" s="149"/>
      <c r="H93" s="58">
        <f t="shared" si="69"/>
        <v>0</v>
      </c>
      <c r="I93" s="55">
        <v>88</v>
      </c>
      <c r="J93" s="33">
        <f t="shared" si="63"/>
        <v>0</v>
      </c>
      <c r="K93" s="33">
        <f t="shared" si="64"/>
        <v>0</v>
      </c>
      <c r="L93" s="33">
        <f t="shared" si="65"/>
        <v>0</v>
      </c>
      <c r="M93" s="33">
        <f t="shared" si="66"/>
        <v>0</v>
      </c>
      <c r="N93" s="33">
        <f t="shared" si="46"/>
        <v>0</v>
      </c>
      <c r="O93" s="34">
        <f t="shared" si="47"/>
        <v>0</v>
      </c>
      <c r="P93" s="55">
        <v>88</v>
      </c>
      <c r="Q93" s="33">
        <f t="shared" si="61"/>
        <v>0</v>
      </c>
      <c r="R93" s="33">
        <f t="shared" si="67"/>
        <v>0</v>
      </c>
      <c r="S93" s="33">
        <f t="shared" si="68"/>
        <v>0</v>
      </c>
      <c r="T93" s="33">
        <f t="shared" si="48"/>
        <v>0</v>
      </c>
      <c r="U93" s="33">
        <f t="shared" si="62"/>
        <v>0</v>
      </c>
      <c r="V93" s="33">
        <f t="shared" si="49"/>
        <v>0</v>
      </c>
      <c r="W93" s="33">
        <v>0</v>
      </c>
      <c r="X93" s="33">
        <f t="shared" si="50"/>
        <v>0</v>
      </c>
      <c r="Y93" s="38">
        <f t="shared" si="51"/>
        <v>0</v>
      </c>
      <c r="AA93" s="71">
        <v>88</v>
      </c>
      <c r="AB93" s="33">
        <f t="shared" si="52"/>
        <v>0</v>
      </c>
      <c r="AC93" s="304">
        <f t="shared" si="41"/>
        <v>0</v>
      </c>
      <c r="AD93" s="100">
        <f t="shared" si="53"/>
        <v>0</v>
      </c>
      <c r="AE93" s="100">
        <f t="shared" si="54"/>
        <v>0</v>
      </c>
      <c r="AF93" s="193">
        <f t="shared" si="72"/>
        <v>0</v>
      </c>
      <c r="AG93" s="193">
        <f t="shared" si="73"/>
        <v>0</v>
      </c>
      <c r="AH93" s="193">
        <f t="shared" si="74"/>
        <v>0</v>
      </c>
      <c r="AI93" s="198">
        <f t="shared" si="75"/>
        <v>0</v>
      </c>
      <c r="AK93" s="71">
        <v>88</v>
      </c>
      <c r="AL93" s="33">
        <f t="shared" si="55"/>
        <v>0</v>
      </c>
      <c r="AM93" s="33">
        <f t="shared" si="56"/>
        <v>0</v>
      </c>
      <c r="AN93" s="33">
        <f t="shared" si="57"/>
        <v>0</v>
      </c>
      <c r="AO93" s="33">
        <f t="shared" si="58"/>
        <v>0</v>
      </c>
      <c r="AP93" s="33">
        <f t="shared" si="59"/>
        <v>0</v>
      </c>
      <c r="AQ93" s="193">
        <f t="shared" si="60"/>
        <v>0</v>
      </c>
      <c r="AR93" s="193">
        <f t="shared" si="60"/>
        <v>0</v>
      </c>
      <c r="AS93" s="193">
        <f t="shared" si="60"/>
        <v>0</v>
      </c>
      <c r="AT93" s="193">
        <f t="shared" si="60"/>
        <v>0</v>
      </c>
      <c r="AU93" s="33"/>
      <c r="AV93" s="33"/>
      <c r="AW93" s="33"/>
      <c r="AX93" s="33"/>
      <c r="AY93" s="76"/>
    </row>
    <row r="94" spans="2:51">
      <c r="B94" s="183">
        <f>F18</f>
        <v>80</v>
      </c>
      <c r="C94" s="180">
        <f>VLOOKUP(B94,C25:D78,2)</f>
        <v>754</v>
      </c>
      <c r="D94" s="181">
        <v>0.95</v>
      </c>
      <c r="E94" s="182">
        <f t="shared" si="70"/>
        <v>2.8000000000000028E-2</v>
      </c>
      <c r="F94" s="182">
        <f t="shared" si="71"/>
        <v>2.200000000000002E-2</v>
      </c>
      <c r="G94" s="150"/>
      <c r="H94" s="58">
        <f t="shared" si="69"/>
        <v>0</v>
      </c>
      <c r="I94" s="55">
        <v>89</v>
      </c>
      <c r="J94" s="33">
        <f t="shared" si="63"/>
        <v>0</v>
      </c>
      <c r="K94" s="33">
        <f t="shared" si="64"/>
        <v>0</v>
      </c>
      <c r="L94" s="33">
        <f t="shared" si="65"/>
        <v>0</v>
      </c>
      <c r="M94" s="33">
        <f t="shared" si="66"/>
        <v>0</v>
      </c>
      <c r="N94" s="33">
        <f t="shared" si="46"/>
        <v>0</v>
      </c>
      <c r="O94" s="34">
        <f t="shared" si="47"/>
        <v>0</v>
      </c>
      <c r="P94" s="55">
        <v>89</v>
      </c>
      <c r="Q94" s="33">
        <f t="shared" si="61"/>
        <v>0</v>
      </c>
      <c r="R94" s="33">
        <f t="shared" si="67"/>
        <v>0</v>
      </c>
      <c r="S94" s="33">
        <f t="shared" si="68"/>
        <v>0</v>
      </c>
      <c r="T94" s="33">
        <f t="shared" si="48"/>
        <v>0</v>
      </c>
      <c r="U94" s="33">
        <f t="shared" si="62"/>
        <v>0</v>
      </c>
      <c r="V94" s="33">
        <f t="shared" si="49"/>
        <v>0</v>
      </c>
      <c r="W94" s="33">
        <v>0</v>
      </c>
      <c r="X94" s="33">
        <f t="shared" si="50"/>
        <v>0</v>
      </c>
      <c r="Y94" s="38">
        <f t="shared" si="51"/>
        <v>0</v>
      </c>
      <c r="AA94" s="71">
        <v>89</v>
      </c>
      <c r="AB94" s="33">
        <f t="shared" si="52"/>
        <v>0</v>
      </c>
      <c r="AC94" s="304">
        <f t="shared" si="41"/>
        <v>0</v>
      </c>
      <c r="AD94" s="100">
        <f t="shared" si="53"/>
        <v>0</v>
      </c>
      <c r="AE94" s="100">
        <f t="shared" si="54"/>
        <v>0</v>
      </c>
      <c r="AF94" s="193">
        <f t="shared" si="72"/>
        <v>0</v>
      </c>
      <c r="AG94" s="193">
        <f t="shared" si="73"/>
        <v>0</v>
      </c>
      <c r="AH94" s="193">
        <f t="shared" si="74"/>
        <v>0</v>
      </c>
      <c r="AI94" s="198">
        <f t="shared" si="75"/>
        <v>0</v>
      </c>
      <c r="AK94" s="71">
        <v>89</v>
      </c>
      <c r="AL94" s="33">
        <f t="shared" si="55"/>
        <v>0</v>
      </c>
      <c r="AM94" s="33">
        <f t="shared" si="56"/>
        <v>0</v>
      </c>
      <c r="AN94" s="33">
        <f t="shared" si="57"/>
        <v>0</v>
      </c>
      <c r="AO94" s="33">
        <f t="shared" si="58"/>
        <v>0</v>
      </c>
      <c r="AP94" s="33">
        <f t="shared" si="59"/>
        <v>0</v>
      </c>
      <c r="AQ94" s="193">
        <f t="shared" si="60"/>
        <v>0</v>
      </c>
      <c r="AR94" s="193">
        <f t="shared" si="60"/>
        <v>0</v>
      </c>
      <c r="AS94" s="193">
        <f t="shared" si="60"/>
        <v>0</v>
      </c>
      <c r="AT94" s="193">
        <f t="shared" si="60"/>
        <v>0</v>
      </c>
      <c r="AU94" s="33"/>
      <c r="AV94" s="33"/>
      <c r="AW94" s="33"/>
      <c r="AX94" s="33"/>
      <c r="AY94" s="76"/>
    </row>
    <row r="95" spans="2:51">
      <c r="I95" s="55">
        <v>90</v>
      </c>
      <c r="J95" s="33">
        <f t="shared" si="63"/>
        <v>0</v>
      </c>
      <c r="K95" s="33">
        <f t="shared" si="64"/>
        <v>0</v>
      </c>
      <c r="L95" s="33">
        <f t="shared" si="65"/>
        <v>0</v>
      </c>
      <c r="M95" s="33">
        <f t="shared" si="66"/>
        <v>0</v>
      </c>
      <c r="N95" s="33">
        <f t="shared" si="46"/>
        <v>0</v>
      </c>
      <c r="O95" s="34">
        <f t="shared" si="47"/>
        <v>0</v>
      </c>
      <c r="P95" s="55">
        <v>90</v>
      </c>
      <c r="Q95" s="33">
        <f t="shared" si="61"/>
        <v>0</v>
      </c>
      <c r="R95" s="33">
        <f t="shared" si="67"/>
        <v>0</v>
      </c>
      <c r="S95" s="33">
        <f t="shared" si="68"/>
        <v>0</v>
      </c>
      <c r="T95" s="33">
        <f t="shared" si="48"/>
        <v>0</v>
      </c>
      <c r="U95" s="33">
        <f t="shared" si="62"/>
        <v>0</v>
      </c>
      <c r="V95" s="33">
        <f t="shared" si="49"/>
        <v>0</v>
      </c>
      <c r="W95" s="33">
        <v>0</v>
      </c>
      <c r="X95" s="33">
        <f t="shared" si="50"/>
        <v>0</v>
      </c>
      <c r="Y95" s="38">
        <f t="shared" si="51"/>
        <v>0</v>
      </c>
      <c r="AA95" s="71">
        <v>90</v>
      </c>
      <c r="AB95" s="33">
        <f t="shared" si="52"/>
        <v>0</v>
      </c>
      <c r="AC95" s="304">
        <f t="shared" ref="AC95:AC158" si="76">IF(AA95&lt;=$F$18,IFERROR(VLOOKUP($AA95,$B$82:$G$94,3,FALSE),0),)*50%</f>
        <v>0</v>
      </c>
      <c r="AD95" s="100">
        <f t="shared" si="53"/>
        <v>0</v>
      </c>
      <c r="AE95" s="100">
        <f t="shared" si="54"/>
        <v>0</v>
      </c>
      <c r="AF95" s="193">
        <f t="shared" si="72"/>
        <v>0</v>
      </c>
      <c r="AG95" s="193">
        <f t="shared" si="73"/>
        <v>0</v>
      </c>
      <c r="AH95" s="193">
        <f t="shared" si="74"/>
        <v>0</v>
      </c>
      <c r="AI95" s="198">
        <f t="shared" si="75"/>
        <v>0</v>
      </c>
      <c r="AK95" s="71">
        <v>90</v>
      </c>
      <c r="AL95" s="33">
        <f t="shared" si="55"/>
        <v>0</v>
      </c>
      <c r="AM95" s="33">
        <f t="shared" si="56"/>
        <v>0</v>
      </c>
      <c r="AN95" s="33">
        <f t="shared" si="57"/>
        <v>0</v>
      </c>
      <c r="AO95" s="33">
        <f t="shared" si="58"/>
        <v>0</v>
      </c>
      <c r="AP95" s="33">
        <f t="shared" si="59"/>
        <v>0</v>
      </c>
      <c r="AQ95" s="193">
        <f t="shared" si="60"/>
        <v>0</v>
      </c>
      <c r="AR95" s="193">
        <f t="shared" si="60"/>
        <v>0</v>
      </c>
      <c r="AS95" s="193">
        <f t="shared" si="60"/>
        <v>0</v>
      </c>
      <c r="AT95" s="193">
        <f t="shared" si="60"/>
        <v>0</v>
      </c>
      <c r="AU95" s="33"/>
      <c r="AV95" s="33"/>
      <c r="AW95" s="33"/>
      <c r="AX95" s="33"/>
      <c r="AY95" s="76"/>
    </row>
    <row r="96" spans="2:51">
      <c r="C96" s="67" t="s">
        <v>154</v>
      </c>
      <c r="D96" t="s">
        <v>137</v>
      </c>
      <c r="E96" s="6"/>
      <c r="I96" s="55">
        <v>91</v>
      </c>
      <c r="J96" s="33">
        <f t="shared" si="63"/>
        <v>0</v>
      </c>
      <c r="K96" s="33">
        <f t="shared" si="64"/>
        <v>0</v>
      </c>
      <c r="L96" s="33">
        <f t="shared" si="65"/>
        <v>0</v>
      </c>
      <c r="M96" s="33">
        <f t="shared" si="66"/>
        <v>0</v>
      </c>
      <c r="N96" s="33">
        <f t="shared" si="46"/>
        <v>0</v>
      </c>
      <c r="O96" s="34">
        <f t="shared" si="47"/>
        <v>0</v>
      </c>
      <c r="P96" s="55">
        <v>91</v>
      </c>
      <c r="Q96" s="33">
        <f t="shared" si="61"/>
        <v>0</v>
      </c>
      <c r="R96" s="33">
        <f t="shared" si="67"/>
        <v>0</v>
      </c>
      <c r="S96" s="33">
        <f t="shared" si="68"/>
        <v>0</v>
      </c>
      <c r="T96" s="33">
        <f t="shared" si="48"/>
        <v>0</v>
      </c>
      <c r="U96" s="33">
        <f t="shared" si="62"/>
        <v>0</v>
      </c>
      <c r="V96" s="33">
        <f t="shared" si="49"/>
        <v>0</v>
      </c>
      <c r="W96" s="33">
        <v>0</v>
      </c>
      <c r="X96" s="33">
        <f t="shared" si="50"/>
        <v>0</v>
      </c>
      <c r="Y96" s="38">
        <f t="shared" si="51"/>
        <v>0</v>
      </c>
      <c r="AA96" s="71">
        <v>91</v>
      </c>
      <c r="AB96" s="33">
        <f t="shared" si="52"/>
        <v>0</v>
      </c>
      <c r="AC96" s="304">
        <f t="shared" si="76"/>
        <v>0</v>
      </c>
      <c r="AD96" s="100">
        <f t="shared" si="53"/>
        <v>0</v>
      </c>
      <c r="AE96" s="100">
        <f t="shared" si="54"/>
        <v>0</v>
      </c>
      <c r="AF96" s="193">
        <f t="shared" si="72"/>
        <v>0</v>
      </c>
      <c r="AG96" s="193">
        <f t="shared" si="73"/>
        <v>0</v>
      </c>
      <c r="AH96" s="193">
        <f t="shared" si="74"/>
        <v>0</v>
      </c>
      <c r="AI96" s="198">
        <f t="shared" si="75"/>
        <v>0</v>
      </c>
      <c r="AK96" s="71">
        <v>91</v>
      </c>
      <c r="AL96" s="33">
        <f t="shared" si="55"/>
        <v>0</v>
      </c>
      <c r="AM96" s="33">
        <f t="shared" si="56"/>
        <v>0</v>
      </c>
      <c r="AN96" s="33">
        <f t="shared" si="57"/>
        <v>0</v>
      </c>
      <c r="AO96" s="33">
        <f t="shared" si="58"/>
        <v>0</v>
      </c>
      <c r="AP96" s="33">
        <f t="shared" si="59"/>
        <v>0</v>
      </c>
      <c r="AQ96" s="193">
        <f t="shared" si="60"/>
        <v>0</v>
      </c>
      <c r="AR96" s="193">
        <f t="shared" si="60"/>
        <v>0</v>
      </c>
      <c r="AS96" s="193">
        <f t="shared" si="60"/>
        <v>0</v>
      </c>
      <c r="AT96" s="193">
        <f t="shared" si="60"/>
        <v>0</v>
      </c>
      <c r="AU96" s="33"/>
      <c r="AV96" s="33"/>
      <c r="AW96" s="33"/>
      <c r="AX96" s="33"/>
      <c r="AY96" s="76"/>
    </row>
    <row r="97" spans="2:51">
      <c r="B97" s="2" t="s">
        <v>0</v>
      </c>
      <c r="C97">
        <v>32</v>
      </c>
      <c r="D97">
        <v>0</v>
      </c>
      <c r="E97" s="6"/>
      <c r="I97" s="55">
        <v>92</v>
      </c>
      <c r="J97" s="33">
        <f t="shared" si="63"/>
        <v>0</v>
      </c>
      <c r="K97" s="33">
        <f t="shared" si="64"/>
        <v>0</v>
      </c>
      <c r="L97" s="33">
        <f t="shared" si="65"/>
        <v>0</v>
      </c>
      <c r="M97" s="33">
        <f t="shared" si="66"/>
        <v>0</v>
      </c>
      <c r="N97" s="33">
        <f t="shared" si="46"/>
        <v>0</v>
      </c>
      <c r="O97" s="34">
        <f t="shared" si="47"/>
        <v>0</v>
      </c>
      <c r="P97" s="55">
        <v>92</v>
      </c>
      <c r="Q97" s="33">
        <f t="shared" si="61"/>
        <v>0</v>
      </c>
      <c r="R97" s="33">
        <f t="shared" si="67"/>
        <v>0</v>
      </c>
      <c r="S97" s="33">
        <f t="shared" si="68"/>
        <v>0</v>
      </c>
      <c r="T97" s="33">
        <f t="shared" si="48"/>
        <v>0</v>
      </c>
      <c r="U97" s="33">
        <f t="shared" si="62"/>
        <v>0</v>
      </c>
      <c r="V97" s="33">
        <f t="shared" si="49"/>
        <v>0</v>
      </c>
      <c r="W97" s="33">
        <v>0</v>
      </c>
      <c r="X97" s="33">
        <f t="shared" si="50"/>
        <v>0</v>
      </c>
      <c r="Y97" s="38">
        <f t="shared" si="51"/>
        <v>0</v>
      </c>
      <c r="AA97" s="71">
        <v>92</v>
      </c>
      <c r="AB97" s="33">
        <f t="shared" si="52"/>
        <v>0</v>
      </c>
      <c r="AC97" s="304">
        <f t="shared" si="76"/>
        <v>0</v>
      </c>
      <c r="AD97" s="100">
        <f t="shared" si="53"/>
        <v>0</v>
      </c>
      <c r="AE97" s="100">
        <f t="shared" si="54"/>
        <v>0</v>
      </c>
      <c r="AF97" s="193">
        <f t="shared" si="72"/>
        <v>0</v>
      </c>
      <c r="AG97" s="193">
        <f t="shared" si="73"/>
        <v>0</v>
      </c>
      <c r="AH97" s="193">
        <f t="shared" si="74"/>
        <v>0</v>
      </c>
      <c r="AI97" s="198">
        <f t="shared" si="75"/>
        <v>0</v>
      </c>
      <c r="AK97" s="71">
        <v>92</v>
      </c>
      <c r="AL97" s="33">
        <f t="shared" si="55"/>
        <v>0</v>
      </c>
      <c r="AM97" s="33">
        <f t="shared" si="56"/>
        <v>0</v>
      </c>
      <c r="AN97" s="33">
        <f t="shared" si="57"/>
        <v>0</v>
      </c>
      <c r="AO97" s="33">
        <f t="shared" si="58"/>
        <v>0</v>
      </c>
      <c r="AP97" s="33">
        <f t="shared" si="59"/>
        <v>0</v>
      </c>
      <c r="AQ97" s="193">
        <f t="shared" si="60"/>
        <v>0</v>
      </c>
      <c r="AR97" s="193">
        <f t="shared" si="60"/>
        <v>0</v>
      </c>
      <c r="AS97" s="193">
        <f t="shared" si="60"/>
        <v>0</v>
      </c>
      <c r="AT97" s="193">
        <f t="shared" si="60"/>
        <v>0</v>
      </c>
      <c r="AU97" s="33"/>
      <c r="AV97" s="33"/>
      <c r="AW97" s="33"/>
      <c r="AX97" s="33"/>
      <c r="AY97" s="76"/>
    </row>
    <row r="98" spans="2:51">
      <c r="B98" s="2" t="s">
        <v>1</v>
      </c>
      <c r="C98">
        <v>45</v>
      </c>
      <c r="D98">
        <v>0</v>
      </c>
      <c r="E98" s="6"/>
      <c r="I98" s="55">
        <v>93</v>
      </c>
      <c r="J98" s="33">
        <f t="shared" si="63"/>
        <v>0</v>
      </c>
      <c r="K98" s="33">
        <f t="shared" si="64"/>
        <v>0</v>
      </c>
      <c r="L98" s="33">
        <f t="shared" si="65"/>
        <v>0</v>
      </c>
      <c r="M98" s="33">
        <f t="shared" si="66"/>
        <v>0</v>
      </c>
      <c r="N98" s="33">
        <f t="shared" si="46"/>
        <v>0</v>
      </c>
      <c r="O98" s="34">
        <f t="shared" si="47"/>
        <v>0</v>
      </c>
      <c r="P98" s="55">
        <v>93</v>
      </c>
      <c r="Q98" s="33">
        <f t="shared" si="61"/>
        <v>0</v>
      </c>
      <c r="R98" s="33">
        <f t="shared" si="67"/>
        <v>0</v>
      </c>
      <c r="S98" s="33">
        <f t="shared" si="68"/>
        <v>0</v>
      </c>
      <c r="T98" s="33">
        <f t="shared" si="48"/>
        <v>0</v>
      </c>
      <c r="U98" s="33">
        <f t="shared" si="62"/>
        <v>0</v>
      </c>
      <c r="V98" s="33">
        <f t="shared" si="49"/>
        <v>0</v>
      </c>
      <c r="W98" s="33">
        <v>0</v>
      </c>
      <c r="X98" s="33">
        <f t="shared" si="50"/>
        <v>0</v>
      </c>
      <c r="Y98" s="38">
        <f t="shared" si="51"/>
        <v>0</v>
      </c>
      <c r="AA98" s="71">
        <v>93</v>
      </c>
      <c r="AB98" s="33">
        <f t="shared" si="52"/>
        <v>0</v>
      </c>
      <c r="AC98" s="304">
        <f t="shared" si="76"/>
        <v>0</v>
      </c>
      <c r="AD98" s="100">
        <f t="shared" si="53"/>
        <v>0</v>
      </c>
      <c r="AE98" s="100">
        <f t="shared" si="54"/>
        <v>0</v>
      </c>
      <c r="AF98" s="193">
        <f t="shared" si="72"/>
        <v>0</v>
      </c>
      <c r="AG98" s="193">
        <f t="shared" si="73"/>
        <v>0</v>
      </c>
      <c r="AH98" s="193">
        <f t="shared" si="74"/>
        <v>0</v>
      </c>
      <c r="AI98" s="198">
        <f t="shared" si="75"/>
        <v>0</v>
      </c>
      <c r="AK98" s="71">
        <v>93</v>
      </c>
      <c r="AL98" s="33">
        <f t="shared" si="55"/>
        <v>0</v>
      </c>
      <c r="AM98" s="33">
        <f t="shared" si="56"/>
        <v>0</v>
      </c>
      <c r="AN98" s="33">
        <f t="shared" si="57"/>
        <v>0</v>
      </c>
      <c r="AO98" s="33">
        <f t="shared" si="58"/>
        <v>0</v>
      </c>
      <c r="AP98" s="33">
        <f t="shared" si="59"/>
        <v>0</v>
      </c>
      <c r="AQ98" s="193">
        <f t="shared" si="60"/>
        <v>0</v>
      </c>
      <c r="AR98" s="193">
        <f t="shared" si="60"/>
        <v>0</v>
      </c>
      <c r="AS98" s="193">
        <f t="shared" si="60"/>
        <v>0</v>
      </c>
      <c r="AT98" s="193">
        <f t="shared" si="60"/>
        <v>0</v>
      </c>
      <c r="AU98" s="33"/>
      <c r="AV98" s="33"/>
      <c r="AW98" s="33"/>
      <c r="AX98" s="33"/>
      <c r="AY98" s="76"/>
    </row>
    <row r="99" spans="2:51">
      <c r="B99" s="2" t="s">
        <v>2</v>
      </c>
      <c r="C99">
        <v>70</v>
      </c>
      <c r="D99">
        <v>0</v>
      </c>
      <c r="E99" s="6"/>
      <c r="I99" s="55">
        <v>94</v>
      </c>
      <c r="J99" s="33">
        <f t="shared" si="63"/>
        <v>0</v>
      </c>
      <c r="K99" s="33">
        <f t="shared" si="64"/>
        <v>0</v>
      </c>
      <c r="L99" s="33">
        <f t="shared" si="65"/>
        <v>0</v>
      </c>
      <c r="M99" s="33">
        <f t="shared" si="66"/>
        <v>0</v>
      </c>
      <c r="N99" s="33">
        <f t="shared" si="46"/>
        <v>0</v>
      </c>
      <c r="O99" s="34">
        <f t="shared" si="47"/>
        <v>0</v>
      </c>
      <c r="P99" s="55">
        <v>94</v>
      </c>
      <c r="Q99" s="33">
        <f t="shared" si="61"/>
        <v>0</v>
      </c>
      <c r="R99" s="33">
        <f t="shared" si="67"/>
        <v>0</v>
      </c>
      <c r="S99" s="33">
        <f t="shared" si="68"/>
        <v>0</v>
      </c>
      <c r="T99" s="33">
        <f t="shared" si="48"/>
        <v>0</v>
      </c>
      <c r="U99" s="33">
        <f t="shared" si="62"/>
        <v>0</v>
      </c>
      <c r="V99" s="33">
        <f t="shared" si="49"/>
        <v>0</v>
      </c>
      <c r="W99" s="33">
        <v>0</v>
      </c>
      <c r="X99" s="33">
        <f t="shared" si="50"/>
        <v>0</v>
      </c>
      <c r="Y99" s="38">
        <f t="shared" si="51"/>
        <v>0</v>
      </c>
      <c r="AA99" s="71">
        <v>94</v>
      </c>
      <c r="AB99" s="33">
        <f t="shared" si="52"/>
        <v>0</v>
      </c>
      <c r="AC99" s="304">
        <f t="shared" si="76"/>
        <v>0</v>
      </c>
      <c r="AD99" s="100">
        <f t="shared" si="53"/>
        <v>0</v>
      </c>
      <c r="AE99" s="100">
        <f t="shared" si="54"/>
        <v>0</v>
      </c>
      <c r="AF99" s="193">
        <f t="shared" si="72"/>
        <v>0</v>
      </c>
      <c r="AG99" s="193">
        <f t="shared" si="73"/>
        <v>0</v>
      </c>
      <c r="AH99" s="193">
        <f t="shared" si="74"/>
        <v>0</v>
      </c>
      <c r="AI99" s="198">
        <f t="shared" si="75"/>
        <v>0</v>
      </c>
      <c r="AK99" s="71">
        <v>94</v>
      </c>
      <c r="AL99" s="33">
        <f t="shared" si="55"/>
        <v>0</v>
      </c>
      <c r="AM99" s="33">
        <f t="shared" si="56"/>
        <v>0</v>
      </c>
      <c r="AN99" s="33">
        <f t="shared" si="57"/>
        <v>0</v>
      </c>
      <c r="AO99" s="33">
        <f t="shared" si="58"/>
        <v>0</v>
      </c>
      <c r="AP99" s="33">
        <f t="shared" si="59"/>
        <v>0</v>
      </c>
      <c r="AQ99" s="193">
        <f t="shared" si="60"/>
        <v>0</v>
      </c>
      <c r="AR99" s="193">
        <f t="shared" si="60"/>
        <v>0</v>
      </c>
      <c r="AS99" s="193">
        <f t="shared" si="60"/>
        <v>0</v>
      </c>
      <c r="AT99" s="193">
        <f t="shared" si="60"/>
        <v>0</v>
      </c>
      <c r="AU99" s="33"/>
      <c r="AV99" s="33"/>
      <c r="AW99" s="33"/>
      <c r="AX99" s="33"/>
      <c r="AY99" s="76"/>
    </row>
    <row r="100" spans="2:51">
      <c r="B100" s="2" t="s">
        <v>135</v>
      </c>
      <c r="C100">
        <v>70</v>
      </c>
      <c r="D100">
        <v>0</v>
      </c>
      <c r="E100" s="6"/>
      <c r="I100" s="55">
        <v>95</v>
      </c>
      <c r="J100" s="33">
        <f t="shared" si="63"/>
        <v>0</v>
      </c>
      <c r="K100" s="33">
        <f t="shared" si="64"/>
        <v>0</v>
      </c>
      <c r="L100" s="33">
        <f t="shared" si="65"/>
        <v>0</v>
      </c>
      <c r="M100" s="33">
        <f t="shared" si="66"/>
        <v>0</v>
      </c>
      <c r="N100" s="33">
        <f t="shared" si="46"/>
        <v>0</v>
      </c>
      <c r="O100" s="34">
        <f t="shared" si="47"/>
        <v>0</v>
      </c>
      <c r="P100" s="55">
        <v>95</v>
      </c>
      <c r="Q100" s="33">
        <f t="shared" si="61"/>
        <v>0</v>
      </c>
      <c r="R100" s="33">
        <f t="shared" si="67"/>
        <v>0</v>
      </c>
      <c r="S100" s="33">
        <f t="shared" si="68"/>
        <v>0</v>
      </c>
      <c r="T100" s="33">
        <f t="shared" si="48"/>
        <v>0</v>
      </c>
      <c r="U100" s="33">
        <f t="shared" si="62"/>
        <v>0</v>
      </c>
      <c r="V100" s="33">
        <f t="shared" si="49"/>
        <v>0</v>
      </c>
      <c r="W100" s="33">
        <v>0</v>
      </c>
      <c r="X100" s="33">
        <f t="shared" si="50"/>
        <v>0</v>
      </c>
      <c r="Y100" s="38">
        <f t="shared" si="51"/>
        <v>0</v>
      </c>
      <c r="AA100" s="71">
        <v>95</v>
      </c>
      <c r="AB100" s="33">
        <f t="shared" si="52"/>
        <v>0</v>
      </c>
      <c r="AC100" s="304">
        <f t="shared" si="76"/>
        <v>0</v>
      </c>
      <c r="AD100" s="100">
        <f t="shared" si="53"/>
        <v>0</v>
      </c>
      <c r="AE100" s="100">
        <f t="shared" si="54"/>
        <v>0</v>
      </c>
      <c r="AF100" s="193">
        <f t="shared" si="72"/>
        <v>0</v>
      </c>
      <c r="AG100" s="193">
        <f t="shared" si="73"/>
        <v>0</v>
      </c>
      <c r="AH100" s="193">
        <f t="shared" si="74"/>
        <v>0</v>
      </c>
      <c r="AI100" s="198">
        <f t="shared" si="75"/>
        <v>0</v>
      </c>
      <c r="AK100" s="71">
        <v>95</v>
      </c>
      <c r="AL100" s="33">
        <f t="shared" si="55"/>
        <v>0</v>
      </c>
      <c r="AM100" s="33">
        <f t="shared" si="56"/>
        <v>0</v>
      </c>
      <c r="AN100" s="33">
        <f t="shared" si="57"/>
        <v>0</v>
      </c>
      <c r="AO100" s="33">
        <f t="shared" si="58"/>
        <v>0</v>
      </c>
      <c r="AP100" s="33">
        <f t="shared" si="59"/>
        <v>0</v>
      </c>
      <c r="AQ100" s="193">
        <f t="shared" si="60"/>
        <v>0</v>
      </c>
      <c r="AR100" s="193">
        <f t="shared" si="60"/>
        <v>0</v>
      </c>
      <c r="AS100" s="193">
        <f t="shared" si="60"/>
        <v>0</v>
      </c>
      <c r="AT100" s="193">
        <f t="shared" si="60"/>
        <v>0</v>
      </c>
      <c r="AU100" s="33"/>
      <c r="AV100" s="33"/>
      <c r="AW100" s="33"/>
      <c r="AX100" s="33"/>
      <c r="AY100" s="76"/>
    </row>
    <row r="101" spans="2:51">
      <c r="C101" s="27"/>
      <c r="E101" s="6"/>
      <c r="I101" s="55">
        <v>96</v>
      </c>
      <c r="J101" s="33">
        <f t="shared" si="63"/>
        <v>0</v>
      </c>
      <c r="K101" s="33">
        <f t="shared" si="64"/>
        <v>0</v>
      </c>
      <c r="L101" s="33">
        <f t="shared" si="65"/>
        <v>0</v>
      </c>
      <c r="M101" s="33">
        <f t="shared" si="66"/>
        <v>0</v>
      </c>
      <c r="N101" s="33">
        <f t="shared" si="46"/>
        <v>0</v>
      </c>
      <c r="O101" s="34">
        <f t="shared" si="47"/>
        <v>0</v>
      </c>
      <c r="P101" s="55">
        <v>96</v>
      </c>
      <c r="Q101" s="33">
        <f t="shared" si="61"/>
        <v>0</v>
      </c>
      <c r="R101" s="33">
        <f t="shared" si="67"/>
        <v>0</v>
      </c>
      <c r="S101" s="33">
        <f t="shared" si="68"/>
        <v>0</v>
      </c>
      <c r="T101" s="33">
        <f t="shared" si="48"/>
        <v>0</v>
      </c>
      <c r="U101" s="33">
        <f t="shared" si="62"/>
        <v>0</v>
      </c>
      <c r="V101" s="33">
        <f t="shared" si="49"/>
        <v>0</v>
      </c>
      <c r="W101" s="33">
        <v>0</v>
      </c>
      <c r="X101" s="33">
        <f t="shared" si="50"/>
        <v>0</v>
      </c>
      <c r="Y101" s="38">
        <f t="shared" si="51"/>
        <v>0</v>
      </c>
      <c r="AA101" s="71">
        <v>96</v>
      </c>
      <c r="AB101" s="33">
        <f t="shared" si="52"/>
        <v>0</v>
      </c>
      <c r="AC101" s="304">
        <f t="shared" si="76"/>
        <v>0</v>
      </c>
      <c r="AD101" s="100">
        <f t="shared" si="53"/>
        <v>0</v>
      </c>
      <c r="AE101" s="100">
        <f t="shared" si="54"/>
        <v>0</v>
      </c>
      <c r="AF101" s="193">
        <f t="shared" si="72"/>
        <v>0</v>
      </c>
      <c r="AG101" s="193">
        <f t="shared" si="73"/>
        <v>0</v>
      </c>
      <c r="AH101" s="193">
        <f t="shared" si="74"/>
        <v>0</v>
      </c>
      <c r="AI101" s="198">
        <f t="shared" si="75"/>
        <v>0</v>
      </c>
      <c r="AK101" s="71">
        <v>96</v>
      </c>
      <c r="AL101" s="33">
        <f t="shared" si="55"/>
        <v>0</v>
      </c>
      <c r="AM101" s="33">
        <f t="shared" si="56"/>
        <v>0</v>
      </c>
      <c r="AN101" s="33">
        <f t="shared" si="57"/>
        <v>0</v>
      </c>
      <c r="AO101" s="33">
        <f t="shared" si="58"/>
        <v>0</v>
      </c>
      <c r="AP101" s="33">
        <f t="shared" si="59"/>
        <v>0</v>
      </c>
      <c r="AQ101" s="193">
        <f t="shared" si="60"/>
        <v>0</v>
      </c>
      <c r="AR101" s="193">
        <f t="shared" si="60"/>
        <v>0</v>
      </c>
      <c r="AS101" s="193">
        <f t="shared" si="60"/>
        <v>0</v>
      </c>
      <c r="AT101" s="193">
        <f t="shared" si="60"/>
        <v>0</v>
      </c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63"/>
        <v>0</v>
      </c>
      <c r="K102" s="33">
        <f t="shared" si="64"/>
        <v>0</v>
      </c>
      <c r="L102" s="33">
        <f t="shared" si="65"/>
        <v>0</v>
      </c>
      <c r="M102" s="33">
        <f t="shared" si="66"/>
        <v>0</v>
      </c>
      <c r="N102" s="33">
        <f t="shared" si="46"/>
        <v>0</v>
      </c>
      <c r="O102" s="34">
        <f t="shared" si="47"/>
        <v>0</v>
      </c>
      <c r="P102" s="55">
        <v>97</v>
      </c>
      <c r="Q102" s="33">
        <f t="shared" si="61"/>
        <v>0</v>
      </c>
      <c r="R102" s="33">
        <f t="shared" si="67"/>
        <v>0</v>
      </c>
      <c r="S102" s="33">
        <f t="shared" si="68"/>
        <v>0</v>
      </c>
      <c r="T102" s="33">
        <f t="shared" si="48"/>
        <v>0</v>
      </c>
      <c r="U102" s="33">
        <f t="shared" si="62"/>
        <v>0</v>
      </c>
      <c r="V102" s="33">
        <f t="shared" si="49"/>
        <v>0</v>
      </c>
      <c r="W102" s="33">
        <v>0</v>
      </c>
      <c r="X102" s="33">
        <f t="shared" si="50"/>
        <v>0</v>
      </c>
      <c r="Y102" s="38">
        <f t="shared" si="51"/>
        <v>0</v>
      </c>
      <c r="AA102" s="71">
        <v>97</v>
      </c>
      <c r="AB102" s="33">
        <f t="shared" si="52"/>
        <v>0</v>
      </c>
      <c r="AC102" s="304">
        <f t="shared" si="76"/>
        <v>0</v>
      </c>
      <c r="AD102" s="100">
        <f t="shared" si="53"/>
        <v>0</v>
      </c>
      <c r="AE102" s="100">
        <f t="shared" si="54"/>
        <v>0</v>
      </c>
      <c r="AF102" s="193">
        <f t="shared" si="72"/>
        <v>0</v>
      </c>
      <c r="AG102" s="193">
        <f t="shared" si="73"/>
        <v>0</v>
      </c>
      <c r="AH102" s="193">
        <f t="shared" si="74"/>
        <v>0</v>
      </c>
      <c r="AI102" s="198">
        <f t="shared" si="75"/>
        <v>0</v>
      </c>
      <c r="AK102" s="71">
        <v>97</v>
      </c>
      <c r="AL102" s="33">
        <f t="shared" si="55"/>
        <v>0</v>
      </c>
      <c r="AM102" s="33">
        <f t="shared" si="56"/>
        <v>0</v>
      </c>
      <c r="AN102" s="33">
        <f t="shared" si="57"/>
        <v>0</v>
      </c>
      <c r="AO102" s="33">
        <f t="shared" si="58"/>
        <v>0</v>
      </c>
      <c r="AP102" s="33">
        <f t="shared" si="59"/>
        <v>0</v>
      </c>
      <c r="AQ102" s="193">
        <f t="shared" si="60"/>
        <v>0</v>
      </c>
      <c r="AR102" s="193">
        <f t="shared" si="60"/>
        <v>0</v>
      </c>
      <c r="AS102" s="193">
        <f t="shared" si="60"/>
        <v>0</v>
      </c>
      <c r="AT102" s="193">
        <f t="shared" si="60"/>
        <v>0</v>
      </c>
      <c r="AU102" s="33"/>
      <c r="AV102" s="33"/>
      <c r="AW102" s="33"/>
      <c r="AX102" s="33"/>
      <c r="AY102" s="76"/>
    </row>
    <row r="103" spans="2:51" ht="16">
      <c r="C103" s="25" t="s">
        <v>157</v>
      </c>
      <c r="D103" s="156" t="s">
        <v>158</v>
      </c>
      <c r="F103" s="189" t="s">
        <v>232</v>
      </c>
      <c r="I103" s="55">
        <v>98</v>
      </c>
      <c r="J103" s="33">
        <f t="shared" si="63"/>
        <v>0</v>
      </c>
      <c r="K103" s="33">
        <f t="shared" si="64"/>
        <v>0</v>
      </c>
      <c r="L103" s="33">
        <f t="shared" si="65"/>
        <v>0</v>
      </c>
      <c r="M103" s="33">
        <f t="shared" si="66"/>
        <v>0</v>
      </c>
      <c r="N103" s="33">
        <f t="shared" si="46"/>
        <v>0</v>
      </c>
      <c r="O103" s="34">
        <f t="shared" si="47"/>
        <v>0</v>
      </c>
      <c r="P103" s="55">
        <v>98</v>
      </c>
      <c r="Q103" s="33">
        <f t="shared" si="61"/>
        <v>0</v>
      </c>
      <c r="R103" s="33">
        <f t="shared" si="67"/>
        <v>0</v>
      </c>
      <c r="S103" s="33">
        <f t="shared" si="68"/>
        <v>0</v>
      </c>
      <c r="T103" s="33">
        <f t="shared" si="48"/>
        <v>0</v>
      </c>
      <c r="U103" s="33">
        <f t="shared" si="62"/>
        <v>0</v>
      </c>
      <c r="V103" s="33">
        <f t="shared" si="49"/>
        <v>0</v>
      </c>
      <c r="W103" s="33">
        <v>0</v>
      </c>
      <c r="X103" s="33">
        <f t="shared" si="50"/>
        <v>0</v>
      </c>
      <c r="Y103" s="38">
        <f t="shared" si="51"/>
        <v>0</v>
      </c>
      <c r="AA103" s="71">
        <v>98</v>
      </c>
      <c r="AB103" s="33">
        <f t="shared" si="52"/>
        <v>0</v>
      </c>
      <c r="AC103" s="304">
        <f t="shared" si="76"/>
        <v>0</v>
      </c>
      <c r="AD103" s="100">
        <f t="shared" si="53"/>
        <v>0</v>
      </c>
      <c r="AE103" s="100">
        <f t="shared" si="54"/>
        <v>0</v>
      </c>
      <c r="AF103" s="193">
        <f t="shared" si="72"/>
        <v>0</v>
      </c>
      <c r="AG103" s="193">
        <f t="shared" si="73"/>
        <v>0</v>
      </c>
      <c r="AH103" s="193">
        <f t="shared" si="74"/>
        <v>0</v>
      </c>
      <c r="AI103" s="198">
        <f t="shared" si="75"/>
        <v>0</v>
      </c>
      <c r="AK103" s="71">
        <v>98</v>
      </c>
      <c r="AL103" s="33">
        <f t="shared" si="55"/>
        <v>0</v>
      </c>
      <c r="AM103" s="33">
        <f t="shared" si="56"/>
        <v>0</v>
      </c>
      <c r="AN103" s="33">
        <f t="shared" si="57"/>
        <v>0</v>
      </c>
      <c r="AO103" s="33">
        <f t="shared" si="58"/>
        <v>0</v>
      </c>
      <c r="AP103" s="33">
        <f t="shared" si="59"/>
        <v>0</v>
      </c>
      <c r="AQ103" s="193">
        <f t="shared" si="60"/>
        <v>0</v>
      </c>
      <c r="AR103" s="193">
        <f t="shared" si="60"/>
        <v>0</v>
      </c>
      <c r="AS103" s="193">
        <f t="shared" si="60"/>
        <v>0</v>
      </c>
      <c r="AT103" s="193">
        <f t="shared" si="60"/>
        <v>0</v>
      </c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188" t="s">
        <v>228</v>
      </c>
      <c r="G104" s="24">
        <v>0.25</v>
      </c>
      <c r="I104" s="55">
        <v>99</v>
      </c>
      <c r="J104" s="33">
        <f t="shared" si="63"/>
        <v>0</v>
      </c>
      <c r="K104" s="33">
        <f t="shared" si="64"/>
        <v>0</v>
      </c>
      <c r="L104" s="33">
        <f t="shared" si="65"/>
        <v>0</v>
      </c>
      <c r="M104" s="33">
        <f t="shared" si="66"/>
        <v>0</v>
      </c>
      <c r="N104" s="33">
        <f t="shared" si="46"/>
        <v>0</v>
      </c>
      <c r="O104" s="34">
        <f t="shared" si="47"/>
        <v>0</v>
      </c>
      <c r="P104" s="55">
        <v>99</v>
      </c>
      <c r="Q104" s="33">
        <f t="shared" si="61"/>
        <v>0</v>
      </c>
      <c r="R104" s="33">
        <f t="shared" si="67"/>
        <v>0</v>
      </c>
      <c r="S104" s="33">
        <f t="shared" si="68"/>
        <v>0</v>
      </c>
      <c r="T104" s="33">
        <f t="shared" si="48"/>
        <v>0</v>
      </c>
      <c r="U104" s="33">
        <f t="shared" si="62"/>
        <v>0</v>
      </c>
      <c r="V104" s="33">
        <f t="shared" si="49"/>
        <v>0</v>
      </c>
      <c r="W104" s="33">
        <v>0</v>
      </c>
      <c r="X104" s="33">
        <f t="shared" si="50"/>
        <v>0</v>
      </c>
      <c r="Y104" s="38">
        <f t="shared" si="51"/>
        <v>0</v>
      </c>
      <c r="AA104" s="71">
        <v>99</v>
      </c>
      <c r="AB104" s="33">
        <f t="shared" si="52"/>
        <v>0</v>
      </c>
      <c r="AC104" s="304">
        <f t="shared" si="76"/>
        <v>0</v>
      </c>
      <c r="AD104" s="100">
        <f t="shared" si="53"/>
        <v>0</v>
      </c>
      <c r="AE104" s="100">
        <f t="shared" si="54"/>
        <v>0</v>
      </c>
      <c r="AF104" s="193">
        <f t="shared" si="72"/>
        <v>0</v>
      </c>
      <c r="AG104" s="193">
        <f t="shared" si="73"/>
        <v>0</v>
      </c>
      <c r="AH104" s="193">
        <f t="shared" si="74"/>
        <v>0</v>
      </c>
      <c r="AI104" s="198">
        <f t="shared" si="75"/>
        <v>0</v>
      </c>
      <c r="AK104" s="71">
        <v>99</v>
      </c>
      <c r="AL104" s="33">
        <f t="shared" si="55"/>
        <v>0</v>
      </c>
      <c r="AM104" s="33">
        <f t="shared" si="56"/>
        <v>0</v>
      </c>
      <c r="AN104" s="33">
        <f t="shared" si="57"/>
        <v>0</v>
      </c>
      <c r="AO104" s="33">
        <f t="shared" si="58"/>
        <v>0</v>
      </c>
      <c r="AP104" s="33">
        <f t="shared" si="59"/>
        <v>0</v>
      </c>
      <c r="AQ104" s="193">
        <f t="shared" si="60"/>
        <v>0</v>
      </c>
      <c r="AR104" s="193">
        <f t="shared" si="60"/>
        <v>0</v>
      </c>
      <c r="AS104" s="193">
        <f t="shared" si="60"/>
        <v>0</v>
      </c>
      <c r="AT104" s="193">
        <f t="shared" si="60"/>
        <v>0</v>
      </c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188" t="s">
        <v>230</v>
      </c>
      <c r="G105" s="24">
        <v>1.03</v>
      </c>
      <c r="I105" s="55">
        <v>100</v>
      </c>
      <c r="J105" s="33">
        <f t="shared" si="63"/>
        <v>0</v>
      </c>
      <c r="K105" s="33">
        <f t="shared" si="64"/>
        <v>0</v>
      </c>
      <c r="L105" s="33">
        <f t="shared" si="65"/>
        <v>0</v>
      </c>
      <c r="M105" s="33">
        <f t="shared" si="66"/>
        <v>0</v>
      </c>
      <c r="N105" s="33">
        <f t="shared" si="46"/>
        <v>0</v>
      </c>
      <c r="O105" s="34">
        <f t="shared" si="47"/>
        <v>0</v>
      </c>
      <c r="P105" s="55">
        <v>100</v>
      </c>
      <c r="Q105" s="33">
        <f t="shared" si="61"/>
        <v>0</v>
      </c>
      <c r="R105" s="33">
        <f t="shared" si="67"/>
        <v>0</v>
      </c>
      <c r="S105" s="33">
        <f t="shared" si="68"/>
        <v>0</v>
      </c>
      <c r="T105" s="33">
        <f t="shared" si="48"/>
        <v>0</v>
      </c>
      <c r="U105" s="33">
        <f t="shared" si="62"/>
        <v>0</v>
      </c>
      <c r="V105" s="33">
        <f t="shared" si="49"/>
        <v>0</v>
      </c>
      <c r="W105" s="33">
        <v>0</v>
      </c>
      <c r="X105" s="33">
        <f t="shared" si="50"/>
        <v>0</v>
      </c>
      <c r="Y105" s="38">
        <f t="shared" si="51"/>
        <v>0</v>
      </c>
      <c r="AA105" s="71">
        <v>100</v>
      </c>
      <c r="AB105" s="33">
        <f t="shared" si="52"/>
        <v>0</v>
      </c>
      <c r="AC105" s="304">
        <f t="shared" si="76"/>
        <v>0</v>
      </c>
      <c r="AD105" s="100">
        <f t="shared" si="53"/>
        <v>0</v>
      </c>
      <c r="AE105" s="100">
        <f t="shared" si="54"/>
        <v>0</v>
      </c>
      <c r="AF105" s="193">
        <f t="shared" si="72"/>
        <v>0</v>
      </c>
      <c r="AG105" s="193">
        <f t="shared" si="73"/>
        <v>0</v>
      </c>
      <c r="AH105" s="193">
        <f t="shared" si="74"/>
        <v>0</v>
      </c>
      <c r="AI105" s="198">
        <f t="shared" si="75"/>
        <v>0</v>
      </c>
      <c r="AK105" s="71">
        <v>100</v>
      </c>
      <c r="AL105" s="33">
        <f t="shared" si="55"/>
        <v>0</v>
      </c>
      <c r="AM105" s="33">
        <f t="shared" si="56"/>
        <v>0</v>
      </c>
      <c r="AN105" s="33">
        <f t="shared" si="57"/>
        <v>0</v>
      </c>
      <c r="AO105" s="33">
        <f t="shared" si="58"/>
        <v>0</v>
      </c>
      <c r="AP105" s="33">
        <f t="shared" si="59"/>
        <v>0</v>
      </c>
      <c r="AQ105" s="193">
        <f t="shared" si="60"/>
        <v>0</v>
      </c>
      <c r="AR105" s="193">
        <f t="shared" si="60"/>
        <v>0</v>
      </c>
      <c r="AS105" s="193">
        <f t="shared" si="60"/>
        <v>0</v>
      </c>
      <c r="AT105" s="193">
        <f t="shared" si="60"/>
        <v>0</v>
      </c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188" t="s">
        <v>231</v>
      </c>
      <c r="G106" s="24">
        <v>0.59</v>
      </c>
      <c r="I106" s="55">
        <v>101</v>
      </c>
      <c r="J106" s="33">
        <f t="shared" si="63"/>
        <v>0</v>
      </c>
      <c r="K106" s="33">
        <f t="shared" si="64"/>
        <v>0</v>
      </c>
      <c r="L106" s="33">
        <f t="shared" si="65"/>
        <v>0</v>
      </c>
      <c r="M106" s="33">
        <f t="shared" si="66"/>
        <v>0</v>
      </c>
      <c r="N106" s="33">
        <f t="shared" si="46"/>
        <v>0</v>
      </c>
      <c r="O106" s="34">
        <f t="shared" si="47"/>
        <v>0</v>
      </c>
      <c r="P106" s="55">
        <v>101</v>
      </c>
      <c r="Q106" s="33">
        <f t="shared" si="61"/>
        <v>0</v>
      </c>
      <c r="R106" s="33">
        <f t="shared" si="67"/>
        <v>0</v>
      </c>
      <c r="S106" s="33">
        <f t="shared" si="68"/>
        <v>0</v>
      </c>
      <c r="T106" s="33">
        <f t="shared" si="48"/>
        <v>0</v>
      </c>
      <c r="U106" s="33">
        <f t="shared" si="62"/>
        <v>0</v>
      </c>
      <c r="V106" s="33">
        <f t="shared" si="49"/>
        <v>0</v>
      </c>
      <c r="W106" s="33">
        <v>0</v>
      </c>
      <c r="X106" s="33">
        <f t="shared" si="50"/>
        <v>0</v>
      </c>
      <c r="Y106" s="38">
        <f t="shared" si="51"/>
        <v>0</v>
      </c>
      <c r="AA106" s="71">
        <v>101</v>
      </c>
      <c r="AB106" s="33">
        <f t="shared" si="52"/>
        <v>0</v>
      </c>
      <c r="AC106" s="304">
        <f t="shared" si="76"/>
        <v>0</v>
      </c>
      <c r="AD106" s="100">
        <f t="shared" si="53"/>
        <v>0</v>
      </c>
      <c r="AE106" s="100">
        <f t="shared" si="54"/>
        <v>0</v>
      </c>
      <c r="AF106" s="193">
        <f t="shared" si="72"/>
        <v>0</v>
      </c>
      <c r="AG106" s="193">
        <f t="shared" si="73"/>
        <v>0</v>
      </c>
      <c r="AH106" s="193">
        <f t="shared" si="74"/>
        <v>0</v>
      </c>
      <c r="AI106" s="198">
        <f t="shared" si="75"/>
        <v>0</v>
      </c>
      <c r="AK106" s="71">
        <v>101</v>
      </c>
      <c r="AL106" s="33">
        <f t="shared" si="55"/>
        <v>0</v>
      </c>
      <c r="AM106" s="33">
        <f t="shared" si="56"/>
        <v>0</v>
      </c>
      <c r="AN106" s="33">
        <f t="shared" si="57"/>
        <v>0</v>
      </c>
      <c r="AO106" s="33">
        <f t="shared" si="58"/>
        <v>0</v>
      </c>
      <c r="AP106" s="33">
        <f t="shared" si="59"/>
        <v>0</v>
      </c>
      <c r="AQ106" s="193">
        <f t="shared" si="60"/>
        <v>0</v>
      </c>
      <c r="AR106" s="193">
        <f t="shared" si="60"/>
        <v>0</v>
      </c>
      <c r="AS106" s="193">
        <f t="shared" si="60"/>
        <v>0</v>
      </c>
      <c r="AT106" s="193">
        <f t="shared" si="60"/>
        <v>0</v>
      </c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88" t="s">
        <v>229</v>
      </c>
      <c r="G107" s="24">
        <v>0.43</v>
      </c>
      <c r="I107" s="55">
        <v>102</v>
      </c>
      <c r="J107" s="33">
        <f t="shared" si="63"/>
        <v>0</v>
      </c>
      <c r="K107" s="33">
        <f t="shared" si="64"/>
        <v>0</v>
      </c>
      <c r="L107" s="33">
        <f t="shared" si="65"/>
        <v>0</v>
      </c>
      <c r="M107" s="33">
        <f t="shared" si="66"/>
        <v>0</v>
      </c>
      <c r="N107" s="33">
        <f t="shared" si="46"/>
        <v>0</v>
      </c>
      <c r="O107" s="34">
        <f t="shared" si="47"/>
        <v>0</v>
      </c>
      <c r="P107" s="55">
        <v>102</v>
      </c>
      <c r="Q107" s="33">
        <f t="shared" si="61"/>
        <v>0</v>
      </c>
      <c r="R107" s="33">
        <f t="shared" si="67"/>
        <v>0</v>
      </c>
      <c r="S107" s="33">
        <f t="shared" si="68"/>
        <v>0</v>
      </c>
      <c r="T107" s="33">
        <f t="shared" si="48"/>
        <v>0</v>
      </c>
      <c r="U107" s="33">
        <f t="shared" si="62"/>
        <v>0</v>
      </c>
      <c r="V107" s="33">
        <f t="shared" si="49"/>
        <v>0</v>
      </c>
      <c r="W107" s="33">
        <v>0</v>
      </c>
      <c r="X107" s="33">
        <f t="shared" si="50"/>
        <v>0</v>
      </c>
      <c r="Y107" s="38">
        <f t="shared" si="51"/>
        <v>0</v>
      </c>
      <c r="AA107" s="71">
        <v>102</v>
      </c>
      <c r="AB107" s="33">
        <f t="shared" si="52"/>
        <v>0</v>
      </c>
      <c r="AC107" s="304">
        <f t="shared" si="76"/>
        <v>0</v>
      </c>
      <c r="AD107" s="100">
        <f t="shared" si="53"/>
        <v>0</v>
      </c>
      <c r="AE107" s="100">
        <f t="shared" si="54"/>
        <v>0</v>
      </c>
      <c r="AF107" s="193">
        <f t="shared" si="72"/>
        <v>0</v>
      </c>
      <c r="AG107" s="193">
        <f t="shared" si="73"/>
        <v>0</v>
      </c>
      <c r="AH107" s="193">
        <f t="shared" si="74"/>
        <v>0</v>
      </c>
      <c r="AI107" s="198">
        <f t="shared" si="75"/>
        <v>0</v>
      </c>
      <c r="AK107" s="71">
        <v>102</v>
      </c>
      <c r="AL107" s="33">
        <f t="shared" si="55"/>
        <v>0</v>
      </c>
      <c r="AM107" s="33">
        <f t="shared" si="56"/>
        <v>0</v>
      </c>
      <c r="AN107" s="33">
        <f t="shared" si="57"/>
        <v>0</v>
      </c>
      <c r="AO107" s="33">
        <f t="shared" si="58"/>
        <v>0</v>
      </c>
      <c r="AP107" s="33">
        <f t="shared" si="59"/>
        <v>0</v>
      </c>
      <c r="AQ107" s="193">
        <f t="shared" si="60"/>
        <v>0</v>
      </c>
      <c r="AR107" s="193">
        <f t="shared" si="60"/>
        <v>0</v>
      </c>
      <c r="AS107" s="193">
        <f t="shared" si="60"/>
        <v>0</v>
      </c>
      <c r="AT107" s="193">
        <f t="shared" si="60"/>
        <v>0</v>
      </c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190" t="s">
        <v>233</v>
      </c>
      <c r="G108" s="191">
        <f>VLOOKUP(VLOOKUP(F17,C131:E195,3,FALSE),F104:G107,2,FALSE)</f>
        <v>0.43</v>
      </c>
      <c r="I108" s="55">
        <v>103</v>
      </c>
      <c r="J108" s="33">
        <f t="shared" si="63"/>
        <v>0</v>
      </c>
      <c r="K108" s="33">
        <f t="shared" si="64"/>
        <v>0</v>
      </c>
      <c r="L108" s="33">
        <f t="shared" si="65"/>
        <v>0</v>
      </c>
      <c r="M108" s="33">
        <f t="shared" si="66"/>
        <v>0</v>
      </c>
      <c r="N108" s="33">
        <f t="shared" si="46"/>
        <v>0</v>
      </c>
      <c r="O108" s="34">
        <f t="shared" si="47"/>
        <v>0</v>
      </c>
      <c r="P108" s="55">
        <v>103</v>
      </c>
      <c r="Q108" s="33">
        <f t="shared" si="61"/>
        <v>0</v>
      </c>
      <c r="R108" s="33">
        <f t="shared" si="67"/>
        <v>0</v>
      </c>
      <c r="S108" s="33">
        <f t="shared" si="68"/>
        <v>0</v>
      </c>
      <c r="T108" s="33">
        <f t="shared" si="48"/>
        <v>0</v>
      </c>
      <c r="U108" s="33">
        <f t="shared" si="62"/>
        <v>0</v>
      </c>
      <c r="V108" s="33">
        <f t="shared" si="49"/>
        <v>0</v>
      </c>
      <c r="W108" s="33">
        <v>0</v>
      </c>
      <c r="X108" s="33">
        <f t="shared" si="50"/>
        <v>0</v>
      </c>
      <c r="Y108" s="38">
        <f t="shared" si="51"/>
        <v>0</v>
      </c>
      <c r="AA108" s="71">
        <v>103</v>
      </c>
      <c r="AB108" s="33">
        <f t="shared" si="52"/>
        <v>0</v>
      </c>
      <c r="AC108" s="304">
        <f t="shared" si="76"/>
        <v>0</v>
      </c>
      <c r="AD108" s="100">
        <f t="shared" si="53"/>
        <v>0</v>
      </c>
      <c r="AE108" s="100">
        <f t="shared" si="54"/>
        <v>0</v>
      </c>
      <c r="AF108" s="193">
        <f t="shared" si="72"/>
        <v>0</v>
      </c>
      <c r="AG108" s="193">
        <f t="shared" si="73"/>
        <v>0</v>
      </c>
      <c r="AH108" s="193">
        <f t="shared" si="74"/>
        <v>0</v>
      </c>
      <c r="AI108" s="198">
        <f t="shared" si="75"/>
        <v>0</v>
      </c>
      <c r="AK108" s="71">
        <v>103</v>
      </c>
      <c r="AL108" s="33">
        <f t="shared" si="55"/>
        <v>0</v>
      </c>
      <c r="AM108" s="33">
        <f t="shared" si="56"/>
        <v>0</v>
      </c>
      <c r="AN108" s="33">
        <f t="shared" si="57"/>
        <v>0</v>
      </c>
      <c r="AO108" s="33">
        <f t="shared" si="58"/>
        <v>0</v>
      </c>
      <c r="AP108" s="33">
        <f t="shared" si="59"/>
        <v>0</v>
      </c>
      <c r="AQ108" s="193">
        <f t="shared" si="60"/>
        <v>0</v>
      </c>
      <c r="AR108" s="193">
        <f t="shared" si="60"/>
        <v>0</v>
      </c>
      <c r="AS108" s="193">
        <f t="shared" si="60"/>
        <v>0</v>
      </c>
      <c r="AT108" s="193">
        <f t="shared" si="60"/>
        <v>0</v>
      </c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63"/>
        <v>0</v>
      </c>
      <c r="K109" s="33">
        <f t="shared" si="64"/>
        <v>0</v>
      </c>
      <c r="L109" s="33">
        <f t="shared" si="65"/>
        <v>0</v>
      </c>
      <c r="M109" s="33">
        <f t="shared" si="66"/>
        <v>0</v>
      </c>
      <c r="N109" s="33">
        <f t="shared" si="46"/>
        <v>0</v>
      </c>
      <c r="O109" s="34">
        <f t="shared" si="47"/>
        <v>0</v>
      </c>
      <c r="P109" s="55">
        <v>104</v>
      </c>
      <c r="Q109" s="33">
        <f t="shared" si="61"/>
        <v>0</v>
      </c>
      <c r="R109" s="33">
        <f t="shared" si="67"/>
        <v>0</v>
      </c>
      <c r="S109" s="33">
        <f t="shared" si="68"/>
        <v>0</v>
      </c>
      <c r="T109" s="33">
        <f t="shared" si="48"/>
        <v>0</v>
      </c>
      <c r="U109" s="33">
        <f t="shared" si="62"/>
        <v>0</v>
      </c>
      <c r="V109" s="33">
        <f t="shared" si="49"/>
        <v>0</v>
      </c>
      <c r="W109" s="33">
        <v>0</v>
      </c>
      <c r="X109" s="33">
        <f t="shared" si="50"/>
        <v>0</v>
      </c>
      <c r="Y109" s="38">
        <f t="shared" si="51"/>
        <v>0</v>
      </c>
      <c r="AA109" s="71">
        <v>104</v>
      </c>
      <c r="AB109" s="33">
        <f t="shared" si="52"/>
        <v>0</v>
      </c>
      <c r="AC109" s="304">
        <f t="shared" si="76"/>
        <v>0</v>
      </c>
      <c r="AD109" s="100">
        <f t="shared" si="53"/>
        <v>0</v>
      </c>
      <c r="AE109" s="100">
        <f t="shared" si="54"/>
        <v>0</v>
      </c>
      <c r="AF109" s="193">
        <f t="shared" si="72"/>
        <v>0</v>
      </c>
      <c r="AG109" s="193">
        <f t="shared" si="73"/>
        <v>0</v>
      </c>
      <c r="AH109" s="193">
        <f t="shared" si="74"/>
        <v>0</v>
      </c>
      <c r="AI109" s="198">
        <f t="shared" si="75"/>
        <v>0</v>
      </c>
      <c r="AK109" s="71">
        <v>104</v>
      </c>
      <c r="AL109" s="33">
        <f t="shared" si="55"/>
        <v>0</v>
      </c>
      <c r="AM109" s="33">
        <f t="shared" si="56"/>
        <v>0</v>
      </c>
      <c r="AN109" s="33">
        <f t="shared" si="57"/>
        <v>0</v>
      </c>
      <c r="AO109" s="33">
        <f t="shared" si="58"/>
        <v>0</v>
      </c>
      <c r="AP109" s="33">
        <f t="shared" si="59"/>
        <v>0</v>
      </c>
      <c r="AQ109" s="193">
        <f t="shared" si="60"/>
        <v>0</v>
      </c>
      <c r="AR109" s="193">
        <f t="shared" si="60"/>
        <v>0</v>
      </c>
      <c r="AS109" s="193">
        <f t="shared" si="60"/>
        <v>0</v>
      </c>
      <c r="AT109" s="193">
        <f t="shared" si="60"/>
        <v>0</v>
      </c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63"/>
        <v>0</v>
      </c>
      <c r="K110" s="33">
        <f t="shared" si="64"/>
        <v>0</v>
      </c>
      <c r="L110" s="33">
        <f t="shared" si="65"/>
        <v>0</v>
      </c>
      <c r="M110" s="33">
        <f t="shared" si="66"/>
        <v>0</v>
      </c>
      <c r="N110" s="33">
        <f t="shared" si="46"/>
        <v>0</v>
      </c>
      <c r="O110" s="34">
        <f t="shared" si="47"/>
        <v>0</v>
      </c>
      <c r="P110" s="55">
        <v>105</v>
      </c>
      <c r="Q110" s="33">
        <f t="shared" si="61"/>
        <v>0</v>
      </c>
      <c r="R110" s="33">
        <f t="shared" si="67"/>
        <v>0</v>
      </c>
      <c r="S110" s="33">
        <f t="shared" si="68"/>
        <v>0</v>
      </c>
      <c r="T110" s="33">
        <f t="shared" si="48"/>
        <v>0</v>
      </c>
      <c r="U110" s="33">
        <f t="shared" si="62"/>
        <v>0</v>
      </c>
      <c r="V110" s="33">
        <f t="shared" si="49"/>
        <v>0</v>
      </c>
      <c r="W110" s="33">
        <v>0</v>
      </c>
      <c r="X110" s="33">
        <f t="shared" si="50"/>
        <v>0</v>
      </c>
      <c r="Y110" s="38">
        <f t="shared" si="51"/>
        <v>0</v>
      </c>
      <c r="AA110" s="71">
        <v>105</v>
      </c>
      <c r="AB110" s="33">
        <f t="shared" si="52"/>
        <v>0</v>
      </c>
      <c r="AC110" s="304">
        <f t="shared" si="76"/>
        <v>0</v>
      </c>
      <c r="AD110" s="100">
        <f t="shared" si="53"/>
        <v>0</v>
      </c>
      <c r="AE110" s="100">
        <f t="shared" si="54"/>
        <v>0</v>
      </c>
      <c r="AF110" s="193">
        <f t="shared" si="72"/>
        <v>0</v>
      </c>
      <c r="AG110" s="193">
        <f t="shared" si="73"/>
        <v>0</v>
      </c>
      <c r="AH110" s="193">
        <f t="shared" si="74"/>
        <v>0</v>
      </c>
      <c r="AI110" s="198">
        <f t="shared" si="75"/>
        <v>0</v>
      </c>
      <c r="AK110" s="71">
        <v>105</v>
      </c>
      <c r="AL110" s="33">
        <f t="shared" si="55"/>
        <v>0</v>
      </c>
      <c r="AM110" s="33">
        <f t="shared" si="56"/>
        <v>0</v>
      </c>
      <c r="AN110" s="33">
        <f t="shared" si="57"/>
        <v>0</v>
      </c>
      <c r="AO110" s="33">
        <f t="shared" si="58"/>
        <v>0</v>
      </c>
      <c r="AP110" s="33">
        <f t="shared" si="59"/>
        <v>0</v>
      </c>
      <c r="AQ110" s="193">
        <f t="shared" si="60"/>
        <v>0</v>
      </c>
      <c r="AR110" s="193">
        <f t="shared" si="60"/>
        <v>0</v>
      </c>
      <c r="AS110" s="193">
        <f t="shared" si="60"/>
        <v>0</v>
      </c>
      <c r="AT110" s="193">
        <f t="shared" si="60"/>
        <v>0</v>
      </c>
      <c r="AU110" s="33"/>
      <c r="AV110" s="33"/>
      <c r="AW110" s="33"/>
      <c r="AX110" s="33"/>
      <c r="AY110" s="76"/>
    </row>
    <row r="111" spans="2:51">
      <c r="C111" s="156" t="s">
        <v>169</v>
      </c>
      <c r="D111" s="156"/>
      <c r="E111" s="156"/>
      <c r="I111" s="55">
        <v>106</v>
      </c>
      <c r="J111" s="33">
        <f t="shared" si="63"/>
        <v>0</v>
      </c>
      <c r="K111" s="33">
        <f t="shared" si="64"/>
        <v>0</v>
      </c>
      <c r="L111" s="33">
        <f t="shared" si="65"/>
        <v>0</v>
      </c>
      <c r="M111" s="33">
        <f t="shared" si="66"/>
        <v>0</v>
      </c>
      <c r="N111" s="33">
        <f t="shared" si="46"/>
        <v>0</v>
      </c>
      <c r="O111" s="34">
        <f t="shared" si="47"/>
        <v>0</v>
      </c>
      <c r="P111" s="55">
        <v>106</v>
      </c>
      <c r="Q111" s="33">
        <f t="shared" si="61"/>
        <v>0</v>
      </c>
      <c r="R111" s="33">
        <f t="shared" si="67"/>
        <v>0</v>
      </c>
      <c r="S111" s="33">
        <f t="shared" si="68"/>
        <v>0</v>
      </c>
      <c r="T111" s="33">
        <f t="shared" si="48"/>
        <v>0</v>
      </c>
      <c r="U111" s="33">
        <f t="shared" si="62"/>
        <v>0</v>
      </c>
      <c r="V111" s="33">
        <f t="shared" si="49"/>
        <v>0</v>
      </c>
      <c r="W111" s="33">
        <v>0</v>
      </c>
      <c r="X111" s="33">
        <f t="shared" si="50"/>
        <v>0</v>
      </c>
      <c r="Y111" s="38">
        <f t="shared" si="51"/>
        <v>0</v>
      </c>
      <c r="AA111" s="71">
        <v>106</v>
      </c>
      <c r="AB111" s="33">
        <f t="shared" si="52"/>
        <v>0</v>
      </c>
      <c r="AC111" s="304">
        <f t="shared" si="76"/>
        <v>0</v>
      </c>
      <c r="AD111" s="100">
        <f t="shared" si="53"/>
        <v>0</v>
      </c>
      <c r="AE111" s="100">
        <f t="shared" si="54"/>
        <v>0</v>
      </c>
      <c r="AF111" s="193">
        <f t="shared" si="72"/>
        <v>0</v>
      </c>
      <c r="AG111" s="193">
        <f t="shared" si="73"/>
        <v>0</v>
      </c>
      <c r="AH111" s="193">
        <f t="shared" si="74"/>
        <v>0</v>
      </c>
      <c r="AI111" s="198">
        <f t="shared" si="75"/>
        <v>0</v>
      </c>
      <c r="AK111" s="71">
        <v>106</v>
      </c>
      <c r="AL111" s="33">
        <f t="shared" si="55"/>
        <v>0</v>
      </c>
      <c r="AM111" s="33">
        <f t="shared" si="56"/>
        <v>0</v>
      </c>
      <c r="AN111" s="33">
        <f t="shared" si="57"/>
        <v>0</v>
      </c>
      <c r="AO111" s="33">
        <f t="shared" si="58"/>
        <v>0</v>
      </c>
      <c r="AP111" s="33">
        <f t="shared" si="59"/>
        <v>0</v>
      </c>
      <c r="AQ111" s="193">
        <f t="shared" si="60"/>
        <v>0</v>
      </c>
      <c r="AR111" s="193">
        <f t="shared" si="60"/>
        <v>0</v>
      </c>
      <c r="AS111" s="193">
        <f t="shared" si="60"/>
        <v>0</v>
      </c>
      <c r="AT111" s="193">
        <f t="shared" si="60"/>
        <v>0</v>
      </c>
      <c r="AU111" s="33"/>
      <c r="AV111" s="33"/>
      <c r="AW111" s="33"/>
      <c r="AX111" s="33"/>
      <c r="AY111" s="76"/>
    </row>
    <row r="112" spans="2:51">
      <c r="C112" s="74" t="s">
        <v>145</v>
      </c>
      <c r="D112" s="74" t="s">
        <v>72</v>
      </c>
      <c r="E112" s="74" t="s">
        <v>166</v>
      </c>
      <c r="I112" s="55">
        <v>107</v>
      </c>
      <c r="J112" s="33">
        <f t="shared" si="63"/>
        <v>0</v>
      </c>
      <c r="K112" s="33">
        <f t="shared" si="64"/>
        <v>0</v>
      </c>
      <c r="L112" s="33">
        <f t="shared" si="65"/>
        <v>0</v>
      </c>
      <c r="M112" s="33">
        <f t="shared" si="66"/>
        <v>0</v>
      </c>
      <c r="N112" s="33">
        <f t="shared" si="46"/>
        <v>0</v>
      </c>
      <c r="O112" s="34">
        <f t="shared" si="47"/>
        <v>0</v>
      </c>
      <c r="P112" s="55">
        <v>107</v>
      </c>
      <c r="Q112" s="33">
        <f t="shared" si="61"/>
        <v>0</v>
      </c>
      <c r="R112" s="33">
        <f t="shared" si="67"/>
        <v>0</v>
      </c>
      <c r="S112" s="33">
        <f t="shared" si="68"/>
        <v>0</v>
      </c>
      <c r="T112" s="33">
        <f t="shared" si="48"/>
        <v>0</v>
      </c>
      <c r="U112" s="33">
        <f t="shared" si="62"/>
        <v>0</v>
      </c>
      <c r="V112" s="33">
        <f t="shared" si="49"/>
        <v>0</v>
      </c>
      <c r="W112" s="33">
        <v>0</v>
      </c>
      <c r="X112" s="33">
        <f t="shared" si="50"/>
        <v>0</v>
      </c>
      <c r="Y112" s="38">
        <f t="shared" si="51"/>
        <v>0</v>
      </c>
      <c r="AA112" s="71">
        <v>107</v>
      </c>
      <c r="AB112" s="33">
        <f t="shared" si="52"/>
        <v>0</v>
      </c>
      <c r="AC112" s="304">
        <f t="shared" si="76"/>
        <v>0</v>
      </c>
      <c r="AD112" s="100">
        <f t="shared" si="53"/>
        <v>0</v>
      </c>
      <c r="AE112" s="100">
        <f t="shared" si="54"/>
        <v>0</v>
      </c>
      <c r="AF112" s="193">
        <f t="shared" si="72"/>
        <v>0</v>
      </c>
      <c r="AG112" s="193">
        <f t="shared" si="73"/>
        <v>0</v>
      </c>
      <c r="AH112" s="193">
        <f t="shared" si="74"/>
        <v>0</v>
      </c>
      <c r="AI112" s="198">
        <f t="shared" si="75"/>
        <v>0</v>
      </c>
      <c r="AK112" s="71">
        <v>107</v>
      </c>
      <c r="AL112" s="33">
        <f t="shared" si="55"/>
        <v>0</v>
      </c>
      <c r="AM112" s="33">
        <f t="shared" si="56"/>
        <v>0</v>
      </c>
      <c r="AN112" s="33">
        <f t="shared" si="57"/>
        <v>0</v>
      </c>
      <c r="AO112" s="33">
        <f t="shared" si="58"/>
        <v>0</v>
      </c>
      <c r="AP112" s="33">
        <f t="shared" si="59"/>
        <v>0</v>
      </c>
      <c r="AQ112" s="193">
        <f t="shared" si="60"/>
        <v>0</v>
      </c>
      <c r="AR112" s="193">
        <f t="shared" si="60"/>
        <v>0</v>
      </c>
      <c r="AS112" s="193">
        <f t="shared" si="60"/>
        <v>0</v>
      </c>
      <c r="AT112" s="193">
        <f t="shared" si="60"/>
        <v>0</v>
      </c>
      <c r="AU112" s="33"/>
      <c r="AV112" s="33"/>
      <c r="AW112" s="33"/>
      <c r="AX112" s="33"/>
      <c r="AY112" s="76"/>
    </row>
    <row r="113" spans="2:51">
      <c r="B113" s="67" t="s">
        <v>167</v>
      </c>
      <c r="C113" s="79">
        <f>1/$F$18*SUM(X6:X205)</f>
        <v>752.05397932646224</v>
      </c>
      <c r="D113" s="79">
        <f>1/$F$10*SUM(O6:O205)</f>
        <v>317.21666452353406</v>
      </c>
      <c r="E113" s="78">
        <f>C113-D113</f>
        <v>434.83731480292818</v>
      </c>
      <c r="I113" s="55">
        <v>108</v>
      </c>
      <c r="J113" s="33">
        <f t="shared" si="63"/>
        <v>0</v>
      </c>
      <c r="K113" s="33">
        <f t="shared" si="64"/>
        <v>0</v>
      </c>
      <c r="L113" s="33">
        <f t="shared" si="65"/>
        <v>0</v>
      </c>
      <c r="M113" s="33">
        <f t="shared" si="66"/>
        <v>0</v>
      </c>
      <c r="N113" s="33">
        <f t="shared" si="46"/>
        <v>0</v>
      </c>
      <c r="O113" s="34">
        <f t="shared" si="47"/>
        <v>0</v>
      </c>
      <c r="P113" s="55">
        <v>108</v>
      </c>
      <c r="Q113" s="33">
        <f t="shared" si="61"/>
        <v>0</v>
      </c>
      <c r="R113" s="33">
        <f t="shared" si="67"/>
        <v>0</v>
      </c>
      <c r="S113" s="33">
        <f t="shared" si="68"/>
        <v>0</v>
      </c>
      <c r="T113" s="33">
        <f t="shared" si="48"/>
        <v>0</v>
      </c>
      <c r="U113" s="33">
        <f t="shared" si="62"/>
        <v>0</v>
      </c>
      <c r="V113" s="33">
        <f t="shared" si="49"/>
        <v>0</v>
      </c>
      <c r="W113" s="33">
        <v>0</v>
      </c>
      <c r="X113" s="33">
        <f t="shared" si="50"/>
        <v>0</v>
      </c>
      <c r="Y113" s="38">
        <f t="shared" si="51"/>
        <v>0</v>
      </c>
      <c r="AA113" s="71">
        <v>108</v>
      </c>
      <c r="AB113" s="33">
        <f t="shared" si="52"/>
        <v>0</v>
      </c>
      <c r="AC113" s="304">
        <f t="shared" si="76"/>
        <v>0</v>
      </c>
      <c r="AD113" s="100">
        <f t="shared" si="53"/>
        <v>0</v>
      </c>
      <c r="AE113" s="100">
        <f t="shared" si="54"/>
        <v>0</v>
      </c>
      <c r="AF113" s="193">
        <f t="shared" si="72"/>
        <v>0</v>
      </c>
      <c r="AG113" s="193">
        <f t="shared" si="73"/>
        <v>0</v>
      </c>
      <c r="AH113" s="193">
        <f t="shared" si="74"/>
        <v>0</v>
      </c>
      <c r="AI113" s="198">
        <f t="shared" si="75"/>
        <v>0</v>
      </c>
      <c r="AK113" s="71">
        <v>108</v>
      </c>
      <c r="AL113" s="33">
        <f t="shared" si="55"/>
        <v>0</v>
      </c>
      <c r="AM113" s="33">
        <f t="shared" si="56"/>
        <v>0</v>
      </c>
      <c r="AN113" s="33">
        <f t="shared" si="57"/>
        <v>0</v>
      </c>
      <c r="AO113" s="33">
        <f t="shared" si="58"/>
        <v>0</v>
      </c>
      <c r="AP113" s="33">
        <f t="shared" si="59"/>
        <v>0</v>
      </c>
      <c r="AQ113" s="193">
        <f t="shared" si="60"/>
        <v>0</v>
      </c>
      <c r="AR113" s="193">
        <f t="shared" si="60"/>
        <v>0</v>
      </c>
      <c r="AS113" s="193">
        <f t="shared" si="60"/>
        <v>0</v>
      </c>
      <c r="AT113" s="193">
        <f t="shared" si="60"/>
        <v>0</v>
      </c>
      <c r="AU113" s="33"/>
      <c r="AV113" s="33"/>
      <c r="AW113" s="33"/>
      <c r="AX113" s="33"/>
      <c r="AY113" s="76"/>
    </row>
    <row r="114" spans="2:51">
      <c r="B114" s="67" t="s">
        <v>168</v>
      </c>
      <c r="C114" s="79">
        <f>X35</f>
        <v>694.09469997897759</v>
      </c>
      <c r="D114" s="79">
        <f>O35</f>
        <v>308.87301463228226</v>
      </c>
      <c r="E114" s="78">
        <f>VLOOKUP(30,I5:Y205,17,FALSE)</f>
        <v>385.22168534669532</v>
      </c>
      <c r="I114" s="55">
        <v>109</v>
      </c>
      <c r="J114" s="33">
        <f t="shared" si="63"/>
        <v>0</v>
      </c>
      <c r="K114" s="33">
        <f t="shared" si="64"/>
        <v>0</v>
      </c>
      <c r="L114" s="33">
        <f t="shared" si="65"/>
        <v>0</v>
      </c>
      <c r="M114" s="33">
        <f t="shared" si="66"/>
        <v>0</v>
      </c>
      <c r="N114" s="33">
        <f t="shared" si="46"/>
        <v>0</v>
      </c>
      <c r="O114" s="34">
        <f t="shared" si="47"/>
        <v>0</v>
      </c>
      <c r="P114" s="55">
        <v>109</v>
      </c>
      <c r="Q114" s="33">
        <f t="shared" si="61"/>
        <v>0</v>
      </c>
      <c r="R114" s="33">
        <f t="shared" si="67"/>
        <v>0</v>
      </c>
      <c r="S114" s="33">
        <f t="shared" si="68"/>
        <v>0</v>
      </c>
      <c r="T114" s="33">
        <f t="shared" si="48"/>
        <v>0</v>
      </c>
      <c r="U114" s="33">
        <f t="shared" si="62"/>
        <v>0</v>
      </c>
      <c r="V114" s="33">
        <f t="shared" si="49"/>
        <v>0</v>
      </c>
      <c r="W114" s="33">
        <v>0</v>
      </c>
      <c r="X114" s="33">
        <f t="shared" si="50"/>
        <v>0</v>
      </c>
      <c r="Y114" s="38">
        <f t="shared" si="51"/>
        <v>0</v>
      </c>
      <c r="AA114" s="71">
        <v>109</v>
      </c>
      <c r="AB114" s="33">
        <f t="shared" si="52"/>
        <v>0</v>
      </c>
      <c r="AC114" s="304">
        <f t="shared" si="76"/>
        <v>0</v>
      </c>
      <c r="AD114" s="100">
        <f t="shared" si="53"/>
        <v>0</v>
      </c>
      <c r="AE114" s="100">
        <f t="shared" si="54"/>
        <v>0</v>
      </c>
      <c r="AF114" s="193">
        <f t="shared" si="72"/>
        <v>0</v>
      </c>
      <c r="AG114" s="193">
        <f t="shared" si="73"/>
        <v>0</v>
      </c>
      <c r="AH114" s="193">
        <f t="shared" si="74"/>
        <v>0</v>
      </c>
      <c r="AI114" s="198">
        <f t="shared" si="75"/>
        <v>0</v>
      </c>
      <c r="AK114" s="71">
        <v>109</v>
      </c>
      <c r="AL114" s="33">
        <f t="shared" si="55"/>
        <v>0</v>
      </c>
      <c r="AM114" s="33">
        <f t="shared" si="56"/>
        <v>0</v>
      </c>
      <c r="AN114" s="33">
        <f t="shared" si="57"/>
        <v>0</v>
      </c>
      <c r="AO114" s="33">
        <f t="shared" si="58"/>
        <v>0</v>
      </c>
      <c r="AP114" s="33">
        <f t="shared" si="59"/>
        <v>0</v>
      </c>
      <c r="AQ114" s="193">
        <f t="shared" si="60"/>
        <v>0</v>
      </c>
      <c r="AR114" s="193">
        <f t="shared" si="60"/>
        <v>0</v>
      </c>
      <c r="AS114" s="193">
        <f t="shared" si="60"/>
        <v>0</v>
      </c>
      <c r="AT114" s="193">
        <f t="shared" si="60"/>
        <v>0</v>
      </c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63"/>
        <v>0</v>
      </c>
      <c r="K115" s="33">
        <f t="shared" si="64"/>
        <v>0</v>
      </c>
      <c r="L115" s="33">
        <f t="shared" si="65"/>
        <v>0</v>
      </c>
      <c r="M115" s="33">
        <f t="shared" si="66"/>
        <v>0</v>
      </c>
      <c r="N115" s="33">
        <f t="shared" si="46"/>
        <v>0</v>
      </c>
      <c r="O115" s="34">
        <f t="shared" si="47"/>
        <v>0</v>
      </c>
      <c r="P115" s="55">
        <v>110</v>
      </c>
      <c r="Q115" s="33">
        <f t="shared" si="61"/>
        <v>0</v>
      </c>
      <c r="R115" s="33">
        <f t="shared" si="67"/>
        <v>0</v>
      </c>
      <c r="S115" s="33">
        <f t="shared" si="68"/>
        <v>0</v>
      </c>
      <c r="T115" s="33">
        <f t="shared" si="48"/>
        <v>0</v>
      </c>
      <c r="U115" s="33">
        <f t="shared" si="62"/>
        <v>0</v>
      </c>
      <c r="V115" s="33">
        <f t="shared" si="49"/>
        <v>0</v>
      </c>
      <c r="W115" s="33">
        <v>0</v>
      </c>
      <c r="X115" s="33">
        <f t="shared" si="50"/>
        <v>0</v>
      </c>
      <c r="Y115" s="38">
        <f t="shared" si="51"/>
        <v>0</v>
      </c>
      <c r="AA115" s="71">
        <v>110</v>
      </c>
      <c r="AB115" s="33">
        <f t="shared" si="52"/>
        <v>0</v>
      </c>
      <c r="AC115" s="304">
        <f t="shared" si="76"/>
        <v>0</v>
      </c>
      <c r="AD115" s="100">
        <f t="shared" si="53"/>
        <v>0</v>
      </c>
      <c r="AE115" s="100">
        <f t="shared" si="54"/>
        <v>0</v>
      </c>
      <c r="AF115" s="193">
        <f t="shared" si="72"/>
        <v>0</v>
      </c>
      <c r="AG115" s="193">
        <f t="shared" si="73"/>
        <v>0</v>
      </c>
      <c r="AH115" s="193">
        <f t="shared" si="74"/>
        <v>0</v>
      </c>
      <c r="AI115" s="198">
        <f t="shared" si="75"/>
        <v>0</v>
      </c>
      <c r="AK115" s="71">
        <v>110</v>
      </c>
      <c r="AL115" s="33">
        <f t="shared" si="55"/>
        <v>0</v>
      </c>
      <c r="AM115" s="33">
        <f t="shared" si="56"/>
        <v>0</v>
      </c>
      <c r="AN115" s="33">
        <f t="shared" si="57"/>
        <v>0</v>
      </c>
      <c r="AO115" s="33">
        <f t="shared" si="58"/>
        <v>0</v>
      </c>
      <c r="AP115" s="33">
        <f t="shared" si="59"/>
        <v>0</v>
      </c>
      <c r="AQ115" s="193">
        <f t="shared" si="60"/>
        <v>0</v>
      </c>
      <c r="AR115" s="193">
        <f t="shared" si="60"/>
        <v>0</v>
      </c>
      <c r="AS115" s="193">
        <f t="shared" si="60"/>
        <v>0</v>
      </c>
      <c r="AT115" s="193">
        <f t="shared" si="60"/>
        <v>0</v>
      </c>
      <c r="AU115" s="33"/>
      <c r="AV115" s="33"/>
      <c r="AW115" s="33"/>
      <c r="AX115" s="33"/>
      <c r="AY115" s="76"/>
    </row>
    <row r="116" spans="2:51">
      <c r="C116" s="134" t="s">
        <v>125</v>
      </c>
      <c r="D116" s="134"/>
      <c r="E116" s="134"/>
      <c r="I116" s="55">
        <v>111</v>
      </c>
      <c r="J116" s="33">
        <f t="shared" si="63"/>
        <v>0</v>
      </c>
      <c r="K116" s="33">
        <f t="shared" si="64"/>
        <v>0</v>
      </c>
      <c r="L116" s="33">
        <f t="shared" si="65"/>
        <v>0</v>
      </c>
      <c r="M116" s="33">
        <f t="shared" si="66"/>
        <v>0</v>
      </c>
      <c r="N116" s="33">
        <f t="shared" si="46"/>
        <v>0</v>
      </c>
      <c r="O116" s="34">
        <f t="shared" si="47"/>
        <v>0</v>
      </c>
      <c r="P116" s="55">
        <v>111</v>
      </c>
      <c r="Q116" s="33">
        <f t="shared" si="61"/>
        <v>0</v>
      </c>
      <c r="R116" s="33">
        <f t="shared" si="67"/>
        <v>0</v>
      </c>
      <c r="S116" s="33">
        <f t="shared" si="68"/>
        <v>0</v>
      </c>
      <c r="T116" s="33">
        <f t="shared" si="48"/>
        <v>0</v>
      </c>
      <c r="U116" s="33">
        <f t="shared" si="62"/>
        <v>0</v>
      </c>
      <c r="V116" s="33">
        <f t="shared" si="49"/>
        <v>0</v>
      </c>
      <c r="W116" s="33">
        <v>0</v>
      </c>
      <c r="X116" s="33">
        <f t="shared" si="50"/>
        <v>0</v>
      </c>
      <c r="Y116" s="38">
        <f t="shared" si="51"/>
        <v>0</v>
      </c>
      <c r="AA116" s="71">
        <v>111</v>
      </c>
      <c r="AB116" s="33">
        <f t="shared" si="52"/>
        <v>0</v>
      </c>
      <c r="AC116" s="304">
        <f t="shared" si="76"/>
        <v>0</v>
      </c>
      <c r="AD116" s="100">
        <f t="shared" si="53"/>
        <v>0</v>
      </c>
      <c r="AE116" s="100">
        <f t="shared" si="54"/>
        <v>0</v>
      </c>
      <c r="AF116" s="193">
        <f t="shared" si="72"/>
        <v>0</v>
      </c>
      <c r="AG116" s="193">
        <f t="shared" si="73"/>
        <v>0</v>
      </c>
      <c r="AH116" s="193">
        <f t="shared" si="74"/>
        <v>0</v>
      </c>
      <c r="AI116" s="198">
        <f t="shared" si="75"/>
        <v>0</v>
      </c>
      <c r="AK116" s="71">
        <v>111</v>
      </c>
      <c r="AL116" s="33">
        <f t="shared" si="55"/>
        <v>0</v>
      </c>
      <c r="AM116" s="33">
        <f t="shared" si="56"/>
        <v>0</v>
      </c>
      <c r="AN116" s="33">
        <f t="shared" si="57"/>
        <v>0</v>
      </c>
      <c r="AO116" s="33">
        <f t="shared" si="58"/>
        <v>0</v>
      </c>
      <c r="AP116" s="33">
        <f t="shared" si="59"/>
        <v>0</v>
      </c>
      <c r="AQ116" s="193">
        <f t="shared" si="60"/>
        <v>0</v>
      </c>
      <c r="AR116" s="193">
        <f t="shared" si="60"/>
        <v>0</v>
      </c>
      <c r="AS116" s="193">
        <f t="shared" si="60"/>
        <v>0</v>
      </c>
      <c r="AT116" s="193">
        <f t="shared" si="60"/>
        <v>0</v>
      </c>
      <c r="AU116" s="33"/>
      <c r="AV116" s="33"/>
      <c r="AW116" s="33"/>
      <c r="AX116" s="33"/>
      <c r="AY116" s="76"/>
    </row>
    <row r="117" spans="2:51">
      <c r="C117" s="134" t="s">
        <v>145</v>
      </c>
      <c r="D117" s="134" t="s">
        <v>72</v>
      </c>
      <c r="E117" s="81" t="s">
        <v>166</v>
      </c>
      <c r="I117" s="55">
        <v>112</v>
      </c>
      <c r="J117" s="33">
        <f t="shared" si="63"/>
        <v>0</v>
      </c>
      <c r="K117" s="33">
        <f t="shared" si="64"/>
        <v>0</v>
      </c>
      <c r="L117" s="33">
        <f t="shared" si="65"/>
        <v>0</v>
      </c>
      <c r="M117" s="33">
        <f t="shared" si="66"/>
        <v>0</v>
      </c>
      <c r="N117" s="33">
        <f t="shared" si="46"/>
        <v>0</v>
      </c>
      <c r="O117" s="34">
        <f t="shared" si="47"/>
        <v>0</v>
      </c>
      <c r="P117" s="55">
        <v>112</v>
      </c>
      <c r="Q117" s="33">
        <f t="shared" si="61"/>
        <v>0</v>
      </c>
      <c r="R117" s="33">
        <f t="shared" si="67"/>
        <v>0</v>
      </c>
      <c r="S117" s="33">
        <f t="shared" si="68"/>
        <v>0</v>
      </c>
      <c r="T117" s="33">
        <f t="shared" si="48"/>
        <v>0</v>
      </c>
      <c r="U117" s="33">
        <f t="shared" si="62"/>
        <v>0</v>
      </c>
      <c r="V117" s="33">
        <f t="shared" si="49"/>
        <v>0</v>
      </c>
      <c r="W117" s="33">
        <v>0</v>
      </c>
      <c r="X117" s="33">
        <f t="shared" si="50"/>
        <v>0</v>
      </c>
      <c r="Y117" s="38">
        <f t="shared" si="51"/>
        <v>0</v>
      </c>
      <c r="AA117" s="71">
        <v>112</v>
      </c>
      <c r="AB117" s="33">
        <f t="shared" si="52"/>
        <v>0</v>
      </c>
      <c r="AC117" s="304">
        <f t="shared" si="76"/>
        <v>0</v>
      </c>
      <c r="AD117" s="100">
        <f t="shared" si="53"/>
        <v>0</v>
      </c>
      <c r="AE117" s="100">
        <f t="shared" si="54"/>
        <v>0</v>
      </c>
      <c r="AF117" s="193">
        <f t="shared" si="72"/>
        <v>0</v>
      </c>
      <c r="AG117" s="193">
        <f t="shared" si="73"/>
        <v>0</v>
      </c>
      <c r="AH117" s="193">
        <f t="shared" si="74"/>
        <v>0</v>
      </c>
      <c r="AI117" s="198">
        <f t="shared" si="75"/>
        <v>0</v>
      </c>
      <c r="AK117" s="71">
        <v>112</v>
      </c>
      <c r="AL117" s="33">
        <f t="shared" si="55"/>
        <v>0</v>
      </c>
      <c r="AM117" s="33">
        <f t="shared" si="56"/>
        <v>0</v>
      </c>
      <c r="AN117" s="33">
        <f t="shared" si="57"/>
        <v>0</v>
      </c>
      <c r="AO117" s="33">
        <f t="shared" si="58"/>
        <v>0</v>
      </c>
      <c r="AP117" s="33">
        <f t="shared" si="59"/>
        <v>0</v>
      </c>
      <c r="AQ117" s="193">
        <f t="shared" si="60"/>
        <v>0</v>
      </c>
      <c r="AR117" s="193">
        <f t="shared" si="60"/>
        <v>0</v>
      </c>
      <c r="AS117" s="193">
        <f t="shared" si="60"/>
        <v>0</v>
      </c>
      <c r="AT117" s="193">
        <f t="shared" si="60"/>
        <v>0</v>
      </c>
      <c r="AU117" s="33"/>
      <c r="AV117" s="33"/>
      <c r="AW117" s="33"/>
      <c r="AX117" s="33"/>
      <c r="AY117" s="76"/>
    </row>
    <row r="118" spans="2:51">
      <c r="B118" s="67" t="s">
        <v>261</v>
      </c>
      <c r="C118" s="302">
        <f>1/30*SUM(AI6:AI35)</f>
        <v>23.995421348483493</v>
      </c>
      <c r="D118" s="79">
        <v>0</v>
      </c>
      <c r="E118" s="78">
        <f>C118-D118</f>
        <v>23.995421348483493</v>
      </c>
      <c r="I118" s="55">
        <v>113</v>
      </c>
      <c r="J118" s="33">
        <f t="shared" si="63"/>
        <v>0</v>
      </c>
      <c r="K118" s="33">
        <f t="shared" si="64"/>
        <v>0</v>
      </c>
      <c r="L118" s="33">
        <f t="shared" si="65"/>
        <v>0</v>
      </c>
      <c r="M118" s="33">
        <f t="shared" si="66"/>
        <v>0</v>
      </c>
      <c r="N118" s="33">
        <f t="shared" si="46"/>
        <v>0</v>
      </c>
      <c r="O118" s="34">
        <f t="shared" si="47"/>
        <v>0</v>
      </c>
      <c r="P118" s="55">
        <v>113</v>
      </c>
      <c r="Q118" s="33">
        <f t="shared" si="61"/>
        <v>0</v>
      </c>
      <c r="R118" s="33">
        <f t="shared" si="67"/>
        <v>0</v>
      </c>
      <c r="S118" s="33">
        <f t="shared" si="68"/>
        <v>0</v>
      </c>
      <c r="T118" s="33">
        <f t="shared" si="48"/>
        <v>0</v>
      </c>
      <c r="U118" s="33">
        <f t="shared" si="62"/>
        <v>0</v>
      </c>
      <c r="V118" s="33">
        <f t="shared" si="49"/>
        <v>0</v>
      </c>
      <c r="W118" s="33">
        <v>0</v>
      </c>
      <c r="X118" s="33">
        <f t="shared" si="50"/>
        <v>0</v>
      </c>
      <c r="Y118" s="38">
        <f t="shared" si="51"/>
        <v>0</v>
      </c>
      <c r="AA118" s="71">
        <v>113</v>
      </c>
      <c r="AB118" s="33">
        <f t="shared" si="52"/>
        <v>0</v>
      </c>
      <c r="AC118" s="304">
        <f t="shared" si="76"/>
        <v>0</v>
      </c>
      <c r="AD118" s="100">
        <f t="shared" si="53"/>
        <v>0</v>
      </c>
      <c r="AE118" s="100">
        <f t="shared" si="54"/>
        <v>0</v>
      </c>
      <c r="AF118" s="193">
        <f t="shared" si="72"/>
        <v>0</v>
      </c>
      <c r="AG118" s="193">
        <f t="shared" si="73"/>
        <v>0</v>
      </c>
      <c r="AH118" s="193">
        <f t="shared" si="74"/>
        <v>0</v>
      </c>
      <c r="AI118" s="198">
        <f t="shared" si="75"/>
        <v>0</v>
      </c>
      <c r="AK118" s="71">
        <v>113</v>
      </c>
      <c r="AL118" s="33">
        <f t="shared" si="55"/>
        <v>0</v>
      </c>
      <c r="AM118" s="33">
        <f t="shared" si="56"/>
        <v>0</v>
      </c>
      <c r="AN118" s="33">
        <f t="shared" si="57"/>
        <v>0</v>
      </c>
      <c r="AO118" s="33">
        <f t="shared" si="58"/>
        <v>0</v>
      </c>
      <c r="AP118" s="33">
        <f t="shared" si="59"/>
        <v>0</v>
      </c>
      <c r="AQ118" s="193">
        <f t="shared" si="60"/>
        <v>0</v>
      </c>
      <c r="AR118" s="193">
        <f t="shared" si="60"/>
        <v>0</v>
      </c>
      <c r="AS118" s="193">
        <f t="shared" si="60"/>
        <v>0</v>
      </c>
      <c r="AT118" s="193">
        <f t="shared" si="60"/>
        <v>0</v>
      </c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63"/>
        <v>0</v>
      </c>
      <c r="K119" s="33">
        <f t="shared" si="64"/>
        <v>0</v>
      </c>
      <c r="L119" s="33">
        <f t="shared" si="65"/>
        <v>0</v>
      </c>
      <c r="M119" s="33">
        <f t="shared" si="66"/>
        <v>0</v>
      </c>
      <c r="N119" s="33">
        <f t="shared" si="46"/>
        <v>0</v>
      </c>
      <c r="O119" s="34">
        <f t="shared" si="47"/>
        <v>0</v>
      </c>
      <c r="P119" s="55">
        <v>114</v>
      </c>
      <c r="Q119" s="33">
        <f t="shared" si="61"/>
        <v>0</v>
      </c>
      <c r="R119" s="33">
        <f t="shared" si="67"/>
        <v>0</v>
      </c>
      <c r="S119" s="33">
        <f t="shared" si="68"/>
        <v>0</v>
      </c>
      <c r="T119" s="33">
        <f t="shared" si="48"/>
        <v>0</v>
      </c>
      <c r="U119" s="33">
        <f t="shared" si="62"/>
        <v>0</v>
      </c>
      <c r="V119" s="33">
        <f t="shared" si="49"/>
        <v>0</v>
      </c>
      <c r="W119" s="33">
        <v>0</v>
      </c>
      <c r="X119" s="33">
        <f t="shared" si="50"/>
        <v>0</v>
      </c>
      <c r="Y119" s="38">
        <f t="shared" si="51"/>
        <v>0</v>
      </c>
      <c r="AA119" s="71">
        <v>114</v>
      </c>
      <c r="AB119" s="33">
        <f t="shared" si="52"/>
        <v>0</v>
      </c>
      <c r="AC119" s="304">
        <f t="shared" si="76"/>
        <v>0</v>
      </c>
      <c r="AD119" s="100">
        <f t="shared" si="53"/>
        <v>0</v>
      </c>
      <c r="AE119" s="100">
        <f t="shared" si="54"/>
        <v>0</v>
      </c>
      <c r="AF119" s="193">
        <f t="shared" si="72"/>
        <v>0</v>
      </c>
      <c r="AG119" s="193">
        <f t="shared" si="73"/>
        <v>0</v>
      </c>
      <c r="AH119" s="193">
        <f t="shared" si="74"/>
        <v>0</v>
      </c>
      <c r="AI119" s="198">
        <f t="shared" si="75"/>
        <v>0</v>
      </c>
      <c r="AK119" s="71">
        <v>114</v>
      </c>
      <c r="AL119" s="33">
        <f t="shared" si="55"/>
        <v>0</v>
      </c>
      <c r="AM119" s="33">
        <f t="shared" si="56"/>
        <v>0</v>
      </c>
      <c r="AN119" s="33">
        <f t="shared" si="57"/>
        <v>0</v>
      </c>
      <c r="AO119" s="33">
        <f t="shared" si="58"/>
        <v>0</v>
      </c>
      <c r="AP119" s="33">
        <f t="shared" si="59"/>
        <v>0</v>
      </c>
      <c r="AQ119" s="193">
        <f t="shared" si="60"/>
        <v>0</v>
      </c>
      <c r="AR119" s="193">
        <f t="shared" si="60"/>
        <v>0</v>
      </c>
      <c r="AS119" s="193">
        <f t="shared" si="60"/>
        <v>0</v>
      </c>
      <c r="AT119" s="193">
        <f t="shared" si="60"/>
        <v>0</v>
      </c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63"/>
        <v>0</v>
      </c>
      <c r="K120" s="33">
        <f t="shared" si="64"/>
        <v>0</v>
      </c>
      <c r="L120" s="33">
        <f t="shared" si="65"/>
        <v>0</v>
      </c>
      <c r="M120" s="33">
        <f t="shared" si="66"/>
        <v>0</v>
      </c>
      <c r="N120" s="33">
        <f t="shared" si="46"/>
        <v>0</v>
      </c>
      <c r="O120" s="34">
        <f t="shared" si="47"/>
        <v>0</v>
      </c>
      <c r="P120" s="55">
        <v>115</v>
      </c>
      <c r="Q120" s="33">
        <f t="shared" si="61"/>
        <v>0</v>
      </c>
      <c r="R120" s="33">
        <f t="shared" si="67"/>
        <v>0</v>
      </c>
      <c r="S120" s="33">
        <f t="shared" si="68"/>
        <v>0</v>
      </c>
      <c r="T120" s="33">
        <f t="shared" si="48"/>
        <v>0</v>
      </c>
      <c r="U120" s="33">
        <f t="shared" si="62"/>
        <v>0</v>
      </c>
      <c r="V120" s="33">
        <f t="shared" si="49"/>
        <v>0</v>
      </c>
      <c r="W120" s="33">
        <v>0</v>
      </c>
      <c r="X120" s="33">
        <f t="shared" si="50"/>
        <v>0</v>
      </c>
      <c r="Y120" s="38">
        <f t="shared" si="51"/>
        <v>0</v>
      </c>
      <c r="AA120" s="71">
        <v>115</v>
      </c>
      <c r="AB120" s="33">
        <f t="shared" si="52"/>
        <v>0</v>
      </c>
      <c r="AC120" s="304">
        <f t="shared" si="76"/>
        <v>0</v>
      </c>
      <c r="AD120" s="100">
        <f t="shared" si="53"/>
        <v>0</v>
      </c>
      <c r="AE120" s="100">
        <f t="shared" si="54"/>
        <v>0</v>
      </c>
      <c r="AF120" s="193">
        <f t="shared" si="72"/>
        <v>0</v>
      </c>
      <c r="AG120" s="193">
        <f t="shared" si="73"/>
        <v>0</v>
      </c>
      <c r="AH120" s="193">
        <f t="shared" si="74"/>
        <v>0</v>
      </c>
      <c r="AI120" s="198">
        <f t="shared" si="75"/>
        <v>0</v>
      </c>
      <c r="AK120" s="71">
        <v>115</v>
      </c>
      <c r="AL120" s="33">
        <f t="shared" si="55"/>
        <v>0</v>
      </c>
      <c r="AM120" s="33">
        <f t="shared" si="56"/>
        <v>0</v>
      </c>
      <c r="AN120" s="33">
        <f t="shared" si="57"/>
        <v>0</v>
      </c>
      <c r="AO120" s="33">
        <f t="shared" si="58"/>
        <v>0</v>
      </c>
      <c r="AP120" s="33">
        <f t="shared" si="59"/>
        <v>0</v>
      </c>
      <c r="AQ120" s="193">
        <f t="shared" si="60"/>
        <v>0</v>
      </c>
      <c r="AR120" s="193">
        <f t="shared" si="60"/>
        <v>0</v>
      </c>
      <c r="AS120" s="193">
        <f t="shared" si="60"/>
        <v>0</v>
      </c>
      <c r="AT120" s="193">
        <f t="shared" si="60"/>
        <v>0</v>
      </c>
      <c r="AU120" s="33"/>
      <c r="AV120" s="33"/>
      <c r="AW120" s="33"/>
      <c r="AX120" s="33"/>
      <c r="AY120" s="76"/>
    </row>
    <row r="121" spans="2:51">
      <c r="C121" s="134" t="s">
        <v>160</v>
      </c>
      <c r="D121" s="134"/>
      <c r="E121" s="134"/>
      <c r="I121" s="55">
        <v>116</v>
      </c>
      <c r="J121" s="33">
        <f t="shared" si="63"/>
        <v>0</v>
      </c>
      <c r="K121" s="33">
        <f t="shared" si="64"/>
        <v>0</v>
      </c>
      <c r="L121" s="33">
        <f t="shared" si="65"/>
        <v>0</v>
      </c>
      <c r="M121" s="33">
        <f t="shared" si="66"/>
        <v>0</v>
      </c>
      <c r="N121" s="33">
        <f t="shared" si="46"/>
        <v>0</v>
      </c>
      <c r="O121" s="34">
        <f t="shared" si="47"/>
        <v>0</v>
      </c>
      <c r="P121" s="55">
        <v>116</v>
      </c>
      <c r="Q121" s="33">
        <f t="shared" si="61"/>
        <v>0</v>
      </c>
      <c r="R121" s="33">
        <f t="shared" si="67"/>
        <v>0</v>
      </c>
      <c r="S121" s="33">
        <f t="shared" si="68"/>
        <v>0</v>
      </c>
      <c r="T121" s="33">
        <f t="shared" si="48"/>
        <v>0</v>
      </c>
      <c r="U121" s="33">
        <f t="shared" si="62"/>
        <v>0</v>
      </c>
      <c r="V121" s="33">
        <f t="shared" si="49"/>
        <v>0</v>
      </c>
      <c r="W121" s="33">
        <v>0</v>
      </c>
      <c r="X121" s="33">
        <f t="shared" si="50"/>
        <v>0</v>
      </c>
      <c r="Y121" s="38">
        <f t="shared" si="51"/>
        <v>0</v>
      </c>
      <c r="AA121" s="71">
        <v>116</v>
      </c>
      <c r="AB121" s="33">
        <f t="shared" si="52"/>
        <v>0</v>
      </c>
      <c r="AC121" s="304">
        <f t="shared" si="76"/>
        <v>0</v>
      </c>
      <c r="AD121" s="100">
        <f t="shared" si="53"/>
        <v>0</v>
      </c>
      <c r="AE121" s="100">
        <f t="shared" si="54"/>
        <v>0</v>
      </c>
      <c r="AF121" s="193">
        <f t="shared" si="72"/>
        <v>0</v>
      </c>
      <c r="AG121" s="193">
        <f t="shared" si="73"/>
        <v>0</v>
      </c>
      <c r="AH121" s="193">
        <f t="shared" si="74"/>
        <v>0</v>
      </c>
      <c r="AI121" s="198">
        <f t="shared" si="75"/>
        <v>0</v>
      </c>
      <c r="AK121" s="71">
        <v>116</v>
      </c>
      <c r="AL121" s="33">
        <f t="shared" si="55"/>
        <v>0</v>
      </c>
      <c r="AM121" s="33">
        <f t="shared" si="56"/>
        <v>0</v>
      </c>
      <c r="AN121" s="33">
        <f t="shared" si="57"/>
        <v>0</v>
      </c>
      <c r="AO121" s="33">
        <f t="shared" si="58"/>
        <v>0</v>
      </c>
      <c r="AP121" s="33">
        <f t="shared" si="59"/>
        <v>0</v>
      </c>
      <c r="AQ121" s="193">
        <f t="shared" si="60"/>
        <v>0</v>
      </c>
      <c r="AR121" s="193">
        <f t="shared" si="60"/>
        <v>0</v>
      </c>
      <c r="AS121" s="193">
        <f t="shared" si="60"/>
        <v>0</v>
      </c>
      <c r="AT121" s="193">
        <f t="shared" si="60"/>
        <v>0</v>
      </c>
      <c r="AU121" s="33"/>
      <c r="AV121" s="33"/>
      <c r="AW121" s="33"/>
      <c r="AX121" s="33"/>
      <c r="AY121" s="76"/>
    </row>
    <row r="122" spans="2:51">
      <c r="C122" s="134" t="s">
        <v>145</v>
      </c>
      <c r="D122" s="134" t="s">
        <v>72</v>
      </c>
      <c r="E122" s="81" t="s">
        <v>166</v>
      </c>
      <c r="I122" s="55">
        <v>117</v>
      </c>
      <c r="J122" s="33">
        <f t="shared" si="63"/>
        <v>0</v>
      </c>
      <c r="K122" s="33">
        <f t="shared" si="64"/>
        <v>0</v>
      </c>
      <c r="L122" s="33">
        <f t="shared" si="65"/>
        <v>0</v>
      </c>
      <c r="M122" s="33">
        <f t="shared" si="66"/>
        <v>0</v>
      </c>
      <c r="N122" s="33">
        <f t="shared" si="46"/>
        <v>0</v>
      </c>
      <c r="O122" s="34">
        <f t="shared" si="47"/>
        <v>0</v>
      </c>
      <c r="P122" s="55">
        <v>117</v>
      </c>
      <c r="Q122" s="33">
        <f t="shared" si="61"/>
        <v>0</v>
      </c>
      <c r="R122" s="33">
        <f t="shared" si="67"/>
        <v>0</v>
      </c>
      <c r="S122" s="33">
        <f t="shared" si="68"/>
        <v>0</v>
      </c>
      <c r="T122" s="33">
        <f t="shared" si="48"/>
        <v>0</v>
      </c>
      <c r="U122" s="33">
        <f t="shared" si="62"/>
        <v>0</v>
      </c>
      <c r="V122" s="33">
        <f t="shared" si="49"/>
        <v>0</v>
      </c>
      <c r="W122" s="33">
        <v>0</v>
      </c>
      <c r="X122" s="33">
        <f t="shared" si="50"/>
        <v>0</v>
      </c>
      <c r="Y122" s="38">
        <f t="shared" si="51"/>
        <v>0</v>
      </c>
      <c r="AA122" s="71">
        <v>117</v>
      </c>
      <c r="AB122" s="33">
        <f t="shared" si="52"/>
        <v>0</v>
      </c>
      <c r="AC122" s="304">
        <f t="shared" si="76"/>
        <v>0</v>
      </c>
      <c r="AD122" s="100">
        <f t="shared" si="53"/>
        <v>0</v>
      </c>
      <c r="AE122" s="100">
        <f t="shared" si="54"/>
        <v>0</v>
      </c>
      <c r="AF122" s="193">
        <f t="shared" si="72"/>
        <v>0</v>
      </c>
      <c r="AG122" s="193">
        <f t="shared" si="73"/>
        <v>0</v>
      </c>
      <c r="AH122" s="193">
        <f t="shared" si="74"/>
        <v>0</v>
      </c>
      <c r="AI122" s="198">
        <f t="shared" si="75"/>
        <v>0</v>
      </c>
      <c r="AK122" s="71">
        <v>117</v>
      </c>
      <c r="AL122" s="33">
        <f t="shared" si="55"/>
        <v>0</v>
      </c>
      <c r="AM122" s="33">
        <f t="shared" si="56"/>
        <v>0</v>
      </c>
      <c r="AN122" s="33">
        <f t="shared" si="57"/>
        <v>0</v>
      </c>
      <c r="AO122" s="33">
        <f t="shared" si="58"/>
        <v>0</v>
      </c>
      <c r="AP122" s="33">
        <f t="shared" si="59"/>
        <v>0</v>
      </c>
      <c r="AQ122" s="193">
        <f t="shared" si="60"/>
        <v>0</v>
      </c>
      <c r="AR122" s="193">
        <f t="shared" si="60"/>
        <v>0</v>
      </c>
      <c r="AS122" s="193">
        <f t="shared" si="60"/>
        <v>0</v>
      </c>
      <c r="AT122" s="193">
        <f t="shared" si="60"/>
        <v>0</v>
      </c>
      <c r="AU122" s="33"/>
      <c r="AV122" s="33"/>
      <c r="AW122" s="33"/>
      <c r="AX122" s="33"/>
      <c r="AY122" s="76"/>
    </row>
    <row r="123" spans="2:51">
      <c r="B123" s="67" t="s">
        <v>168</v>
      </c>
      <c r="C123" s="82">
        <f>AY35</f>
        <v>74.819999999999993</v>
      </c>
      <c r="D123" s="303">
        <f>IF(AND(D8=B100,F12=C194),J34*50%*G107,0)</f>
        <v>2.6187</v>
      </c>
      <c r="E123" s="78">
        <f>C123-D123</f>
        <v>72.201299999999989</v>
      </c>
      <c r="I123" s="55">
        <v>118</v>
      </c>
      <c r="J123" s="33">
        <f t="shared" si="63"/>
        <v>0</v>
      </c>
      <c r="K123" s="33">
        <f t="shared" si="64"/>
        <v>0</v>
      </c>
      <c r="L123" s="33">
        <f t="shared" si="65"/>
        <v>0</v>
      </c>
      <c r="M123" s="33">
        <f t="shared" si="66"/>
        <v>0</v>
      </c>
      <c r="N123" s="33">
        <f t="shared" si="46"/>
        <v>0</v>
      </c>
      <c r="O123" s="34">
        <f t="shared" si="47"/>
        <v>0</v>
      </c>
      <c r="P123" s="55">
        <v>118</v>
      </c>
      <c r="Q123" s="33">
        <f t="shared" si="61"/>
        <v>0</v>
      </c>
      <c r="R123" s="33">
        <f t="shared" si="67"/>
        <v>0</v>
      </c>
      <c r="S123" s="33">
        <f t="shared" si="68"/>
        <v>0</v>
      </c>
      <c r="T123" s="33">
        <f t="shared" si="48"/>
        <v>0</v>
      </c>
      <c r="U123" s="33">
        <f t="shared" si="62"/>
        <v>0</v>
      </c>
      <c r="V123" s="33">
        <f t="shared" si="49"/>
        <v>0</v>
      </c>
      <c r="W123" s="33">
        <v>0</v>
      </c>
      <c r="X123" s="33">
        <f t="shared" si="50"/>
        <v>0</v>
      </c>
      <c r="Y123" s="38">
        <f t="shared" si="51"/>
        <v>0</v>
      </c>
      <c r="AA123" s="71">
        <v>118</v>
      </c>
      <c r="AB123" s="33">
        <f t="shared" si="52"/>
        <v>0</v>
      </c>
      <c r="AC123" s="304">
        <f t="shared" si="76"/>
        <v>0</v>
      </c>
      <c r="AD123" s="100">
        <f t="shared" si="53"/>
        <v>0</v>
      </c>
      <c r="AE123" s="100">
        <f t="shared" si="54"/>
        <v>0</v>
      </c>
      <c r="AF123" s="193">
        <f t="shared" si="72"/>
        <v>0</v>
      </c>
      <c r="AG123" s="193">
        <f t="shared" si="73"/>
        <v>0</v>
      </c>
      <c r="AH123" s="193">
        <f t="shared" si="74"/>
        <v>0</v>
      </c>
      <c r="AI123" s="198">
        <f t="shared" si="75"/>
        <v>0</v>
      </c>
      <c r="AK123" s="71">
        <v>118</v>
      </c>
      <c r="AL123" s="33">
        <f t="shared" si="55"/>
        <v>0</v>
      </c>
      <c r="AM123" s="33">
        <f t="shared" si="56"/>
        <v>0</v>
      </c>
      <c r="AN123" s="33">
        <f t="shared" si="57"/>
        <v>0</v>
      </c>
      <c r="AO123" s="33">
        <f t="shared" si="58"/>
        <v>0</v>
      </c>
      <c r="AP123" s="33">
        <f t="shared" si="59"/>
        <v>0</v>
      </c>
      <c r="AQ123" s="193">
        <f t="shared" si="60"/>
        <v>0</v>
      </c>
      <c r="AR123" s="193">
        <f t="shared" si="60"/>
        <v>0</v>
      </c>
      <c r="AS123" s="193">
        <f t="shared" si="60"/>
        <v>0</v>
      </c>
      <c r="AT123" s="193">
        <f t="shared" si="60"/>
        <v>0</v>
      </c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63"/>
        <v>0</v>
      </c>
      <c r="K124" s="33">
        <f t="shared" si="64"/>
        <v>0</v>
      </c>
      <c r="L124" s="33">
        <f t="shared" si="65"/>
        <v>0</v>
      </c>
      <c r="M124" s="33">
        <f t="shared" si="66"/>
        <v>0</v>
      </c>
      <c r="N124" s="33">
        <f t="shared" si="46"/>
        <v>0</v>
      </c>
      <c r="O124" s="34">
        <f t="shared" si="47"/>
        <v>0</v>
      </c>
      <c r="P124" s="55">
        <v>119</v>
      </c>
      <c r="Q124" s="33">
        <f t="shared" si="61"/>
        <v>0</v>
      </c>
      <c r="R124" s="33">
        <f t="shared" si="67"/>
        <v>0</v>
      </c>
      <c r="S124" s="33">
        <f t="shared" si="68"/>
        <v>0</v>
      </c>
      <c r="T124" s="33">
        <f t="shared" si="48"/>
        <v>0</v>
      </c>
      <c r="U124" s="33">
        <f t="shared" si="62"/>
        <v>0</v>
      </c>
      <c r="V124" s="33">
        <f t="shared" si="49"/>
        <v>0</v>
      </c>
      <c r="W124" s="33">
        <v>0</v>
      </c>
      <c r="X124" s="33">
        <f t="shared" si="50"/>
        <v>0</v>
      </c>
      <c r="Y124" s="38">
        <f t="shared" si="51"/>
        <v>0</v>
      </c>
      <c r="AA124" s="71">
        <v>119</v>
      </c>
      <c r="AB124" s="33">
        <f t="shared" si="52"/>
        <v>0</v>
      </c>
      <c r="AC124" s="304">
        <f t="shared" si="76"/>
        <v>0</v>
      </c>
      <c r="AD124" s="100">
        <f t="shared" si="53"/>
        <v>0</v>
      </c>
      <c r="AE124" s="100">
        <f t="shared" si="54"/>
        <v>0</v>
      </c>
      <c r="AF124" s="193">
        <f t="shared" si="72"/>
        <v>0</v>
      </c>
      <c r="AG124" s="193">
        <f t="shared" si="73"/>
        <v>0</v>
      </c>
      <c r="AH124" s="193">
        <f t="shared" si="74"/>
        <v>0</v>
      </c>
      <c r="AI124" s="198">
        <f t="shared" si="75"/>
        <v>0</v>
      </c>
      <c r="AK124" s="71">
        <v>119</v>
      </c>
      <c r="AL124" s="33">
        <f t="shared" si="55"/>
        <v>0</v>
      </c>
      <c r="AM124" s="33">
        <f t="shared" si="56"/>
        <v>0</v>
      </c>
      <c r="AN124" s="33">
        <f t="shared" si="57"/>
        <v>0</v>
      </c>
      <c r="AO124" s="33">
        <f t="shared" si="58"/>
        <v>0</v>
      </c>
      <c r="AP124" s="33">
        <f t="shared" si="59"/>
        <v>0</v>
      </c>
      <c r="AQ124" s="193">
        <f t="shared" si="60"/>
        <v>0</v>
      </c>
      <c r="AR124" s="193">
        <f t="shared" si="60"/>
        <v>0</v>
      </c>
      <c r="AS124" s="193">
        <f t="shared" si="60"/>
        <v>0</v>
      </c>
      <c r="AT124" s="193">
        <f t="shared" si="60"/>
        <v>0</v>
      </c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63"/>
        <v>0</v>
      </c>
      <c r="K125" s="33">
        <f t="shared" si="64"/>
        <v>0</v>
      </c>
      <c r="L125" s="33">
        <f t="shared" si="65"/>
        <v>0</v>
      </c>
      <c r="M125" s="33">
        <f t="shared" si="66"/>
        <v>0</v>
      </c>
      <c r="N125" s="33">
        <f t="shared" si="46"/>
        <v>0</v>
      </c>
      <c r="O125" s="34">
        <f t="shared" si="47"/>
        <v>0</v>
      </c>
      <c r="P125" s="55">
        <v>120</v>
      </c>
      <c r="Q125" s="33">
        <f t="shared" si="61"/>
        <v>0</v>
      </c>
      <c r="R125" s="33">
        <f t="shared" si="67"/>
        <v>0</v>
      </c>
      <c r="S125" s="33">
        <f t="shared" si="68"/>
        <v>0</v>
      </c>
      <c r="T125" s="33">
        <f t="shared" si="48"/>
        <v>0</v>
      </c>
      <c r="U125" s="33">
        <f t="shared" si="62"/>
        <v>0</v>
      </c>
      <c r="V125" s="33">
        <f t="shared" si="49"/>
        <v>0</v>
      </c>
      <c r="W125" s="33">
        <v>0</v>
      </c>
      <c r="X125" s="33">
        <f t="shared" si="50"/>
        <v>0</v>
      </c>
      <c r="Y125" s="38">
        <f t="shared" si="51"/>
        <v>0</v>
      </c>
      <c r="AA125" s="71">
        <v>120</v>
      </c>
      <c r="AB125" s="33">
        <f t="shared" si="52"/>
        <v>0</v>
      </c>
      <c r="AC125" s="304">
        <f t="shared" si="76"/>
        <v>0</v>
      </c>
      <c r="AD125" s="100">
        <f t="shared" si="53"/>
        <v>0</v>
      </c>
      <c r="AE125" s="100">
        <f t="shared" si="54"/>
        <v>0</v>
      </c>
      <c r="AF125" s="193">
        <f t="shared" si="72"/>
        <v>0</v>
      </c>
      <c r="AG125" s="193">
        <f t="shared" si="73"/>
        <v>0</v>
      </c>
      <c r="AH125" s="193">
        <f t="shared" si="74"/>
        <v>0</v>
      </c>
      <c r="AI125" s="198">
        <f t="shared" si="75"/>
        <v>0</v>
      </c>
      <c r="AK125" s="71">
        <v>120</v>
      </c>
      <c r="AL125" s="33">
        <f t="shared" si="55"/>
        <v>0</v>
      </c>
      <c r="AM125" s="33">
        <f t="shared" si="56"/>
        <v>0</v>
      </c>
      <c r="AN125" s="33">
        <f t="shared" si="57"/>
        <v>0</v>
      </c>
      <c r="AO125" s="33">
        <f t="shared" si="58"/>
        <v>0</v>
      </c>
      <c r="AP125" s="33">
        <f t="shared" si="59"/>
        <v>0</v>
      </c>
      <c r="AQ125" s="193">
        <f t="shared" si="60"/>
        <v>0</v>
      </c>
      <c r="AR125" s="193">
        <f t="shared" si="60"/>
        <v>0</v>
      </c>
      <c r="AS125" s="193">
        <f t="shared" si="60"/>
        <v>0</v>
      </c>
      <c r="AT125" s="193">
        <f t="shared" si="60"/>
        <v>0</v>
      </c>
      <c r="AU125" s="33"/>
      <c r="AV125" s="33"/>
      <c r="AW125" s="33"/>
      <c r="AX125" s="33"/>
      <c r="AY125" s="76"/>
    </row>
    <row r="126" spans="2:51">
      <c r="C126" s="84" t="s">
        <v>129</v>
      </c>
      <c r="D126" s="84" t="s">
        <v>130</v>
      </c>
      <c r="E126" s="84" t="s">
        <v>160</v>
      </c>
      <c r="F126" s="156" t="s">
        <v>170</v>
      </c>
      <c r="I126" s="55">
        <v>121</v>
      </c>
      <c r="J126" s="33">
        <f t="shared" si="63"/>
        <v>0</v>
      </c>
      <c r="K126" s="33">
        <f t="shared" si="64"/>
        <v>0</v>
      </c>
      <c r="L126" s="33">
        <f t="shared" si="65"/>
        <v>0</v>
      </c>
      <c r="M126" s="33">
        <f t="shared" si="66"/>
        <v>0</v>
      </c>
      <c r="N126" s="33">
        <f t="shared" si="46"/>
        <v>0</v>
      </c>
      <c r="O126" s="34">
        <f t="shared" si="47"/>
        <v>0</v>
      </c>
      <c r="P126" s="55">
        <v>121</v>
      </c>
      <c r="Q126" s="33">
        <f t="shared" si="61"/>
        <v>0</v>
      </c>
      <c r="R126" s="33">
        <f t="shared" si="67"/>
        <v>0</v>
      </c>
      <c r="S126" s="33">
        <f t="shared" si="68"/>
        <v>0</v>
      </c>
      <c r="T126" s="33">
        <f t="shared" si="48"/>
        <v>0</v>
      </c>
      <c r="U126" s="33">
        <f t="shared" si="62"/>
        <v>0</v>
      </c>
      <c r="V126" s="33">
        <f t="shared" si="49"/>
        <v>0</v>
      </c>
      <c r="W126" s="33">
        <v>0</v>
      </c>
      <c r="X126" s="33">
        <f t="shared" si="50"/>
        <v>0</v>
      </c>
      <c r="Y126" s="38">
        <f t="shared" si="51"/>
        <v>0</v>
      </c>
      <c r="AA126" s="71">
        <v>121</v>
      </c>
      <c r="AB126" s="33">
        <f t="shared" si="52"/>
        <v>0</v>
      </c>
      <c r="AC126" s="304">
        <f t="shared" si="76"/>
        <v>0</v>
      </c>
      <c r="AD126" s="100">
        <f t="shared" si="53"/>
        <v>0</v>
      </c>
      <c r="AE126" s="100">
        <f t="shared" si="54"/>
        <v>0</v>
      </c>
      <c r="AF126" s="193">
        <f t="shared" si="72"/>
        <v>0</v>
      </c>
      <c r="AG126" s="193">
        <f t="shared" si="73"/>
        <v>0</v>
      </c>
      <c r="AH126" s="193">
        <f t="shared" si="74"/>
        <v>0</v>
      </c>
      <c r="AI126" s="198">
        <f t="shared" si="75"/>
        <v>0</v>
      </c>
      <c r="AK126" s="71">
        <v>121</v>
      </c>
      <c r="AL126" s="33">
        <f t="shared" si="55"/>
        <v>0</v>
      </c>
      <c r="AM126" s="33">
        <f t="shared" si="56"/>
        <v>0</v>
      </c>
      <c r="AN126" s="33">
        <f t="shared" si="57"/>
        <v>0</v>
      </c>
      <c r="AO126" s="33">
        <f t="shared" si="58"/>
        <v>0</v>
      </c>
      <c r="AP126" s="33">
        <f t="shared" si="59"/>
        <v>0</v>
      </c>
      <c r="AQ126" s="193">
        <f t="shared" si="60"/>
        <v>0</v>
      </c>
      <c r="AR126" s="193">
        <f t="shared" si="60"/>
        <v>0</v>
      </c>
      <c r="AS126" s="193">
        <f t="shared" si="60"/>
        <v>0</v>
      </c>
      <c r="AT126" s="193">
        <f t="shared" si="60"/>
        <v>0</v>
      </c>
      <c r="AU126" s="33"/>
      <c r="AV126" s="33"/>
      <c r="AW126" s="33"/>
      <c r="AX126" s="33"/>
      <c r="AY126" s="76"/>
    </row>
    <row r="127" spans="2:51">
      <c r="C127" s="82">
        <f>IF(F18&gt;30,MIN(E113:E114),E113)</f>
        <v>385.22168534669532</v>
      </c>
      <c r="D127" s="82">
        <f>MIN(E118:E119)</f>
        <v>23.995421348483493</v>
      </c>
      <c r="E127" s="85">
        <f>E123</f>
        <v>72.201299999999989</v>
      </c>
      <c r="F127" s="86">
        <f>SUM(C127:E127)</f>
        <v>481.41840669517882</v>
      </c>
      <c r="I127" s="55">
        <v>122</v>
      </c>
      <c r="J127" s="33">
        <f t="shared" si="63"/>
        <v>0</v>
      </c>
      <c r="K127" s="33">
        <f t="shared" si="64"/>
        <v>0</v>
      </c>
      <c r="L127" s="33">
        <f t="shared" si="65"/>
        <v>0</v>
      </c>
      <c r="M127" s="33">
        <f t="shared" si="66"/>
        <v>0</v>
      </c>
      <c r="N127" s="33">
        <f t="shared" si="46"/>
        <v>0</v>
      </c>
      <c r="O127" s="34">
        <f t="shared" si="47"/>
        <v>0</v>
      </c>
      <c r="P127" s="55">
        <v>122</v>
      </c>
      <c r="Q127" s="33">
        <f t="shared" si="61"/>
        <v>0</v>
      </c>
      <c r="R127" s="33">
        <f t="shared" si="67"/>
        <v>0</v>
      </c>
      <c r="S127" s="33">
        <f t="shared" si="68"/>
        <v>0</v>
      </c>
      <c r="T127" s="33">
        <f t="shared" si="48"/>
        <v>0</v>
      </c>
      <c r="U127" s="33">
        <f t="shared" si="62"/>
        <v>0</v>
      </c>
      <c r="V127" s="33">
        <f t="shared" si="49"/>
        <v>0</v>
      </c>
      <c r="W127" s="33">
        <v>0</v>
      </c>
      <c r="X127" s="33">
        <f t="shared" si="50"/>
        <v>0</v>
      </c>
      <c r="Y127" s="38">
        <f t="shared" si="51"/>
        <v>0</v>
      </c>
      <c r="AA127" s="71">
        <v>122</v>
      </c>
      <c r="AB127" s="33">
        <f t="shared" si="52"/>
        <v>0</v>
      </c>
      <c r="AC127" s="304">
        <f t="shared" si="76"/>
        <v>0</v>
      </c>
      <c r="AD127" s="100">
        <f t="shared" si="53"/>
        <v>0</v>
      </c>
      <c r="AE127" s="100">
        <f t="shared" si="54"/>
        <v>0</v>
      </c>
      <c r="AF127" s="193">
        <f t="shared" si="72"/>
        <v>0</v>
      </c>
      <c r="AG127" s="193">
        <f t="shared" si="73"/>
        <v>0</v>
      </c>
      <c r="AH127" s="193">
        <f t="shared" si="74"/>
        <v>0</v>
      </c>
      <c r="AI127" s="198">
        <f t="shared" si="75"/>
        <v>0</v>
      </c>
      <c r="AK127" s="71">
        <v>122</v>
      </c>
      <c r="AL127" s="33">
        <f t="shared" si="55"/>
        <v>0</v>
      </c>
      <c r="AM127" s="33">
        <f t="shared" si="56"/>
        <v>0</v>
      </c>
      <c r="AN127" s="33">
        <f t="shared" si="57"/>
        <v>0</v>
      </c>
      <c r="AO127" s="33">
        <f t="shared" si="58"/>
        <v>0</v>
      </c>
      <c r="AP127" s="33">
        <f t="shared" si="59"/>
        <v>0</v>
      </c>
      <c r="AQ127" s="193">
        <f t="shared" si="60"/>
        <v>0</v>
      </c>
      <c r="AR127" s="193">
        <f t="shared" si="60"/>
        <v>0</v>
      </c>
      <c r="AS127" s="193">
        <f t="shared" si="60"/>
        <v>0</v>
      </c>
      <c r="AT127" s="193">
        <f t="shared" si="60"/>
        <v>0</v>
      </c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63"/>
        <v>0</v>
      </c>
      <c r="K128" s="33">
        <f t="shared" si="64"/>
        <v>0</v>
      </c>
      <c r="L128" s="33">
        <f t="shared" si="65"/>
        <v>0</v>
      </c>
      <c r="M128" s="33">
        <f t="shared" si="66"/>
        <v>0</v>
      </c>
      <c r="N128" s="33">
        <f t="shared" si="46"/>
        <v>0</v>
      </c>
      <c r="O128" s="34">
        <f t="shared" si="47"/>
        <v>0</v>
      </c>
      <c r="P128" s="55">
        <v>123</v>
      </c>
      <c r="Q128" s="33">
        <f t="shared" si="61"/>
        <v>0</v>
      </c>
      <c r="R128" s="33">
        <f t="shared" si="67"/>
        <v>0</v>
      </c>
      <c r="S128" s="33">
        <f t="shared" si="68"/>
        <v>0</v>
      </c>
      <c r="T128" s="33">
        <f t="shared" si="48"/>
        <v>0</v>
      </c>
      <c r="U128" s="33">
        <f t="shared" si="62"/>
        <v>0</v>
      </c>
      <c r="V128" s="33">
        <f t="shared" si="49"/>
        <v>0</v>
      </c>
      <c r="W128" s="33">
        <v>0</v>
      </c>
      <c r="X128" s="33">
        <f t="shared" si="50"/>
        <v>0</v>
      </c>
      <c r="Y128" s="38">
        <f t="shared" si="51"/>
        <v>0</v>
      </c>
      <c r="AA128" s="71">
        <v>123</v>
      </c>
      <c r="AB128" s="33">
        <f t="shared" si="52"/>
        <v>0</v>
      </c>
      <c r="AC128" s="304">
        <f t="shared" si="76"/>
        <v>0</v>
      </c>
      <c r="AD128" s="100">
        <f t="shared" si="53"/>
        <v>0</v>
      </c>
      <c r="AE128" s="100">
        <f t="shared" si="54"/>
        <v>0</v>
      </c>
      <c r="AF128" s="193">
        <f t="shared" si="72"/>
        <v>0</v>
      </c>
      <c r="AG128" s="193">
        <f t="shared" si="73"/>
        <v>0</v>
      </c>
      <c r="AH128" s="193">
        <f t="shared" si="74"/>
        <v>0</v>
      </c>
      <c r="AI128" s="198">
        <f t="shared" si="75"/>
        <v>0</v>
      </c>
      <c r="AK128" s="71">
        <v>123</v>
      </c>
      <c r="AL128" s="33">
        <f t="shared" si="55"/>
        <v>0</v>
      </c>
      <c r="AM128" s="33">
        <f t="shared" si="56"/>
        <v>0</v>
      </c>
      <c r="AN128" s="33">
        <f t="shared" si="57"/>
        <v>0</v>
      </c>
      <c r="AO128" s="33">
        <f t="shared" si="58"/>
        <v>0</v>
      </c>
      <c r="AP128" s="33">
        <f t="shared" si="59"/>
        <v>0</v>
      </c>
      <c r="AQ128" s="193">
        <f t="shared" si="60"/>
        <v>0</v>
      </c>
      <c r="AR128" s="193">
        <f t="shared" si="60"/>
        <v>0</v>
      </c>
      <c r="AS128" s="193">
        <f t="shared" si="60"/>
        <v>0</v>
      </c>
      <c r="AT128" s="193">
        <f t="shared" si="60"/>
        <v>0</v>
      </c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63"/>
        <v>0</v>
      </c>
      <c r="K129" s="33">
        <f t="shared" si="64"/>
        <v>0</v>
      </c>
      <c r="L129" s="33">
        <f t="shared" si="65"/>
        <v>0</v>
      </c>
      <c r="M129" s="33">
        <f t="shared" si="66"/>
        <v>0</v>
      </c>
      <c r="N129" s="33">
        <f t="shared" si="46"/>
        <v>0</v>
      </c>
      <c r="O129" s="34">
        <f t="shared" si="47"/>
        <v>0</v>
      </c>
      <c r="P129" s="55">
        <v>124</v>
      </c>
      <c r="Q129" s="33">
        <f t="shared" si="61"/>
        <v>0</v>
      </c>
      <c r="R129" s="33">
        <f t="shared" si="67"/>
        <v>0</v>
      </c>
      <c r="S129" s="33">
        <f t="shared" si="68"/>
        <v>0</v>
      </c>
      <c r="T129" s="33">
        <f t="shared" si="48"/>
        <v>0</v>
      </c>
      <c r="U129" s="33">
        <f t="shared" si="62"/>
        <v>0</v>
      </c>
      <c r="V129" s="33">
        <f t="shared" si="49"/>
        <v>0</v>
      </c>
      <c r="W129" s="33">
        <v>0</v>
      </c>
      <c r="X129" s="33">
        <f t="shared" si="50"/>
        <v>0</v>
      </c>
      <c r="Y129" s="38">
        <f t="shared" si="51"/>
        <v>0</v>
      </c>
      <c r="AA129" s="71">
        <v>124</v>
      </c>
      <c r="AB129" s="33">
        <f t="shared" si="52"/>
        <v>0</v>
      </c>
      <c r="AC129" s="304">
        <f t="shared" si="76"/>
        <v>0</v>
      </c>
      <c r="AD129" s="100">
        <f t="shared" si="53"/>
        <v>0</v>
      </c>
      <c r="AE129" s="100">
        <f t="shared" si="54"/>
        <v>0</v>
      </c>
      <c r="AF129" s="193">
        <f t="shared" si="72"/>
        <v>0</v>
      </c>
      <c r="AG129" s="193">
        <f t="shared" si="73"/>
        <v>0</v>
      </c>
      <c r="AH129" s="193">
        <f t="shared" si="74"/>
        <v>0</v>
      </c>
      <c r="AI129" s="198">
        <f t="shared" si="75"/>
        <v>0</v>
      </c>
      <c r="AK129" s="71">
        <v>124</v>
      </c>
      <c r="AL129" s="33">
        <f t="shared" si="55"/>
        <v>0</v>
      </c>
      <c r="AM129" s="33">
        <f t="shared" si="56"/>
        <v>0</v>
      </c>
      <c r="AN129" s="33">
        <f t="shared" si="57"/>
        <v>0</v>
      </c>
      <c r="AO129" s="33">
        <f t="shared" si="58"/>
        <v>0</v>
      </c>
      <c r="AP129" s="33">
        <f t="shared" si="59"/>
        <v>0</v>
      </c>
      <c r="AQ129" s="193">
        <f t="shared" si="60"/>
        <v>0</v>
      </c>
      <c r="AR129" s="193">
        <f t="shared" si="60"/>
        <v>0</v>
      </c>
      <c r="AS129" s="193">
        <f t="shared" si="60"/>
        <v>0</v>
      </c>
      <c r="AT129" s="193">
        <f t="shared" si="60"/>
        <v>0</v>
      </c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87" t="s">
        <v>227</v>
      </c>
      <c r="F130" s="342" t="s">
        <v>271</v>
      </c>
      <c r="I130" s="55">
        <v>125</v>
      </c>
      <c r="J130" s="33">
        <f t="shared" si="63"/>
        <v>0</v>
      </c>
      <c r="K130" s="33">
        <f t="shared" si="64"/>
        <v>0</v>
      </c>
      <c r="L130" s="33">
        <f t="shared" si="65"/>
        <v>0</v>
      </c>
      <c r="M130" s="33">
        <f t="shared" si="66"/>
        <v>0</v>
      </c>
      <c r="N130" s="33">
        <f t="shared" si="46"/>
        <v>0</v>
      </c>
      <c r="O130" s="34">
        <f t="shared" si="47"/>
        <v>0</v>
      </c>
      <c r="P130" s="55">
        <v>125</v>
      </c>
      <c r="Q130" s="33">
        <f t="shared" si="61"/>
        <v>0</v>
      </c>
      <c r="R130" s="33">
        <f t="shared" si="67"/>
        <v>0</v>
      </c>
      <c r="S130" s="33">
        <f t="shared" si="68"/>
        <v>0</v>
      </c>
      <c r="T130" s="33">
        <f t="shared" si="48"/>
        <v>0</v>
      </c>
      <c r="U130" s="33">
        <f t="shared" si="62"/>
        <v>0</v>
      </c>
      <c r="V130" s="33">
        <f t="shared" si="49"/>
        <v>0</v>
      </c>
      <c r="W130" s="33">
        <v>0</v>
      </c>
      <c r="X130" s="33">
        <f t="shared" si="50"/>
        <v>0</v>
      </c>
      <c r="Y130" s="38">
        <f t="shared" si="51"/>
        <v>0</v>
      </c>
      <c r="AA130" s="71">
        <v>125</v>
      </c>
      <c r="AB130" s="33">
        <f t="shared" si="52"/>
        <v>0</v>
      </c>
      <c r="AC130" s="304">
        <f t="shared" si="76"/>
        <v>0</v>
      </c>
      <c r="AD130" s="100">
        <f t="shared" si="53"/>
        <v>0</v>
      </c>
      <c r="AE130" s="100">
        <f t="shared" si="54"/>
        <v>0</v>
      </c>
      <c r="AF130" s="193">
        <f t="shared" si="72"/>
        <v>0</v>
      </c>
      <c r="AG130" s="193">
        <f t="shared" si="73"/>
        <v>0</v>
      </c>
      <c r="AH130" s="193">
        <f t="shared" si="74"/>
        <v>0</v>
      </c>
      <c r="AI130" s="198">
        <f t="shared" si="75"/>
        <v>0</v>
      </c>
      <c r="AK130" s="71">
        <v>125</v>
      </c>
      <c r="AL130" s="33">
        <f t="shared" si="55"/>
        <v>0</v>
      </c>
      <c r="AM130" s="33">
        <f t="shared" si="56"/>
        <v>0</v>
      </c>
      <c r="AN130" s="33">
        <f t="shared" si="57"/>
        <v>0</v>
      </c>
      <c r="AO130" s="33">
        <f t="shared" si="58"/>
        <v>0</v>
      </c>
      <c r="AP130" s="33">
        <f t="shared" si="59"/>
        <v>0</v>
      </c>
      <c r="AQ130" s="193">
        <f t="shared" si="60"/>
        <v>0</v>
      </c>
      <c r="AR130" s="193">
        <f t="shared" si="60"/>
        <v>0</v>
      </c>
      <c r="AS130" s="193">
        <f t="shared" si="60"/>
        <v>0</v>
      </c>
      <c r="AT130" s="193">
        <f t="shared" si="60"/>
        <v>0</v>
      </c>
      <c r="AU130" s="33"/>
      <c r="AV130" s="33"/>
      <c r="AW130" s="33"/>
      <c r="AX130" s="33"/>
      <c r="AY130" s="76"/>
    </row>
    <row r="131" spans="3:51">
      <c r="C131" s="165" t="s">
        <v>7</v>
      </c>
      <c r="D131" s="4">
        <v>0.62</v>
      </c>
      <c r="E131" s="187" t="s">
        <v>228</v>
      </c>
      <c r="F131" s="342">
        <f>IF(OR(Tableau145[[#This Row],[Type]]="Feuillus",Tableau145[[#This Row],[Type]]="Peupliers"),1.56,1.3)</f>
        <v>1.56</v>
      </c>
      <c r="I131" s="55">
        <v>126</v>
      </c>
      <c r="J131" s="33">
        <f t="shared" si="63"/>
        <v>0</v>
      </c>
      <c r="K131" s="33">
        <f t="shared" si="64"/>
        <v>0</v>
      </c>
      <c r="L131" s="33">
        <f t="shared" si="65"/>
        <v>0</v>
      </c>
      <c r="M131" s="33">
        <f t="shared" si="66"/>
        <v>0</v>
      </c>
      <c r="N131" s="33">
        <f t="shared" si="46"/>
        <v>0</v>
      </c>
      <c r="O131" s="34">
        <f t="shared" si="47"/>
        <v>0</v>
      </c>
      <c r="P131" s="55">
        <v>126</v>
      </c>
      <c r="Q131" s="33">
        <f t="shared" si="61"/>
        <v>0</v>
      </c>
      <c r="R131" s="33">
        <f t="shared" si="67"/>
        <v>0</v>
      </c>
      <c r="S131" s="33">
        <f t="shared" si="68"/>
        <v>0</v>
      </c>
      <c r="T131" s="33">
        <f t="shared" si="48"/>
        <v>0</v>
      </c>
      <c r="U131" s="33">
        <f t="shared" si="62"/>
        <v>0</v>
      </c>
      <c r="V131" s="33">
        <f t="shared" si="49"/>
        <v>0</v>
      </c>
      <c r="W131" s="33">
        <v>0</v>
      </c>
      <c r="X131" s="33">
        <f t="shared" si="50"/>
        <v>0</v>
      </c>
      <c r="Y131" s="38">
        <f t="shared" si="51"/>
        <v>0</v>
      </c>
      <c r="AA131" s="71">
        <v>126</v>
      </c>
      <c r="AB131" s="33">
        <f t="shared" si="52"/>
        <v>0</v>
      </c>
      <c r="AC131" s="304">
        <f t="shared" si="76"/>
        <v>0</v>
      </c>
      <c r="AD131" s="100">
        <f t="shared" si="53"/>
        <v>0</v>
      </c>
      <c r="AE131" s="100">
        <f t="shared" si="54"/>
        <v>0</v>
      </c>
      <c r="AF131" s="193">
        <f t="shared" si="72"/>
        <v>0</v>
      </c>
      <c r="AG131" s="193">
        <f t="shared" si="73"/>
        <v>0</v>
      </c>
      <c r="AH131" s="193">
        <f t="shared" si="74"/>
        <v>0</v>
      </c>
      <c r="AI131" s="198">
        <f t="shared" si="75"/>
        <v>0</v>
      </c>
      <c r="AK131" s="71">
        <v>126</v>
      </c>
      <c r="AL131" s="33">
        <f t="shared" si="55"/>
        <v>0</v>
      </c>
      <c r="AM131" s="33">
        <f t="shared" si="56"/>
        <v>0</v>
      </c>
      <c r="AN131" s="33">
        <f t="shared" si="57"/>
        <v>0</v>
      </c>
      <c r="AO131" s="33">
        <f t="shared" si="58"/>
        <v>0</v>
      </c>
      <c r="AP131" s="33">
        <f t="shared" si="59"/>
        <v>0</v>
      </c>
      <c r="AQ131" s="193">
        <f t="shared" si="60"/>
        <v>0</v>
      </c>
      <c r="AR131" s="193">
        <f t="shared" si="60"/>
        <v>0</v>
      </c>
      <c r="AS131" s="193">
        <f t="shared" si="60"/>
        <v>0</v>
      </c>
      <c r="AT131" s="193">
        <f t="shared" si="60"/>
        <v>0</v>
      </c>
      <c r="AU131" s="33"/>
      <c r="AV131" s="33"/>
      <c r="AW131" s="33"/>
      <c r="AX131" s="33"/>
      <c r="AY131" s="76"/>
    </row>
    <row r="132" spans="3:51">
      <c r="C132" s="165" t="s">
        <v>4</v>
      </c>
      <c r="D132" s="4">
        <v>0.64</v>
      </c>
      <c r="E132" s="187" t="s">
        <v>228</v>
      </c>
      <c r="F132" s="342">
        <f>IF(OR(Tableau145[[#This Row],[Type]]="Feuillus",Tableau145[[#This Row],[Type]]="Peupliers"),1.56,1.3)</f>
        <v>1.56</v>
      </c>
      <c r="I132" s="55">
        <v>127</v>
      </c>
      <c r="J132" s="33">
        <f t="shared" si="63"/>
        <v>0</v>
      </c>
      <c r="K132" s="33">
        <f t="shared" si="64"/>
        <v>0</v>
      </c>
      <c r="L132" s="33">
        <f t="shared" si="65"/>
        <v>0</v>
      </c>
      <c r="M132" s="33">
        <f t="shared" si="66"/>
        <v>0</v>
      </c>
      <c r="N132" s="33">
        <f t="shared" si="46"/>
        <v>0</v>
      </c>
      <c r="O132" s="34">
        <f t="shared" si="47"/>
        <v>0</v>
      </c>
      <c r="P132" s="55">
        <v>127</v>
      </c>
      <c r="Q132" s="33">
        <f t="shared" si="61"/>
        <v>0</v>
      </c>
      <c r="R132" s="33">
        <f t="shared" si="67"/>
        <v>0</v>
      </c>
      <c r="S132" s="33">
        <f t="shared" si="68"/>
        <v>0</v>
      </c>
      <c r="T132" s="33">
        <f t="shared" si="48"/>
        <v>0</v>
      </c>
      <c r="U132" s="33">
        <f t="shared" si="62"/>
        <v>0</v>
      </c>
      <c r="V132" s="33">
        <f t="shared" si="49"/>
        <v>0</v>
      </c>
      <c r="W132" s="33">
        <v>0</v>
      </c>
      <c r="X132" s="33">
        <f t="shared" si="50"/>
        <v>0</v>
      </c>
      <c r="Y132" s="38">
        <f t="shared" si="51"/>
        <v>0</v>
      </c>
      <c r="AA132" s="71">
        <v>127</v>
      </c>
      <c r="AB132" s="33">
        <f t="shared" si="52"/>
        <v>0</v>
      </c>
      <c r="AC132" s="304">
        <f t="shared" si="76"/>
        <v>0</v>
      </c>
      <c r="AD132" s="100">
        <f t="shared" si="53"/>
        <v>0</v>
      </c>
      <c r="AE132" s="100">
        <f t="shared" si="54"/>
        <v>0</v>
      </c>
      <c r="AF132" s="193">
        <f t="shared" si="72"/>
        <v>0</v>
      </c>
      <c r="AG132" s="193">
        <f t="shared" si="73"/>
        <v>0</v>
      </c>
      <c r="AH132" s="193">
        <f t="shared" si="74"/>
        <v>0</v>
      </c>
      <c r="AI132" s="198">
        <f t="shared" si="75"/>
        <v>0</v>
      </c>
      <c r="AK132" s="71">
        <v>127</v>
      </c>
      <c r="AL132" s="33">
        <f t="shared" si="55"/>
        <v>0</v>
      </c>
      <c r="AM132" s="33">
        <f t="shared" si="56"/>
        <v>0</v>
      </c>
      <c r="AN132" s="33">
        <f t="shared" si="57"/>
        <v>0</v>
      </c>
      <c r="AO132" s="33">
        <f t="shared" si="58"/>
        <v>0</v>
      </c>
      <c r="AP132" s="33">
        <f t="shared" si="59"/>
        <v>0</v>
      </c>
      <c r="AQ132" s="193">
        <f t="shared" si="60"/>
        <v>0</v>
      </c>
      <c r="AR132" s="193">
        <f t="shared" si="60"/>
        <v>0</v>
      </c>
      <c r="AS132" s="193">
        <f t="shared" si="60"/>
        <v>0</v>
      </c>
      <c r="AT132" s="193">
        <f t="shared" ref="AT132:AT195" si="77">IF($AK132&lt;=$F$18,$AL132*AP132,)</f>
        <v>0</v>
      </c>
      <c r="AU132" s="33"/>
      <c r="AV132" s="33"/>
      <c r="AW132" s="33"/>
      <c r="AX132" s="33"/>
      <c r="AY132" s="76"/>
    </row>
    <row r="133" spans="3:51">
      <c r="C133" s="165" t="s">
        <v>8</v>
      </c>
      <c r="D133" s="4">
        <v>0.42</v>
      </c>
      <c r="E133" s="187" t="s">
        <v>228</v>
      </c>
      <c r="F133" s="342">
        <f>IF(OR(Tableau145[[#This Row],[Type]]="Feuillus",Tableau145[[#This Row],[Type]]="Peupliers"),1.56,1.3)</f>
        <v>1.56</v>
      </c>
      <c r="I133" s="55">
        <v>128</v>
      </c>
      <c r="J133" s="33">
        <f t="shared" si="63"/>
        <v>0</v>
      </c>
      <c r="K133" s="33">
        <f t="shared" si="64"/>
        <v>0</v>
      </c>
      <c r="L133" s="33">
        <f t="shared" si="65"/>
        <v>0</v>
      </c>
      <c r="M133" s="33">
        <f t="shared" si="66"/>
        <v>0</v>
      </c>
      <c r="N133" s="33">
        <f t="shared" ref="N133:N196" si="78">IF(P134&lt;=$F$18,0,)</f>
        <v>0</v>
      </c>
      <c r="O133" s="34">
        <f t="shared" ref="O133:O196" si="79">((J133+K133)*0.475+L133+M133+N133)*44/12</f>
        <v>0</v>
      </c>
      <c r="P133" s="55">
        <v>128</v>
      </c>
      <c r="Q133" s="33">
        <f t="shared" si="61"/>
        <v>0</v>
      </c>
      <c r="R133" s="33">
        <f t="shared" si="67"/>
        <v>0</v>
      </c>
      <c r="S133" s="33">
        <f t="shared" si="68"/>
        <v>0</v>
      </c>
      <c r="T133" s="33">
        <f t="shared" ref="T133:T196" si="80">IF(S133=0,0,EXP(-1.0587+0.8836*LN(S133)+0.284))</f>
        <v>0</v>
      </c>
      <c r="U133" s="33">
        <f t="shared" si="62"/>
        <v>0</v>
      </c>
      <c r="V133" s="33">
        <f t="shared" ref="V133:V196" si="81">IF(P133&lt;=$F$18,IF(P133&lt;=30,P133*($F$16-$F$6)/30,$F$16-$F$6),)</f>
        <v>0</v>
      </c>
      <c r="W133" s="33">
        <v>0</v>
      </c>
      <c r="X133" s="33">
        <f t="shared" ref="X133:X196" si="82">((S133+T133)*0.475+U133+V133+W133)*44/12</f>
        <v>0</v>
      </c>
      <c r="Y133" s="38">
        <f t="shared" ref="Y133:Y196" si="83">IF(P133&lt;=$F$18,X133-O133,)</f>
        <v>0</v>
      </c>
      <c r="AA133" s="71">
        <v>128</v>
      </c>
      <c r="AB133" s="33">
        <f t="shared" ref="AB133:AB196" si="84">IF(AA133&lt;=$F$18,IFERROR(VLOOKUP($AA133,$B$82:$G$94,2,FALSE),0),)</f>
        <v>0</v>
      </c>
      <c r="AC133" s="304">
        <f t="shared" si="76"/>
        <v>0</v>
      </c>
      <c r="AD133" s="100">
        <f t="shared" ref="AD133:AD196" si="85">IF(AA133&lt;=$F$18,IFERROR(VLOOKUP($AA133,$B$82:$G$94,4,FALSE),0),)</f>
        <v>0</v>
      </c>
      <c r="AE133" s="100">
        <f t="shared" ref="AE133:AE196" si="86">IF(AA133&lt;=$F$18,IFERROR(VLOOKUP($AA133,$B$82:$G$94,5,FALSE),0),)</f>
        <v>0</v>
      </c>
      <c r="AF133" s="193">
        <f t="shared" si="72"/>
        <v>0</v>
      </c>
      <c r="AG133" s="193">
        <f t="shared" si="73"/>
        <v>0</v>
      </c>
      <c r="AH133" s="193">
        <f t="shared" si="74"/>
        <v>0</v>
      </c>
      <c r="AI133" s="198">
        <f t="shared" si="75"/>
        <v>0</v>
      </c>
      <c r="AK133" s="71">
        <v>128</v>
      </c>
      <c r="AL133" s="33">
        <f t="shared" ref="AL133:AL196" si="87">IF(AK133&lt;=$F$18,IFERROR(VLOOKUP($AA133,$B$82:$G$94,2,FALSE),0),)</f>
        <v>0</v>
      </c>
      <c r="AM133" s="33">
        <f t="shared" ref="AM133:AM196" si="88">IF(AK133&lt;=$F$18,IFERROR(VLOOKUP($AA133,$B$82:$G$94,3,FALSE),0),)</f>
        <v>0</v>
      </c>
      <c r="AN133" s="33">
        <f t="shared" ref="AN133:AN196" si="89">IF(AK133&lt;=$F$18,IFERROR(VLOOKUP($AA133,$B$82:$G$94,4,FALSE),0),)</f>
        <v>0</v>
      </c>
      <c r="AO133" s="33">
        <f t="shared" ref="AO133:AO196" si="90">IF(AK133&lt;=$F$18,IFERROR(VLOOKUP($AA133,$B$82:$G$94,5,FALSE),0),)</f>
        <v>0</v>
      </c>
      <c r="AP133" s="33">
        <f t="shared" ref="AP133:AP196" si="91">IF(AK133&lt;=$F$18,IFERROR(VLOOKUP($AA133,$B$82:$G$94,6,FALSE),0),)</f>
        <v>0</v>
      </c>
      <c r="AQ133" s="193">
        <f t="shared" ref="AQ133:AT196" si="92">IF($AK133&lt;=$F$18,$AL133*AM133,)</f>
        <v>0</v>
      </c>
      <c r="AR133" s="193">
        <f t="shared" si="92"/>
        <v>0</v>
      </c>
      <c r="AS133" s="193">
        <f t="shared" si="92"/>
        <v>0</v>
      </c>
      <c r="AT133" s="193">
        <f t="shared" si="77"/>
        <v>0</v>
      </c>
      <c r="AU133" s="33"/>
      <c r="AV133" s="33"/>
      <c r="AW133" s="33"/>
      <c r="AX133" s="33"/>
      <c r="AY133" s="76"/>
    </row>
    <row r="134" spans="3:51">
      <c r="C134" s="165" t="s">
        <v>9</v>
      </c>
      <c r="D134" s="4">
        <v>0.42</v>
      </c>
      <c r="E134" s="187" t="s">
        <v>228</v>
      </c>
      <c r="F134" s="342">
        <f>IF(OR(Tableau145[[#This Row],[Type]]="Feuillus",Tableau145[[#This Row],[Type]]="Peupliers"),1.56,1.3)</f>
        <v>1.56</v>
      </c>
      <c r="I134" s="55">
        <v>129</v>
      </c>
      <c r="J134" s="33">
        <f t="shared" si="63"/>
        <v>0</v>
      </c>
      <c r="K134" s="33">
        <f t="shared" si="64"/>
        <v>0</v>
      </c>
      <c r="L134" s="33">
        <f t="shared" si="65"/>
        <v>0</v>
      </c>
      <c r="M134" s="33">
        <f t="shared" si="66"/>
        <v>0</v>
      </c>
      <c r="N134" s="33">
        <f t="shared" si="78"/>
        <v>0</v>
      </c>
      <c r="O134" s="34">
        <f t="shared" si="79"/>
        <v>0</v>
      </c>
      <c r="P134" s="55">
        <v>129</v>
      </c>
      <c r="Q134" s="33">
        <f t="shared" ref="Q134:Q197" si="93">IF(P134&lt;=$F$18,LOOKUP(P134-1,$B$25:$B$78,$G$25:$G$78),)</f>
        <v>0</v>
      </c>
      <c r="R134" s="33">
        <f t="shared" si="67"/>
        <v>0</v>
      </c>
      <c r="S134" s="33">
        <f t="shared" si="68"/>
        <v>0</v>
      </c>
      <c r="T134" s="33">
        <f t="shared" si="80"/>
        <v>0</v>
      </c>
      <c r="U134" s="33">
        <f t="shared" ref="U134:U197" si="94">IF(P134&lt;=$F$18,$F$5+($F$15-$F$5)*(1-EXP(-0.0175*P134)),)</f>
        <v>0</v>
      </c>
      <c r="V134" s="33">
        <f t="shared" si="81"/>
        <v>0</v>
      </c>
      <c r="W134" s="33">
        <v>0</v>
      </c>
      <c r="X134" s="33">
        <f t="shared" si="82"/>
        <v>0</v>
      </c>
      <c r="Y134" s="38">
        <f t="shared" si="83"/>
        <v>0</v>
      </c>
      <c r="AA134" s="71">
        <v>129</v>
      </c>
      <c r="AB134" s="33">
        <f t="shared" si="84"/>
        <v>0</v>
      </c>
      <c r="AC134" s="304">
        <f t="shared" si="76"/>
        <v>0</v>
      </c>
      <c r="AD134" s="100">
        <f t="shared" si="85"/>
        <v>0</v>
      </c>
      <c r="AE134" s="100">
        <f t="shared" si="86"/>
        <v>0</v>
      </c>
      <c r="AF134" s="193">
        <f t="shared" si="72"/>
        <v>0</v>
      </c>
      <c r="AG134" s="193">
        <f t="shared" si="73"/>
        <v>0</v>
      </c>
      <c r="AH134" s="193">
        <f t="shared" si="74"/>
        <v>0</v>
      </c>
      <c r="AI134" s="198">
        <f t="shared" si="75"/>
        <v>0</v>
      </c>
      <c r="AK134" s="71">
        <v>129</v>
      </c>
      <c r="AL134" s="33">
        <f t="shared" si="87"/>
        <v>0</v>
      </c>
      <c r="AM134" s="33">
        <f t="shared" si="88"/>
        <v>0</v>
      </c>
      <c r="AN134" s="33">
        <f t="shared" si="89"/>
        <v>0</v>
      </c>
      <c r="AO134" s="33">
        <f t="shared" si="90"/>
        <v>0</v>
      </c>
      <c r="AP134" s="33">
        <f t="shared" si="91"/>
        <v>0</v>
      </c>
      <c r="AQ134" s="193">
        <f t="shared" si="92"/>
        <v>0</v>
      </c>
      <c r="AR134" s="193">
        <f t="shared" si="92"/>
        <v>0</v>
      </c>
      <c r="AS134" s="193">
        <f t="shared" si="92"/>
        <v>0</v>
      </c>
      <c r="AT134" s="193">
        <f t="shared" si="77"/>
        <v>0</v>
      </c>
      <c r="AU134" s="33"/>
      <c r="AV134" s="33"/>
      <c r="AW134" s="33"/>
      <c r="AX134" s="33"/>
      <c r="AY134" s="76"/>
    </row>
    <row r="135" spans="3:51">
      <c r="C135" s="165" t="s">
        <v>10</v>
      </c>
      <c r="D135" s="4">
        <v>0.52</v>
      </c>
      <c r="E135" s="187" t="s">
        <v>228</v>
      </c>
      <c r="F135" s="342">
        <f>IF(OR(Tableau145[[#This Row],[Type]]="Feuillus",Tableau145[[#This Row],[Type]]="Peupliers"),1.56,1.3)</f>
        <v>1.56</v>
      </c>
      <c r="I135" s="55">
        <v>130</v>
      </c>
      <c r="J135" s="33">
        <f t="shared" ref="J135:J198" si="95">IF($I135&lt;=$F$10,$F$11*$F$13+J134,)</f>
        <v>0</v>
      </c>
      <c r="K135" s="33">
        <f t="shared" ref="K135:K198" si="96">IF(J135=0,0,EXP(-1.0587+0.8836*LN(J135)+0.284))</f>
        <v>0</v>
      </c>
      <c r="L135" s="33">
        <f t="shared" ref="L135:L198" si="97">IF(I135&lt;=$F$10,$F$5+($F$8-$F$5)*(1-EXP(-0.0175*I135)),)</f>
        <v>0</v>
      </c>
      <c r="M135" s="33">
        <f t="shared" ref="M135:M198" si="98">IF(I135&lt;=$F$10,IF(I135&lt;=30,I135*($F$9-$F$6)/30,$F$9-$F$6),)</f>
        <v>0</v>
      </c>
      <c r="N135" s="33">
        <f t="shared" si="78"/>
        <v>0</v>
      </c>
      <c r="O135" s="34">
        <f t="shared" si="79"/>
        <v>0</v>
      </c>
      <c r="P135" s="55">
        <v>130</v>
      </c>
      <c r="Q135" s="33">
        <f t="shared" si="93"/>
        <v>0</v>
      </c>
      <c r="R135" s="33">
        <f t="shared" ref="R135:R198" si="99">IF(P135&lt;=$F$18,Q135+R134,)</f>
        <v>0</v>
      </c>
      <c r="S135" s="33">
        <f t="shared" ref="S135:S198" si="100">$F$19*R135</f>
        <v>0</v>
      </c>
      <c r="T135" s="33">
        <f t="shared" si="80"/>
        <v>0</v>
      </c>
      <c r="U135" s="33">
        <f t="shared" si="94"/>
        <v>0</v>
      </c>
      <c r="V135" s="33">
        <f t="shared" si="81"/>
        <v>0</v>
      </c>
      <c r="W135" s="33">
        <v>0</v>
      </c>
      <c r="X135" s="33">
        <f t="shared" si="82"/>
        <v>0</v>
      </c>
      <c r="Y135" s="38">
        <f t="shared" si="83"/>
        <v>0</v>
      </c>
      <c r="AA135" s="71">
        <v>130</v>
      </c>
      <c r="AB135" s="33">
        <f t="shared" si="84"/>
        <v>0</v>
      </c>
      <c r="AC135" s="304">
        <f t="shared" si="76"/>
        <v>0</v>
      </c>
      <c r="AD135" s="100">
        <f t="shared" si="85"/>
        <v>0</v>
      </c>
      <c r="AE135" s="100">
        <f t="shared" si="86"/>
        <v>0</v>
      </c>
      <c r="AF135" s="193">
        <f t="shared" si="72"/>
        <v>0</v>
      </c>
      <c r="AG135" s="193">
        <f t="shared" si="73"/>
        <v>0</v>
      </c>
      <c r="AH135" s="193">
        <f t="shared" si="74"/>
        <v>0</v>
      </c>
      <c r="AI135" s="198">
        <f t="shared" si="75"/>
        <v>0</v>
      </c>
      <c r="AK135" s="71">
        <v>130</v>
      </c>
      <c r="AL135" s="33">
        <f t="shared" si="87"/>
        <v>0</v>
      </c>
      <c r="AM135" s="33">
        <f t="shared" si="88"/>
        <v>0</v>
      </c>
      <c r="AN135" s="33">
        <f t="shared" si="89"/>
        <v>0</v>
      </c>
      <c r="AO135" s="33">
        <f t="shared" si="90"/>
        <v>0</v>
      </c>
      <c r="AP135" s="33">
        <f t="shared" si="91"/>
        <v>0</v>
      </c>
      <c r="AQ135" s="193">
        <f t="shared" si="92"/>
        <v>0</v>
      </c>
      <c r="AR135" s="193">
        <f t="shared" si="92"/>
        <v>0</v>
      </c>
      <c r="AS135" s="193">
        <f t="shared" si="92"/>
        <v>0</v>
      </c>
      <c r="AT135" s="193">
        <f t="shared" si="77"/>
        <v>0</v>
      </c>
      <c r="AU135" s="33"/>
      <c r="AV135" s="33"/>
      <c r="AW135" s="33"/>
      <c r="AX135" s="33"/>
      <c r="AY135" s="76"/>
    </row>
    <row r="136" spans="3:51">
      <c r="C136" s="165" t="s">
        <v>11</v>
      </c>
      <c r="D136" s="4">
        <v>0.36</v>
      </c>
      <c r="E136" s="187" t="s">
        <v>229</v>
      </c>
      <c r="F136" s="342">
        <f>IF(OR(Tableau145[[#This Row],[Type]]="Feuillus",Tableau145[[#This Row],[Type]]="Peupliers"),1.56,1.3)</f>
        <v>1.3</v>
      </c>
      <c r="I136" s="55">
        <v>131</v>
      </c>
      <c r="J136" s="33">
        <f t="shared" si="95"/>
        <v>0</v>
      </c>
      <c r="K136" s="33">
        <f t="shared" si="96"/>
        <v>0</v>
      </c>
      <c r="L136" s="33">
        <f t="shared" si="97"/>
        <v>0</v>
      </c>
      <c r="M136" s="33">
        <f t="shared" si="98"/>
        <v>0</v>
      </c>
      <c r="N136" s="33">
        <f t="shared" si="78"/>
        <v>0</v>
      </c>
      <c r="O136" s="34">
        <f t="shared" si="79"/>
        <v>0</v>
      </c>
      <c r="P136" s="55">
        <v>131</v>
      </c>
      <c r="Q136" s="33">
        <f t="shared" si="93"/>
        <v>0</v>
      </c>
      <c r="R136" s="33">
        <f t="shared" si="99"/>
        <v>0</v>
      </c>
      <c r="S136" s="33">
        <f t="shared" si="100"/>
        <v>0</v>
      </c>
      <c r="T136" s="33">
        <f t="shared" si="80"/>
        <v>0</v>
      </c>
      <c r="U136" s="33">
        <f t="shared" si="94"/>
        <v>0</v>
      </c>
      <c r="V136" s="33">
        <f t="shared" si="81"/>
        <v>0</v>
      </c>
      <c r="W136" s="33">
        <v>0</v>
      </c>
      <c r="X136" s="33">
        <f t="shared" si="82"/>
        <v>0</v>
      </c>
      <c r="Y136" s="38">
        <f t="shared" si="83"/>
        <v>0</v>
      </c>
      <c r="AA136" s="71">
        <v>131</v>
      </c>
      <c r="AB136" s="33">
        <f t="shared" si="84"/>
        <v>0</v>
      </c>
      <c r="AC136" s="304">
        <f t="shared" si="76"/>
        <v>0</v>
      </c>
      <c r="AD136" s="100">
        <f t="shared" si="85"/>
        <v>0</v>
      </c>
      <c r="AE136" s="100">
        <f t="shared" si="86"/>
        <v>0</v>
      </c>
      <c r="AF136" s="193">
        <f t="shared" si="72"/>
        <v>0</v>
      </c>
      <c r="AG136" s="193">
        <f t="shared" si="73"/>
        <v>0</v>
      </c>
      <c r="AH136" s="193">
        <f t="shared" si="74"/>
        <v>0</v>
      </c>
      <c r="AI136" s="198">
        <f t="shared" si="75"/>
        <v>0</v>
      </c>
      <c r="AK136" s="71">
        <v>131</v>
      </c>
      <c r="AL136" s="33">
        <f t="shared" si="87"/>
        <v>0</v>
      </c>
      <c r="AM136" s="33">
        <f t="shared" si="88"/>
        <v>0</v>
      </c>
      <c r="AN136" s="33">
        <f t="shared" si="89"/>
        <v>0</v>
      </c>
      <c r="AO136" s="33">
        <f t="shared" si="90"/>
        <v>0</v>
      </c>
      <c r="AP136" s="33">
        <f t="shared" si="91"/>
        <v>0</v>
      </c>
      <c r="AQ136" s="193">
        <f t="shared" si="92"/>
        <v>0</v>
      </c>
      <c r="AR136" s="193">
        <f t="shared" si="92"/>
        <v>0</v>
      </c>
      <c r="AS136" s="193">
        <f t="shared" si="92"/>
        <v>0</v>
      </c>
      <c r="AT136" s="193">
        <f t="shared" si="77"/>
        <v>0</v>
      </c>
      <c r="AU136" s="33"/>
      <c r="AV136" s="33"/>
      <c r="AW136" s="33"/>
      <c r="AX136" s="33"/>
      <c r="AY136" s="76"/>
    </row>
    <row r="137" spans="3:51">
      <c r="C137" s="165" t="s">
        <v>12</v>
      </c>
      <c r="D137" s="4">
        <v>0.61</v>
      </c>
      <c r="E137" s="187" t="s">
        <v>228</v>
      </c>
      <c r="F137" s="342">
        <f>IF(OR(Tableau145[[#This Row],[Type]]="Feuillus",Tableau145[[#This Row],[Type]]="Peupliers"),1.56,1.3)</f>
        <v>1.56</v>
      </c>
      <c r="I137" s="55">
        <v>132</v>
      </c>
      <c r="J137" s="33">
        <f t="shared" si="95"/>
        <v>0</v>
      </c>
      <c r="K137" s="33">
        <f t="shared" si="96"/>
        <v>0</v>
      </c>
      <c r="L137" s="33">
        <f t="shared" si="97"/>
        <v>0</v>
      </c>
      <c r="M137" s="33">
        <f t="shared" si="98"/>
        <v>0</v>
      </c>
      <c r="N137" s="33">
        <f t="shared" si="78"/>
        <v>0</v>
      </c>
      <c r="O137" s="34">
        <f t="shared" si="79"/>
        <v>0</v>
      </c>
      <c r="P137" s="55">
        <v>132</v>
      </c>
      <c r="Q137" s="33">
        <f t="shared" si="93"/>
        <v>0</v>
      </c>
      <c r="R137" s="33">
        <f t="shared" si="99"/>
        <v>0</v>
      </c>
      <c r="S137" s="33">
        <f t="shared" si="100"/>
        <v>0</v>
      </c>
      <c r="T137" s="33">
        <f t="shared" si="80"/>
        <v>0</v>
      </c>
      <c r="U137" s="33">
        <f t="shared" si="94"/>
        <v>0</v>
      </c>
      <c r="V137" s="33">
        <f t="shared" si="81"/>
        <v>0</v>
      </c>
      <c r="W137" s="33">
        <v>0</v>
      </c>
      <c r="X137" s="33">
        <f t="shared" si="82"/>
        <v>0</v>
      </c>
      <c r="Y137" s="38">
        <f t="shared" si="83"/>
        <v>0</v>
      </c>
      <c r="AA137" s="71">
        <v>132</v>
      </c>
      <c r="AB137" s="33">
        <f t="shared" si="84"/>
        <v>0</v>
      </c>
      <c r="AC137" s="304">
        <f t="shared" si="76"/>
        <v>0</v>
      </c>
      <c r="AD137" s="100">
        <f t="shared" si="85"/>
        <v>0</v>
      </c>
      <c r="AE137" s="100">
        <f t="shared" si="86"/>
        <v>0</v>
      </c>
      <c r="AF137" s="193">
        <f t="shared" si="72"/>
        <v>0</v>
      </c>
      <c r="AG137" s="193">
        <f t="shared" si="73"/>
        <v>0</v>
      </c>
      <c r="AH137" s="193">
        <f t="shared" si="74"/>
        <v>0</v>
      </c>
      <c r="AI137" s="198">
        <f t="shared" si="75"/>
        <v>0</v>
      </c>
      <c r="AK137" s="71">
        <v>132</v>
      </c>
      <c r="AL137" s="33">
        <f t="shared" si="87"/>
        <v>0</v>
      </c>
      <c r="AM137" s="33">
        <f t="shared" si="88"/>
        <v>0</v>
      </c>
      <c r="AN137" s="33">
        <f t="shared" si="89"/>
        <v>0</v>
      </c>
      <c r="AO137" s="33">
        <f t="shared" si="90"/>
        <v>0</v>
      </c>
      <c r="AP137" s="33">
        <f t="shared" si="91"/>
        <v>0</v>
      </c>
      <c r="AQ137" s="193">
        <f t="shared" si="92"/>
        <v>0</v>
      </c>
      <c r="AR137" s="193">
        <f t="shared" si="92"/>
        <v>0</v>
      </c>
      <c r="AS137" s="193">
        <f t="shared" si="92"/>
        <v>0</v>
      </c>
      <c r="AT137" s="193">
        <f t="shared" si="77"/>
        <v>0</v>
      </c>
      <c r="AU137" s="33"/>
      <c r="AV137" s="33"/>
      <c r="AW137" s="33"/>
      <c r="AX137" s="33"/>
      <c r="AY137" s="76"/>
    </row>
    <row r="138" spans="3:51">
      <c r="C138" s="165" t="s">
        <v>13</v>
      </c>
      <c r="D138" s="4">
        <v>0.66</v>
      </c>
      <c r="E138" s="187" t="s">
        <v>228</v>
      </c>
      <c r="F138" s="342">
        <f>IF(OR(Tableau145[[#This Row],[Type]]="Feuillus",Tableau145[[#This Row],[Type]]="Peupliers"),1.56,1.3)</f>
        <v>1.56</v>
      </c>
      <c r="I138" s="55">
        <v>133</v>
      </c>
      <c r="J138" s="33">
        <f t="shared" si="95"/>
        <v>0</v>
      </c>
      <c r="K138" s="33">
        <f t="shared" si="96"/>
        <v>0</v>
      </c>
      <c r="L138" s="33">
        <f t="shared" si="97"/>
        <v>0</v>
      </c>
      <c r="M138" s="33">
        <f t="shared" si="98"/>
        <v>0</v>
      </c>
      <c r="N138" s="33">
        <f t="shared" si="78"/>
        <v>0</v>
      </c>
      <c r="O138" s="34">
        <f t="shared" si="79"/>
        <v>0</v>
      </c>
      <c r="P138" s="55">
        <v>133</v>
      </c>
      <c r="Q138" s="33">
        <f t="shared" si="93"/>
        <v>0</v>
      </c>
      <c r="R138" s="33">
        <f t="shared" si="99"/>
        <v>0</v>
      </c>
      <c r="S138" s="33">
        <f t="shared" si="100"/>
        <v>0</v>
      </c>
      <c r="T138" s="33">
        <f t="shared" si="80"/>
        <v>0</v>
      </c>
      <c r="U138" s="33">
        <f t="shared" si="94"/>
        <v>0</v>
      </c>
      <c r="V138" s="33">
        <f t="shared" si="81"/>
        <v>0</v>
      </c>
      <c r="W138" s="33">
        <v>0</v>
      </c>
      <c r="X138" s="33">
        <f t="shared" si="82"/>
        <v>0</v>
      </c>
      <c r="Y138" s="38">
        <f t="shared" si="83"/>
        <v>0</v>
      </c>
      <c r="AA138" s="71">
        <v>133</v>
      </c>
      <c r="AB138" s="33">
        <f t="shared" si="84"/>
        <v>0</v>
      </c>
      <c r="AC138" s="304">
        <f t="shared" si="76"/>
        <v>0</v>
      </c>
      <c r="AD138" s="100">
        <f t="shared" si="85"/>
        <v>0</v>
      </c>
      <c r="AE138" s="100">
        <f t="shared" si="86"/>
        <v>0</v>
      </c>
      <c r="AF138" s="193">
        <f t="shared" si="72"/>
        <v>0</v>
      </c>
      <c r="AG138" s="193">
        <f t="shared" si="73"/>
        <v>0</v>
      </c>
      <c r="AH138" s="193">
        <f t="shared" si="74"/>
        <v>0</v>
      </c>
      <c r="AI138" s="198">
        <f t="shared" si="75"/>
        <v>0</v>
      </c>
      <c r="AK138" s="71">
        <v>133</v>
      </c>
      <c r="AL138" s="33">
        <f t="shared" si="87"/>
        <v>0</v>
      </c>
      <c r="AM138" s="33">
        <f t="shared" si="88"/>
        <v>0</v>
      </c>
      <c r="AN138" s="33">
        <f t="shared" si="89"/>
        <v>0</v>
      </c>
      <c r="AO138" s="33">
        <f t="shared" si="90"/>
        <v>0</v>
      </c>
      <c r="AP138" s="33">
        <f t="shared" si="91"/>
        <v>0</v>
      </c>
      <c r="AQ138" s="193">
        <f t="shared" si="92"/>
        <v>0</v>
      </c>
      <c r="AR138" s="193">
        <f t="shared" si="92"/>
        <v>0</v>
      </c>
      <c r="AS138" s="193">
        <f t="shared" si="92"/>
        <v>0</v>
      </c>
      <c r="AT138" s="193">
        <f t="shared" si="77"/>
        <v>0</v>
      </c>
      <c r="AU138" s="33"/>
      <c r="AV138" s="33"/>
      <c r="AW138" s="33"/>
      <c r="AX138" s="33"/>
      <c r="AY138" s="76"/>
    </row>
    <row r="139" spans="3:51">
      <c r="C139" s="166" t="s">
        <v>14</v>
      </c>
      <c r="D139" s="133">
        <v>0.47</v>
      </c>
      <c r="E139" s="187" t="s">
        <v>228</v>
      </c>
      <c r="F139" s="342">
        <f>IF(OR(Tableau145[[#This Row],[Type]]="Feuillus",Tableau145[[#This Row],[Type]]="Peupliers"),1.56,1.3)</f>
        <v>1.56</v>
      </c>
      <c r="I139" s="55">
        <v>134</v>
      </c>
      <c r="J139" s="33">
        <f t="shared" si="95"/>
        <v>0</v>
      </c>
      <c r="K139" s="33">
        <f t="shared" si="96"/>
        <v>0</v>
      </c>
      <c r="L139" s="33">
        <f t="shared" si="97"/>
        <v>0</v>
      </c>
      <c r="M139" s="33">
        <f t="shared" si="98"/>
        <v>0</v>
      </c>
      <c r="N139" s="33">
        <f t="shared" si="78"/>
        <v>0</v>
      </c>
      <c r="O139" s="34">
        <f t="shared" si="79"/>
        <v>0</v>
      </c>
      <c r="P139" s="55">
        <v>134</v>
      </c>
      <c r="Q139" s="33">
        <f t="shared" si="93"/>
        <v>0</v>
      </c>
      <c r="R139" s="33">
        <f t="shared" si="99"/>
        <v>0</v>
      </c>
      <c r="S139" s="33">
        <f t="shared" si="100"/>
        <v>0</v>
      </c>
      <c r="T139" s="33">
        <f t="shared" si="80"/>
        <v>0</v>
      </c>
      <c r="U139" s="33">
        <f t="shared" si="94"/>
        <v>0</v>
      </c>
      <c r="V139" s="33">
        <f t="shared" si="81"/>
        <v>0</v>
      </c>
      <c r="W139" s="33">
        <v>0</v>
      </c>
      <c r="X139" s="33">
        <f t="shared" si="82"/>
        <v>0</v>
      </c>
      <c r="Y139" s="38">
        <f t="shared" si="83"/>
        <v>0</v>
      </c>
      <c r="AA139" s="71">
        <v>134</v>
      </c>
      <c r="AB139" s="33">
        <f t="shared" si="84"/>
        <v>0</v>
      </c>
      <c r="AC139" s="304">
        <f t="shared" si="76"/>
        <v>0</v>
      </c>
      <c r="AD139" s="100">
        <f t="shared" si="85"/>
        <v>0</v>
      </c>
      <c r="AE139" s="100">
        <f t="shared" si="86"/>
        <v>0</v>
      </c>
      <c r="AF139" s="193">
        <f t="shared" si="72"/>
        <v>0</v>
      </c>
      <c r="AG139" s="193">
        <f t="shared" si="73"/>
        <v>0</v>
      </c>
      <c r="AH139" s="193">
        <f t="shared" si="74"/>
        <v>0</v>
      </c>
      <c r="AI139" s="198">
        <f t="shared" si="75"/>
        <v>0</v>
      </c>
      <c r="AK139" s="71">
        <v>134</v>
      </c>
      <c r="AL139" s="33">
        <f t="shared" si="87"/>
        <v>0</v>
      </c>
      <c r="AM139" s="33">
        <f t="shared" si="88"/>
        <v>0</v>
      </c>
      <c r="AN139" s="33">
        <f t="shared" si="89"/>
        <v>0</v>
      </c>
      <c r="AO139" s="33">
        <f t="shared" si="90"/>
        <v>0</v>
      </c>
      <c r="AP139" s="33">
        <f t="shared" si="91"/>
        <v>0</v>
      </c>
      <c r="AQ139" s="193">
        <f t="shared" si="92"/>
        <v>0</v>
      </c>
      <c r="AR139" s="193">
        <f t="shared" si="92"/>
        <v>0</v>
      </c>
      <c r="AS139" s="193">
        <f t="shared" si="92"/>
        <v>0</v>
      </c>
      <c r="AT139" s="193">
        <f t="shared" si="77"/>
        <v>0</v>
      </c>
      <c r="AU139" s="33"/>
      <c r="AV139" s="33"/>
      <c r="AW139" s="33"/>
      <c r="AX139" s="33"/>
      <c r="AY139" s="76"/>
    </row>
    <row r="140" spans="3:51">
      <c r="C140" s="165" t="s">
        <v>15</v>
      </c>
      <c r="D140" s="4">
        <v>0.67</v>
      </c>
      <c r="E140" s="187" t="s">
        <v>228</v>
      </c>
      <c r="F140" s="342">
        <f>IF(OR(Tableau145[[#This Row],[Type]]="Feuillus",Tableau145[[#This Row],[Type]]="Peupliers"),1.56,1.3)</f>
        <v>1.56</v>
      </c>
      <c r="I140" s="55">
        <v>135</v>
      </c>
      <c r="J140" s="33">
        <f t="shared" si="95"/>
        <v>0</v>
      </c>
      <c r="K140" s="33">
        <f t="shared" si="96"/>
        <v>0</v>
      </c>
      <c r="L140" s="33">
        <f t="shared" si="97"/>
        <v>0</v>
      </c>
      <c r="M140" s="33">
        <f t="shared" si="98"/>
        <v>0</v>
      </c>
      <c r="N140" s="33">
        <f t="shared" si="78"/>
        <v>0</v>
      </c>
      <c r="O140" s="34">
        <f t="shared" si="79"/>
        <v>0</v>
      </c>
      <c r="P140" s="55">
        <v>135</v>
      </c>
      <c r="Q140" s="33">
        <f t="shared" si="93"/>
        <v>0</v>
      </c>
      <c r="R140" s="33">
        <f t="shared" si="99"/>
        <v>0</v>
      </c>
      <c r="S140" s="33">
        <f t="shared" si="100"/>
        <v>0</v>
      </c>
      <c r="T140" s="33">
        <f t="shared" si="80"/>
        <v>0</v>
      </c>
      <c r="U140" s="33">
        <f t="shared" si="94"/>
        <v>0</v>
      </c>
      <c r="V140" s="33">
        <f t="shared" si="81"/>
        <v>0</v>
      </c>
      <c r="W140" s="33">
        <v>0</v>
      </c>
      <c r="X140" s="33">
        <f t="shared" si="82"/>
        <v>0</v>
      </c>
      <c r="Y140" s="38">
        <f t="shared" si="83"/>
        <v>0</v>
      </c>
      <c r="AA140" s="71">
        <v>135</v>
      </c>
      <c r="AB140" s="33">
        <f t="shared" si="84"/>
        <v>0</v>
      </c>
      <c r="AC140" s="304">
        <f t="shared" si="76"/>
        <v>0</v>
      </c>
      <c r="AD140" s="100">
        <f t="shared" si="85"/>
        <v>0</v>
      </c>
      <c r="AE140" s="100">
        <f t="shared" si="86"/>
        <v>0</v>
      </c>
      <c r="AF140" s="193">
        <f t="shared" si="72"/>
        <v>0</v>
      </c>
      <c r="AG140" s="193">
        <f t="shared" si="73"/>
        <v>0</v>
      </c>
      <c r="AH140" s="193">
        <f t="shared" si="74"/>
        <v>0</v>
      </c>
      <c r="AI140" s="198">
        <f t="shared" si="75"/>
        <v>0</v>
      </c>
      <c r="AK140" s="71">
        <v>135</v>
      </c>
      <c r="AL140" s="33">
        <f t="shared" si="87"/>
        <v>0</v>
      </c>
      <c r="AM140" s="33">
        <f t="shared" si="88"/>
        <v>0</v>
      </c>
      <c r="AN140" s="33">
        <f t="shared" si="89"/>
        <v>0</v>
      </c>
      <c r="AO140" s="33">
        <f t="shared" si="90"/>
        <v>0</v>
      </c>
      <c r="AP140" s="33">
        <f t="shared" si="91"/>
        <v>0</v>
      </c>
      <c r="AQ140" s="193">
        <f t="shared" si="92"/>
        <v>0</v>
      </c>
      <c r="AR140" s="193">
        <f t="shared" si="92"/>
        <v>0</v>
      </c>
      <c r="AS140" s="193">
        <f t="shared" si="92"/>
        <v>0</v>
      </c>
      <c r="AT140" s="193">
        <f t="shared" si="77"/>
        <v>0</v>
      </c>
      <c r="AU140" s="33"/>
      <c r="AV140" s="33"/>
      <c r="AW140" s="33"/>
      <c r="AX140" s="33"/>
      <c r="AY140" s="76"/>
    </row>
    <row r="141" spans="3:51">
      <c r="C141" s="165" t="s">
        <v>16</v>
      </c>
      <c r="D141" s="4">
        <v>0.7</v>
      </c>
      <c r="E141" s="187" t="s">
        <v>228</v>
      </c>
      <c r="F141" s="342">
        <f>IF(OR(Tableau145[[#This Row],[Type]]="Feuillus",Tableau145[[#This Row],[Type]]="Peupliers"),1.56,1.3)</f>
        <v>1.56</v>
      </c>
      <c r="I141" s="55">
        <v>136</v>
      </c>
      <c r="J141" s="33">
        <f t="shared" si="95"/>
        <v>0</v>
      </c>
      <c r="K141" s="33">
        <f t="shared" si="96"/>
        <v>0</v>
      </c>
      <c r="L141" s="33">
        <f t="shared" si="97"/>
        <v>0</v>
      </c>
      <c r="M141" s="33">
        <f t="shared" si="98"/>
        <v>0</v>
      </c>
      <c r="N141" s="33">
        <f t="shared" si="78"/>
        <v>0</v>
      </c>
      <c r="O141" s="34">
        <f t="shared" si="79"/>
        <v>0</v>
      </c>
      <c r="P141" s="55">
        <v>136</v>
      </c>
      <c r="Q141" s="33">
        <f t="shared" si="93"/>
        <v>0</v>
      </c>
      <c r="R141" s="33">
        <f t="shared" si="99"/>
        <v>0</v>
      </c>
      <c r="S141" s="33">
        <f t="shared" si="100"/>
        <v>0</v>
      </c>
      <c r="T141" s="33">
        <f t="shared" si="80"/>
        <v>0</v>
      </c>
      <c r="U141" s="33">
        <f t="shared" si="94"/>
        <v>0</v>
      </c>
      <c r="V141" s="33">
        <f t="shared" si="81"/>
        <v>0</v>
      </c>
      <c r="W141" s="33">
        <v>0</v>
      </c>
      <c r="X141" s="33">
        <f t="shared" si="82"/>
        <v>0</v>
      </c>
      <c r="Y141" s="38">
        <f t="shared" si="83"/>
        <v>0</v>
      </c>
      <c r="AA141" s="71">
        <v>136</v>
      </c>
      <c r="AB141" s="33">
        <f t="shared" si="84"/>
        <v>0</v>
      </c>
      <c r="AC141" s="304">
        <f t="shared" si="76"/>
        <v>0</v>
      </c>
      <c r="AD141" s="100">
        <f t="shared" si="85"/>
        <v>0</v>
      </c>
      <c r="AE141" s="100">
        <f t="shared" si="86"/>
        <v>0</v>
      </c>
      <c r="AF141" s="193">
        <f t="shared" si="72"/>
        <v>0</v>
      </c>
      <c r="AG141" s="193">
        <f t="shared" si="73"/>
        <v>0</v>
      </c>
      <c r="AH141" s="193">
        <f t="shared" si="74"/>
        <v>0</v>
      </c>
      <c r="AI141" s="198">
        <f t="shared" si="75"/>
        <v>0</v>
      </c>
      <c r="AK141" s="71">
        <v>136</v>
      </c>
      <c r="AL141" s="33">
        <f t="shared" si="87"/>
        <v>0</v>
      </c>
      <c r="AM141" s="33">
        <f t="shared" si="88"/>
        <v>0</v>
      </c>
      <c r="AN141" s="33">
        <f t="shared" si="89"/>
        <v>0</v>
      </c>
      <c r="AO141" s="33">
        <f t="shared" si="90"/>
        <v>0</v>
      </c>
      <c r="AP141" s="33">
        <f t="shared" si="91"/>
        <v>0</v>
      </c>
      <c r="AQ141" s="193">
        <f t="shared" si="92"/>
        <v>0</v>
      </c>
      <c r="AR141" s="193">
        <f t="shared" si="92"/>
        <v>0</v>
      </c>
      <c r="AS141" s="193">
        <f t="shared" si="92"/>
        <v>0</v>
      </c>
      <c r="AT141" s="193">
        <f t="shared" si="77"/>
        <v>0</v>
      </c>
      <c r="AU141" s="33"/>
      <c r="AV141" s="33"/>
      <c r="AW141" s="33"/>
      <c r="AX141" s="33"/>
      <c r="AY141" s="76"/>
    </row>
    <row r="142" spans="3:51">
      <c r="C142" s="165" t="s">
        <v>17</v>
      </c>
      <c r="D142" s="4">
        <v>0.54</v>
      </c>
      <c r="E142" s="187" t="s">
        <v>228</v>
      </c>
      <c r="F142" s="342">
        <f>IF(OR(Tableau145[[#This Row],[Type]]="Feuillus",Tableau145[[#This Row],[Type]]="Peupliers"),1.56,1.3)</f>
        <v>1.56</v>
      </c>
      <c r="I142" s="55">
        <v>137</v>
      </c>
      <c r="J142" s="33">
        <f t="shared" si="95"/>
        <v>0</v>
      </c>
      <c r="K142" s="33">
        <f t="shared" si="96"/>
        <v>0</v>
      </c>
      <c r="L142" s="33">
        <f t="shared" si="97"/>
        <v>0</v>
      </c>
      <c r="M142" s="33">
        <f t="shared" si="98"/>
        <v>0</v>
      </c>
      <c r="N142" s="33">
        <f t="shared" si="78"/>
        <v>0</v>
      </c>
      <c r="O142" s="34">
        <f t="shared" si="79"/>
        <v>0</v>
      </c>
      <c r="P142" s="55">
        <v>137</v>
      </c>
      <c r="Q142" s="33">
        <f t="shared" si="93"/>
        <v>0</v>
      </c>
      <c r="R142" s="33">
        <f t="shared" si="99"/>
        <v>0</v>
      </c>
      <c r="S142" s="33">
        <f t="shared" si="100"/>
        <v>0</v>
      </c>
      <c r="T142" s="33">
        <f t="shared" si="80"/>
        <v>0</v>
      </c>
      <c r="U142" s="33">
        <f t="shared" si="94"/>
        <v>0</v>
      </c>
      <c r="V142" s="33">
        <f t="shared" si="81"/>
        <v>0</v>
      </c>
      <c r="W142" s="33">
        <v>0</v>
      </c>
      <c r="X142" s="33">
        <f t="shared" si="82"/>
        <v>0</v>
      </c>
      <c r="Y142" s="38">
        <f t="shared" si="83"/>
        <v>0</v>
      </c>
      <c r="AA142" s="71">
        <v>137</v>
      </c>
      <c r="AB142" s="33">
        <f t="shared" si="84"/>
        <v>0</v>
      </c>
      <c r="AC142" s="304">
        <f t="shared" si="76"/>
        <v>0</v>
      </c>
      <c r="AD142" s="100">
        <f t="shared" si="85"/>
        <v>0</v>
      </c>
      <c r="AE142" s="100">
        <f t="shared" si="86"/>
        <v>0</v>
      </c>
      <c r="AF142" s="193">
        <f t="shared" si="72"/>
        <v>0</v>
      </c>
      <c r="AG142" s="193">
        <f t="shared" si="73"/>
        <v>0</v>
      </c>
      <c r="AH142" s="193">
        <f t="shared" si="74"/>
        <v>0</v>
      </c>
      <c r="AI142" s="198">
        <f t="shared" si="75"/>
        <v>0</v>
      </c>
      <c r="AK142" s="71">
        <v>137</v>
      </c>
      <c r="AL142" s="33">
        <f t="shared" si="87"/>
        <v>0</v>
      </c>
      <c r="AM142" s="33">
        <f t="shared" si="88"/>
        <v>0</v>
      </c>
      <c r="AN142" s="33">
        <f t="shared" si="89"/>
        <v>0</v>
      </c>
      <c r="AO142" s="33">
        <f t="shared" si="90"/>
        <v>0</v>
      </c>
      <c r="AP142" s="33">
        <f t="shared" si="91"/>
        <v>0</v>
      </c>
      <c r="AQ142" s="193">
        <f t="shared" si="92"/>
        <v>0</v>
      </c>
      <c r="AR142" s="193">
        <f t="shared" si="92"/>
        <v>0</v>
      </c>
      <c r="AS142" s="193">
        <f t="shared" si="92"/>
        <v>0</v>
      </c>
      <c r="AT142" s="193">
        <f t="shared" si="77"/>
        <v>0</v>
      </c>
      <c r="AU142" s="33"/>
      <c r="AV142" s="33"/>
      <c r="AW142" s="33"/>
      <c r="AX142" s="33"/>
      <c r="AY142" s="76"/>
    </row>
    <row r="143" spans="3:51">
      <c r="C143" s="165" t="s">
        <v>18</v>
      </c>
      <c r="D143" s="4">
        <v>0.65</v>
      </c>
      <c r="E143" s="187" t="s">
        <v>228</v>
      </c>
      <c r="F143" s="342">
        <f>IF(OR(Tableau145[[#This Row],[Type]]="Feuillus",Tableau145[[#This Row],[Type]]="Peupliers"),1.56,1.3)</f>
        <v>1.56</v>
      </c>
      <c r="I143" s="55">
        <v>138</v>
      </c>
      <c r="J143" s="33">
        <f t="shared" si="95"/>
        <v>0</v>
      </c>
      <c r="K143" s="33">
        <f t="shared" si="96"/>
        <v>0</v>
      </c>
      <c r="L143" s="33">
        <f t="shared" si="97"/>
        <v>0</v>
      </c>
      <c r="M143" s="33">
        <f t="shared" si="98"/>
        <v>0</v>
      </c>
      <c r="N143" s="33">
        <f t="shared" si="78"/>
        <v>0</v>
      </c>
      <c r="O143" s="34">
        <f t="shared" si="79"/>
        <v>0</v>
      </c>
      <c r="P143" s="55">
        <v>138</v>
      </c>
      <c r="Q143" s="33">
        <f t="shared" si="93"/>
        <v>0</v>
      </c>
      <c r="R143" s="33">
        <f t="shared" si="99"/>
        <v>0</v>
      </c>
      <c r="S143" s="33">
        <f t="shared" si="100"/>
        <v>0</v>
      </c>
      <c r="T143" s="33">
        <f t="shared" si="80"/>
        <v>0</v>
      </c>
      <c r="U143" s="33">
        <f t="shared" si="94"/>
        <v>0</v>
      </c>
      <c r="V143" s="33">
        <f t="shared" si="81"/>
        <v>0</v>
      </c>
      <c r="W143" s="33">
        <v>0</v>
      </c>
      <c r="X143" s="33">
        <f t="shared" si="82"/>
        <v>0</v>
      </c>
      <c r="Y143" s="38">
        <f t="shared" si="83"/>
        <v>0</v>
      </c>
      <c r="AA143" s="71">
        <v>138</v>
      </c>
      <c r="AB143" s="33">
        <f t="shared" si="84"/>
        <v>0</v>
      </c>
      <c r="AC143" s="304">
        <f t="shared" si="76"/>
        <v>0</v>
      </c>
      <c r="AD143" s="100">
        <f t="shared" si="85"/>
        <v>0</v>
      </c>
      <c r="AE143" s="100">
        <f t="shared" si="86"/>
        <v>0</v>
      </c>
      <c r="AF143" s="193">
        <f t="shared" si="72"/>
        <v>0</v>
      </c>
      <c r="AG143" s="193">
        <f t="shared" si="73"/>
        <v>0</v>
      </c>
      <c r="AH143" s="193">
        <f t="shared" si="74"/>
        <v>0</v>
      </c>
      <c r="AI143" s="198">
        <f t="shared" si="75"/>
        <v>0</v>
      </c>
      <c r="AK143" s="71">
        <v>138</v>
      </c>
      <c r="AL143" s="33">
        <f t="shared" si="87"/>
        <v>0</v>
      </c>
      <c r="AM143" s="33">
        <f t="shared" si="88"/>
        <v>0</v>
      </c>
      <c r="AN143" s="33">
        <f t="shared" si="89"/>
        <v>0</v>
      </c>
      <c r="AO143" s="33">
        <f t="shared" si="90"/>
        <v>0</v>
      </c>
      <c r="AP143" s="33">
        <f t="shared" si="91"/>
        <v>0</v>
      </c>
      <c r="AQ143" s="193">
        <f t="shared" si="92"/>
        <v>0</v>
      </c>
      <c r="AR143" s="193">
        <f t="shared" si="92"/>
        <v>0</v>
      </c>
      <c r="AS143" s="193">
        <f t="shared" si="92"/>
        <v>0</v>
      </c>
      <c r="AT143" s="193">
        <f t="shared" si="77"/>
        <v>0</v>
      </c>
      <c r="AU143" s="33"/>
      <c r="AV143" s="33"/>
      <c r="AW143" s="33"/>
      <c r="AX143" s="33"/>
      <c r="AY143" s="76"/>
    </row>
    <row r="144" spans="3:51">
      <c r="C144" s="165" t="s">
        <v>19</v>
      </c>
      <c r="D144" s="4">
        <v>0.56000000000000005</v>
      </c>
      <c r="E144" s="187" t="s">
        <v>228</v>
      </c>
      <c r="F144" s="342">
        <f>IF(OR(Tableau145[[#This Row],[Type]]="Feuillus",Tableau145[[#This Row],[Type]]="Peupliers"),1.56,1.3)</f>
        <v>1.56</v>
      </c>
      <c r="I144" s="55">
        <v>139</v>
      </c>
      <c r="J144" s="33">
        <f t="shared" si="95"/>
        <v>0</v>
      </c>
      <c r="K144" s="33">
        <f t="shared" si="96"/>
        <v>0</v>
      </c>
      <c r="L144" s="33">
        <f t="shared" si="97"/>
        <v>0</v>
      </c>
      <c r="M144" s="33">
        <f t="shared" si="98"/>
        <v>0</v>
      </c>
      <c r="N144" s="33">
        <f t="shared" si="78"/>
        <v>0</v>
      </c>
      <c r="O144" s="34">
        <f t="shared" si="79"/>
        <v>0</v>
      </c>
      <c r="P144" s="55">
        <v>139</v>
      </c>
      <c r="Q144" s="33">
        <f t="shared" si="93"/>
        <v>0</v>
      </c>
      <c r="R144" s="33">
        <f t="shared" si="99"/>
        <v>0</v>
      </c>
      <c r="S144" s="33">
        <f t="shared" si="100"/>
        <v>0</v>
      </c>
      <c r="T144" s="33">
        <f t="shared" si="80"/>
        <v>0</v>
      </c>
      <c r="U144" s="33">
        <f t="shared" si="94"/>
        <v>0</v>
      </c>
      <c r="V144" s="33">
        <f t="shared" si="81"/>
        <v>0</v>
      </c>
      <c r="W144" s="33">
        <v>0</v>
      </c>
      <c r="X144" s="33">
        <f t="shared" si="82"/>
        <v>0</v>
      </c>
      <c r="Y144" s="38">
        <f t="shared" si="83"/>
        <v>0</v>
      </c>
      <c r="AA144" s="71">
        <v>139</v>
      </c>
      <c r="AB144" s="33">
        <f t="shared" si="84"/>
        <v>0</v>
      </c>
      <c r="AC144" s="304">
        <f t="shared" si="76"/>
        <v>0</v>
      </c>
      <c r="AD144" s="100">
        <f t="shared" si="85"/>
        <v>0</v>
      </c>
      <c r="AE144" s="100">
        <f t="shared" si="86"/>
        <v>0</v>
      </c>
      <c r="AF144" s="193">
        <f t="shared" si="72"/>
        <v>0</v>
      </c>
      <c r="AG144" s="193">
        <f t="shared" si="73"/>
        <v>0</v>
      </c>
      <c r="AH144" s="193">
        <f t="shared" si="74"/>
        <v>0</v>
      </c>
      <c r="AI144" s="198">
        <f t="shared" si="75"/>
        <v>0</v>
      </c>
      <c r="AK144" s="71">
        <v>139</v>
      </c>
      <c r="AL144" s="33">
        <f t="shared" si="87"/>
        <v>0</v>
      </c>
      <c r="AM144" s="33">
        <f t="shared" si="88"/>
        <v>0</v>
      </c>
      <c r="AN144" s="33">
        <f t="shared" si="89"/>
        <v>0</v>
      </c>
      <c r="AO144" s="33">
        <f t="shared" si="90"/>
        <v>0</v>
      </c>
      <c r="AP144" s="33">
        <f t="shared" si="91"/>
        <v>0</v>
      </c>
      <c r="AQ144" s="193">
        <f t="shared" si="92"/>
        <v>0</v>
      </c>
      <c r="AR144" s="193">
        <f t="shared" si="92"/>
        <v>0</v>
      </c>
      <c r="AS144" s="193">
        <f t="shared" si="92"/>
        <v>0</v>
      </c>
      <c r="AT144" s="193">
        <f t="shared" si="77"/>
        <v>0</v>
      </c>
      <c r="AU144" s="33"/>
      <c r="AV144" s="33"/>
      <c r="AW144" s="33"/>
      <c r="AX144" s="33"/>
      <c r="AY144" s="76"/>
    </row>
    <row r="145" spans="3:51">
      <c r="C145" s="165" t="s">
        <v>20</v>
      </c>
      <c r="D145" s="4">
        <v>0.57999999999999996</v>
      </c>
      <c r="E145" s="187" t="s">
        <v>228</v>
      </c>
      <c r="F145" s="342">
        <f>IF(OR(Tableau145[[#This Row],[Type]]="Feuillus",Tableau145[[#This Row],[Type]]="Peupliers"),1.56,1.3)</f>
        <v>1.56</v>
      </c>
      <c r="I145" s="55">
        <v>140</v>
      </c>
      <c r="J145" s="33">
        <f t="shared" si="95"/>
        <v>0</v>
      </c>
      <c r="K145" s="33">
        <f t="shared" si="96"/>
        <v>0</v>
      </c>
      <c r="L145" s="33">
        <f t="shared" si="97"/>
        <v>0</v>
      </c>
      <c r="M145" s="33">
        <f t="shared" si="98"/>
        <v>0</v>
      </c>
      <c r="N145" s="33">
        <f t="shared" si="78"/>
        <v>0</v>
      </c>
      <c r="O145" s="34">
        <f t="shared" si="79"/>
        <v>0</v>
      </c>
      <c r="P145" s="55">
        <v>140</v>
      </c>
      <c r="Q145" s="33">
        <f t="shared" si="93"/>
        <v>0</v>
      </c>
      <c r="R145" s="33">
        <f t="shared" si="99"/>
        <v>0</v>
      </c>
      <c r="S145" s="33">
        <f t="shared" si="100"/>
        <v>0</v>
      </c>
      <c r="T145" s="33">
        <f t="shared" si="80"/>
        <v>0</v>
      </c>
      <c r="U145" s="33">
        <f t="shared" si="94"/>
        <v>0</v>
      </c>
      <c r="V145" s="33">
        <f t="shared" si="81"/>
        <v>0</v>
      </c>
      <c r="W145" s="33">
        <v>0</v>
      </c>
      <c r="X145" s="33">
        <f t="shared" si="82"/>
        <v>0</v>
      </c>
      <c r="Y145" s="38">
        <f t="shared" si="83"/>
        <v>0</v>
      </c>
      <c r="AA145" s="71">
        <v>140</v>
      </c>
      <c r="AB145" s="33">
        <f t="shared" si="84"/>
        <v>0</v>
      </c>
      <c r="AC145" s="304">
        <f t="shared" si="76"/>
        <v>0</v>
      </c>
      <c r="AD145" s="100">
        <f t="shared" si="85"/>
        <v>0</v>
      </c>
      <c r="AE145" s="100">
        <f t="shared" si="86"/>
        <v>0</v>
      </c>
      <c r="AF145" s="193">
        <f t="shared" si="72"/>
        <v>0</v>
      </c>
      <c r="AG145" s="193">
        <f t="shared" si="73"/>
        <v>0</v>
      </c>
      <c r="AH145" s="193">
        <f t="shared" si="74"/>
        <v>0</v>
      </c>
      <c r="AI145" s="198">
        <f t="shared" si="75"/>
        <v>0</v>
      </c>
      <c r="AK145" s="71">
        <v>140</v>
      </c>
      <c r="AL145" s="33">
        <f t="shared" si="87"/>
        <v>0</v>
      </c>
      <c r="AM145" s="33">
        <f t="shared" si="88"/>
        <v>0</v>
      </c>
      <c r="AN145" s="33">
        <f t="shared" si="89"/>
        <v>0</v>
      </c>
      <c r="AO145" s="33">
        <f t="shared" si="90"/>
        <v>0</v>
      </c>
      <c r="AP145" s="33">
        <f t="shared" si="91"/>
        <v>0</v>
      </c>
      <c r="AQ145" s="193">
        <f t="shared" si="92"/>
        <v>0</v>
      </c>
      <c r="AR145" s="193">
        <f t="shared" si="92"/>
        <v>0</v>
      </c>
      <c r="AS145" s="193">
        <f t="shared" si="92"/>
        <v>0</v>
      </c>
      <c r="AT145" s="193">
        <f t="shared" si="77"/>
        <v>0</v>
      </c>
      <c r="AU145" s="33"/>
      <c r="AV145" s="33"/>
      <c r="AW145" s="33"/>
      <c r="AX145" s="33"/>
      <c r="AY145" s="76"/>
    </row>
    <row r="146" spans="3:51">
      <c r="C146" s="165" t="s">
        <v>21</v>
      </c>
      <c r="D146" s="4">
        <v>0.64</v>
      </c>
      <c r="E146" s="187" t="s">
        <v>228</v>
      </c>
      <c r="F146" s="342">
        <f>IF(OR(Tableau145[[#This Row],[Type]]="Feuillus",Tableau145[[#This Row],[Type]]="Peupliers"),1.56,1.3)</f>
        <v>1.56</v>
      </c>
      <c r="I146" s="55">
        <v>141</v>
      </c>
      <c r="J146" s="33">
        <f t="shared" si="95"/>
        <v>0</v>
      </c>
      <c r="K146" s="33">
        <f t="shared" si="96"/>
        <v>0</v>
      </c>
      <c r="L146" s="33">
        <f t="shared" si="97"/>
        <v>0</v>
      </c>
      <c r="M146" s="33">
        <f t="shared" si="98"/>
        <v>0</v>
      </c>
      <c r="N146" s="33">
        <f t="shared" si="78"/>
        <v>0</v>
      </c>
      <c r="O146" s="34">
        <f t="shared" si="79"/>
        <v>0</v>
      </c>
      <c r="P146" s="55">
        <v>141</v>
      </c>
      <c r="Q146" s="33">
        <f t="shared" si="93"/>
        <v>0</v>
      </c>
      <c r="R146" s="33">
        <f t="shared" si="99"/>
        <v>0</v>
      </c>
      <c r="S146" s="33">
        <f t="shared" si="100"/>
        <v>0</v>
      </c>
      <c r="T146" s="33">
        <f t="shared" si="80"/>
        <v>0</v>
      </c>
      <c r="U146" s="33">
        <f t="shared" si="94"/>
        <v>0</v>
      </c>
      <c r="V146" s="33">
        <f t="shared" si="81"/>
        <v>0</v>
      </c>
      <c r="W146" s="33">
        <v>0</v>
      </c>
      <c r="X146" s="33">
        <f t="shared" si="82"/>
        <v>0</v>
      </c>
      <c r="Y146" s="38">
        <f t="shared" si="83"/>
        <v>0</v>
      </c>
      <c r="AA146" s="71">
        <v>141</v>
      </c>
      <c r="AB146" s="33">
        <f t="shared" si="84"/>
        <v>0</v>
      </c>
      <c r="AC146" s="304">
        <f t="shared" si="76"/>
        <v>0</v>
      </c>
      <c r="AD146" s="100">
        <f t="shared" si="85"/>
        <v>0</v>
      </c>
      <c r="AE146" s="100">
        <f t="shared" si="86"/>
        <v>0</v>
      </c>
      <c r="AF146" s="193">
        <f t="shared" si="72"/>
        <v>0</v>
      </c>
      <c r="AG146" s="193">
        <f t="shared" si="73"/>
        <v>0</v>
      </c>
      <c r="AH146" s="193">
        <f t="shared" si="74"/>
        <v>0</v>
      </c>
      <c r="AI146" s="198">
        <f t="shared" si="75"/>
        <v>0</v>
      </c>
      <c r="AK146" s="71">
        <v>141</v>
      </c>
      <c r="AL146" s="33">
        <f t="shared" si="87"/>
        <v>0</v>
      </c>
      <c r="AM146" s="33">
        <f t="shared" si="88"/>
        <v>0</v>
      </c>
      <c r="AN146" s="33">
        <f t="shared" si="89"/>
        <v>0</v>
      </c>
      <c r="AO146" s="33">
        <f t="shared" si="90"/>
        <v>0</v>
      </c>
      <c r="AP146" s="33">
        <f t="shared" si="91"/>
        <v>0</v>
      </c>
      <c r="AQ146" s="193">
        <f t="shared" si="92"/>
        <v>0</v>
      </c>
      <c r="AR146" s="193">
        <f t="shared" si="92"/>
        <v>0</v>
      </c>
      <c r="AS146" s="193">
        <f t="shared" si="92"/>
        <v>0</v>
      </c>
      <c r="AT146" s="193">
        <f t="shared" si="77"/>
        <v>0</v>
      </c>
      <c r="AU146" s="33"/>
      <c r="AV146" s="33"/>
      <c r="AW146" s="33"/>
      <c r="AX146" s="33"/>
      <c r="AY146" s="76"/>
    </row>
    <row r="147" spans="3:51">
      <c r="C147" s="165" t="s">
        <v>22</v>
      </c>
      <c r="D147" s="4">
        <v>0.73</v>
      </c>
      <c r="E147" s="187" t="s">
        <v>228</v>
      </c>
      <c r="F147" s="342">
        <f>IF(OR(Tableau145[[#This Row],[Type]]="Feuillus",Tableau145[[#This Row],[Type]]="Peupliers"),1.56,1.3)</f>
        <v>1.56</v>
      </c>
      <c r="I147" s="55">
        <v>142</v>
      </c>
      <c r="J147" s="33">
        <f t="shared" si="95"/>
        <v>0</v>
      </c>
      <c r="K147" s="33">
        <f t="shared" si="96"/>
        <v>0</v>
      </c>
      <c r="L147" s="33">
        <f t="shared" si="97"/>
        <v>0</v>
      </c>
      <c r="M147" s="33">
        <f t="shared" si="98"/>
        <v>0</v>
      </c>
      <c r="N147" s="33">
        <f t="shared" si="78"/>
        <v>0</v>
      </c>
      <c r="O147" s="34">
        <f t="shared" si="79"/>
        <v>0</v>
      </c>
      <c r="P147" s="55">
        <v>142</v>
      </c>
      <c r="Q147" s="33">
        <f t="shared" si="93"/>
        <v>0</v>
      </c>
      <c r="R147" s="33">
        <f t="shared" si="99"/>
        <v>0</v>
      </c>
      <c r="S147" s="33">
        <f t="shared" si="100"/>
        <v>0</v>
      </c>
      <c r="T147" s="33">
        <f t="shared" si="80"/>
        <v>0</v>
      </c>
      <c r="U147" s="33">
        <f t="shared" si="94"/>
        <v>0</v>
      </c>
      <c r="V147" s="33">
        <f t="shared" si="81"/>
        <v>0</v>
      </c>
      <c r="W147" s="33">
        <v>0</v>
      </c>
      <c r="X147" s="33">
        <f t="shared" si="82"/>
        <v>0</v>
      </c>
      <c r="Y147" s="38">
        <f t="shared" si="83"/>
        <v>0</v>
      </c>
      <c r="AA147" s="71">
        <v>142</v>
      </c>
      <c r="AB147" s="33">
        <f t="shared" si="84"/>
        <v>0</v>
      </c>
      <c r="AC147" s="304">
        <f t="shared" si="76"/>
        <v>0</v>
      </c>
      <c r="AD147" s="100">
        <f t="shared" si="85"/>
        <v>0</v>
      </c>
      <c r="AE147" s="100">
        <f t="shared" si="86"/>
        <v>0</v>
      </c>
      <c r="AF147" s="193">
        <f t="shared" si="72"/>
        <v>0</v>
      </c>
      <c r="AG147" s="193">
        <f t="shared" si="73"/>
        <v>0</v>
      </c>
      <c r="AH147" s="193">
        <f t="shared" si="74"/>
        <v>0</v>
      </c>
      <c r="AI147" s="198">
        <f t="shared" si="75"/>
        <v>0</v>
      </c>
      <c r="AK147" s="71">
        <v>142</v>
      </c>
      <c r="AL147" s="33">
        <f t="shared" si="87"/>
        <v>0</v>
      </c>
      <c r="AM147" s="33">
        <f t="shared" si="88"/>
        <v>0</v>
      </c>
      <c r="AN147" s="33">
        <f t="shared" si="89"/>
        <v>0</v>
      </c>
      <c r="AO147" s="33">
        <f t="shared" si="90"/>
        <v>0</v>
      </c>
      <c r="AP147" s="33">
        <f t="shared" si="91"/>
        <v>0</v>
      </c>
      <c r="AQ147" s="193">
        <f t="shared" si="92"/>
        <v>0</v>
      </c>
      <c r="AR147" s="193">
        <f t="shared" si="92"/>
        <v>0</v>
      </c>
      <c r="AS147" s="193">
        <f t="shared" si="92"/>
        <v>0</v>
      </c>
      <c r="AT147" s="193">
        <f t="shared" si="77"/>
        <v>0</v>
      </c>
      <c r="AU147" s="33"/>
      <c r="AV147" s="33"/>
      <c r="AW147" s="33"/>
      <c r="AX147" s="33"/>
      <c r="AY147" s="76"/>
    </row>
    <row r="148" spans="3:51">
      <c r="C148" s="165" t="s">
        <v>23</v>
      </c>
      <c r="D148" s="4">
        <v>0.56000000000000005</v>
      </c>
      <c r="E148" s="187" t="s">
        <v>228</v>
      </c>
      <c r="F148" s="342">
        <f>IF(OR(Tableau145[[#This Row],[Type]]="Feuillus",Tableau145[[#This Row],[Type]]="Peupliers"),1.56,1.3)</f>
        <v>1.56</v>
      </c>
      <c r="I148" s="55">
        <v>143</v>
      </c>
      <c r="J148" s="33">
        <f t="shared" si="95"/>
        <v>0</v>
      </c>
      <c r="K148" s="33">
        <f t="shared" si="96"/>
        <v>0</v>
      </c>
      <c r="L148" s="33">
        <f t="shared" si="97"/>
        <v>0</v>
      </c>
      <c r="M148" s="33">
        <f t="shared" si="98"/>
        <v>0</v>
      </c>
      <c r="N148" s="33">
        <f t="shared" si="78"/>
        <v>0</v>
      </c>
      <c r="O148" s="34">
        <f t="shared" si="79"/>
        <v>0</v>
      </c>
      <c r="P148" s="55">
        <v>143</v>
      </c>
      <c r="Q148" s="33">
        <f t="shared" si="93"/>
        <v>0</v>
      </c>
      <c r="R148" s="33">
        <f t="shared" si="99"/>
        <v>0</v>
      </c>
      <c r="S148" s="33">
        <f t="shared" si="100"/>
        <v>0</v>
      </c>
      <c r="T148" s="33">
        <f t="shared" si="80"/>
        <v>0</v>
      </c>
      <c r="U148" s="33">
        <f t="shared" si="94"/>
        <v>0</v>
      </c>
      <c r="V148" s="33">
        <f t="shared" si="81"/>
        <v>0</v>
      </c>
      <c r="W148" s="33">
        <v>0</v>
      </c>
      <c r="X148" s="33">
        <f t="shared" si="82"/>
        <v>0</v>
      </c>
      <c r="Y148" s="38">
        <f t="shared" si="83"/>
        <v>0</v>
      </c>
      <c r="AA148" s="71">
        <v>143</v>
      </c>
      <c r="AB148" s="33">
        <f t="shared" si="84"/>
        <v>0</v>
      </c>
      <c r="AC148" s="304">
        <f t="shared" si="76"/>
        <v>0</v>
      </c>
      <c r="AD148" s="100">
        <f t="shared" si="85"/>
        <v>0</v>
      </c>
      <c r="AE148" s="100">
        <f t="shared" si="86"/>
        <v>0</v>
      </c>
      <c r="AF148" s="193">
        <f t="shared" si="72"/>
        <v>0</v>
      </c>
      <c r="AG148" s="193">
        <f t="shared" si="73"/>
        <v>0</v>
      </c>
      <c r="AH148" s="193">
        <f t="shared" si="74"/>
        <v>0</v>
      </c>
      <c r="AI148" s="198">
        <f t="shared" si="75"/>
        <v>0</v>
      </c>
      <c r="AK148" s="71">
        <v>143</v>
      </c>
      <c r="AL148" s="33">
        <f t="shared" si="87"/>
        <v>0</v>
      </c>
      <c r="AM148" s="33">
        <f t="shared" si="88"/>
        <v>0</v>
      </c>
      <c r="AN148" s="33">
        <f t="shared" si="89"/>
        <v>0</v>
      </c>
      <c r="AO148" s="33">
        <f t="shared" si="90"/>
        <v>0</v>
      </c>
      <c r="AP148" s="33">
        <f t="shared" si="91"/>
        <v>0</v>
      </c>
      <c r="AQ148" s="193">
        <f t="shared" si="92"/>
        <v>0</v>
      </c>
      <c r="AR148" s="193">
        <f t="shared" si="92"/>
        <v>0</v>
      </c>
      <c r="AS148" s="193">
        <f t="shared" si="92"/>
        <v>0</v>
      </c>
      <c r="AT148" s="193">
        <f t="shared" si="77"/>
        <v>0</v>
      </c>
      <c r="AU148" s="33"/>
      <c r="AV148" s="33"/>
      <c r="AW148" s="33"/>
      <c r="AX148" s="33"/>
      <c r="AY148" s="76"/>
    </row>
    <row r="149" spans="3:51">
      <c r="C149" s="165" t="s">
        <v>24</v>
      </c>
      <c r="D149" s="4">
        <v>0.74</v>
      </c>
      <c r="E149" s="187" t="s">
        <v>228</v>
      </c>
      <c r="F149" s="342">
        <f>IF(OR(Tableau145[[#This Row],[Type]]="Feuillus",Tableau145[[#This Row],[Type]]="Peupliers"),1.56,1.3)</f>
        <v>1.56</v>
      </c>
      <c r="I149" s="55">
        <v>144</v>
      </c>
      <c r="J149" s="33">
        <f t="shared" si="95"/>
        <v>0</v>
      </c>
      <c r="K149" s="33">
        <f t="shared" si="96"/>
        <v>0</v>
      </c>
      <c r="L149" s="33">
        <f t="shared" si="97"/>
        <v>0</v>
      </c>
      <c r="M149" s="33">
        <f t="shared" si="98"/>
        <v>0</v>
      </c>
      <c r="N149" s="33">
        <f t="shared" si="78"/>
        <v>0</v>
      </c>
      <c r="O149" s="34">
        <f t="shared" si="79"/>
        <v>0</v>
      </c>
      <c r="P149" s="55">
        <v>144</v>
      </c>
      <c r="Q149" s="33">
        <f t="shared" si="93"/>
        <v>0</v>
      </c>
      <c r="R149" s="33">
        <f t="shared" si="99"/>
        <v>0</v>
      </c>
      <c r="S149" s="33">
        <f t="shared" si="100"/>
        <v>0</v>
      </c>
      <c r="T149" s="33">
        <f t="shared" si="80"/>
        <v>0</v>
      </c>
      <c r="U149" s="33">
        <f t="shared" si="94"/>
        <v>0</v>
      </c>
      <c r="V149" s="33">
        <f t="shared" si="81"/>
        <v>0</v>
      </c>
      <c r="W149" s="33">
        <v>0</v>
      </c>
      <c r="X149" s="33">
        <f t="shared" si="82"/>
        <v>0</v>
      </c>
      <c r="Y149" s="38">
        <f t="shared" si="83"/>
        <v>0</v>
      </c>
      <c r="AA149" s="71">
        <v>144</v>
      </c>
      <c r="AB149" s="33">
        <f t="shared" si="84"/>
        <v>0</v>
      </c>
      <c r="AC149" s="304">
        <f t="shared" si="76"/>
        <v>0</v>
      </c>
      <c r="AD149" s="100">
        <f t="shared" si="85"/>
        <v>0</v>
      </c>
      <c r="AE149" s="100">
        <f t="shared" si="86"/>
        <v>0</v>
      </c>
      <c r="AF149" s="193">
        <f t="shared" si="72"/>
        <v>0</v>
      </c>
      <c r="AG149" s="193">
        <f t="shared" si="73"/>
        <v>0</v>
      </c>
      <c r="AH149" s="193">
        <f t="shared" si="74"/>
        <v>0</v>
      </c>
      <c r="AI149" s="198">
        <f t="shared" si="75"/>
        <v>0</v>
      </c>
      <c r="AK149" s="71">
        <v>144</v>
      </c>
      <c r="AL149" s="33">
        <f t="shared" si="87"/>
        <v>0</v>
      </c>
      <c r="AM149" s="33">
        <f t="shared" si="88"/>
        <v>0</v>
      </c>
      <c r="AN149" s="33">
        <f t="shared" si="89"/>
        <v>0</v>
      </c>
      <c r="AO149" s="33">
        <f t="shared" si="90"/>
        <v>0</v>
      </c>
      <c r="AP149" s="33">
        <f t="shared" si="91"/>
        <v>0</v>
      </c>
      <c r="AQ149" s="193">
        <f t="shared" si="92"/>
        <v>0</v>
      </c>
      <c r="AR149" s="193">
        <f t="shared" si="92"/>
        <v>0</v>
      </c>
      <c r="AS149" s="193">
        <f t="shared" si="92"/>
        <v>0</v>
      </c>
      <c r="AT149" s="193">
        <f t="shared" si="77"/>
        <v>0</v>
      </c>
      <c r="AU149" s="33"/>
      <c r="AV149" s="33"/>
      <c r="AW149" s="33"/>
      <c r="AX149" s="33"/>
      <c r="AY149" s="76"/>
    </row>
    <row r="150" spans="3:51">
      <c r="C150" s="165" t="s">
        <v>25</v>
      </c>
      <c r="D150" s="4">
        <v>0.4</v>
      </c>
      <c r="E150" s="187" t="s">
        <v>229</v>
      </c>
      <c r="F150" s="342">
        <f>IF(OR(Tableau145[[#This Row],[Type]]="Feuillus",Tableau145[[#This Row],[Type]]="Peupliers"),1.56,1.3)</f>
        <v>1.3</v>
      </c>
      <c r="I150" s="55">
        <v>145</v>
      </c>
      <c r="J150" s="33">
        <f t="shared" si="95"/>
        <v>0</v>
      </c>
      <c r="K150" s="33">
        <f t="shared" si="96"/>
        <v>0</v>
      </c>
      <c r="L150" s="33">
        <f t="shared" si="97"/>
        <v>0</v>
      </c>
      <c r="M150" s="33">
        <f t="shared" si="98"/>
        <v>0</v>
      </c>
      <c r="N150" s="33">
        <f t="shared" si="78"/>
        <v>0</v>
      </c>
      <c r="O150" s="34">
        <f t="shared" si="79"/>
        <v>0</v>
      </c>
      <c r="P150" s="55">
        <v>145</v>
      </c>
      <c r="Q150" s="33">
        <f t="shared" si="93"/>
        <v>0</v>
      </c>
      <c r="R150" s="33">
        <f t="shared" si="99"/>
        <v>0</v>
      </c>
      <c r="S150" s="33">
        <f t="shared" si="100"/>
        <v>0</v>
      </c>
      <c r="T150" s="33">
        <f t="shared" si="80"/>
        <v>0</v>
      </c>
      <c r="U150" s="33">
        <f t="shared" si="94"/>
        <v>0</v>
      </c>
      <c r="V150" s="33">
        <f t="shared" si="81"/>
        <v>0</v>
      </c>
      <c r="W150" s="33">
        <v>0</v>
      </c>
      <c r="X150" s="33">
        <f t="shared" si="82"/>
        <v>0</v>
      </c>
      <c r="Y150" s="38">
        <f t="shared" si="83"/>
        <v>0</v>
      </c>
      <c r="AA150" s="71">
        <v>145</v>
      </c>
      <c r="AB150" s="33">
        <f t="shared" si="84"/>
        <v>0</v>
      </c>
      <c r="AC150" s="304">
        <f t="shared" si="76"/>
        <v>0</v>
      </c>
      <c r="AD150" s="100">
        <f t="shared" si="85"/>
        <v>0</v>
      </c>
      <c r="AE150" s="100">
        <f t="shared" si="86"/>
        <v>0</v>
      </c>
      <c r="AF150" s="193">
        <f t="shared" si="72"/>
        <v>0</v>
      </c>
      <c r="AG150" s="193">
        <f t="shared" si="73"/>
        <v>0</v>
      </c>
      <c r="AH150" s="193">
        <f t="shared" si="74"/>
        <v>0</v>
      </c>
      <c r="AI150" s="198">
        <f t="shared" si="75"/>
        <v>0</v>
      </c>
      <c r="AK150" s="71">
        <v>145</v>
      </c>
      <c r="AL150" s="33">
        <f t="shared" si="87"/>
        <v>0</v>
      </c>
      <c r="AM150" s="33">
        <f t="shared" si="88"/>
        <v>0</v>
      </c>
      <c r="AN150" s="33">
        <f t="shared" si="89"/>
        <v>0</v>
      </c>
      <c r="AO150" s="33">
        <f t="shared" si="90"/>
        <v>0</v>
      </c>
      <c r="AP150" s="33">
        <f t="shared" si="91"/>
        <v>0</v>
      </c>
      <c r="AQ150" s="193">
        <f t="shared" si="92"/>
        <v>0</v>
      </c>
      <c r="AR150" s="193">
        <f t="shared" si="92"/>
        <v>0</v>
      </c>
      <c r="AS150" s="193">
        <f t="shared" si="92"/>
        <v>0</v>
      </c>
      <c r="AT150" s="193">
        <f t="shared" si="77"/>
        <v>0</v>
      </c>
      <c r="AU150" s="33"/>
      <c r="AV150" s="33"/>
      <c r="AW150" s="33"/>
      <c r="AX150" s="33"/>
      <c r="AY150" s="76"/>
    </row>
    <row r="151" spans="3:51">
      <c r="C151" s="165" t="s">
        <v>26</v>
      </c>
      <c r="D151" s="4">
        <v>0.6</v>
      </c>
      <c r="E151" s="187" t="s">
        <v>228</v>
      </c>
      <c r="F151" s="342">
        <f>IF(OR(Tableau145[[#This Row],[Type]]="Feuillus",Tableau145[[#This Row],[Type]]="Peupliers"),1.56,1.3)</f>
        <v>1.56</v>
      </c>
      <c r="I151" s="55">
        <v>146</v>
      </c>
      <c r="J151" s="33">
        <f t="shared" si="95"/>
        <v>0</v>
      </c>
      <c r="K151" s="33">
        <f t="shared" si="96"/>
        <v>0</v>
      </c>
      <c r="L151" s="33">
        <f t="shared" si="97"/>
        <v>0</v>
      </c>
      <c r="M151" s="33">
        <f t="shared" si="98"/>
        <v>0</v>
      </c>
      <c r="N151" s="33">
        <f t="shared" si="78"/>
        <v>0</v>
      </c>
      <c r="O151" s="34">
        <f t="shared" si="79"/>
        <v>0</v>
      </c>
      <c r="P151" s="55">
        <v>146</v>
      </c>
      <c r="Q151" s="33">
        <f t="shared" si="93"/>
        <v>0</v>
      </c>
      <c r="R151" s="33">
        <f t="shared" si="99"/>
        <v>0</v>
      </c>
      <c r="S151" s="33">
        <f t="shared" si="100"/>
        <v>0</v>
      </c>
      <c r="T151" s="33">
        <f t="shared" si="80"/>
        <v>0</v>
      </c>
      <c r="U151" s="33">
        <f t="shared" si="94"/>
        <v>0</v>
      </c>
      <c r="V151" s="33">
        <f t="shared" si="81"/>
        <v>0</v>
      </c>
      <c r="W151" s="33">
        <v>0</v>
      </c>
      <c r="X151" s="33">
        <f t="shared" si="82"/>
        <v>0</v>
      </c>
      <c r="Y151" s="38">
        <f t="shared" si="83"/>
        <v>0</v>
      </c>
      <c r="AA151" s="71">
        <v>146</v>
      </c>
      <c r="AB151" s="33">
        <f t="shared" si="84"/>
        <v>0</v>
      </c>
      <c r="AC151" s="304">
        <f t="shared" si="76"/>
        <v>0</v>
      </c>
      <c r="AD151" s="100">
        <f t="shared" si="85"/>
        <v>0</v>
      </c>
      <c r="AE151" s="100">
        <f t="shared" si="86"/>
        <v>0</v>
      </c>
      <c r="AF151" s="193">
        <f t="shared" si="72"/>
        <v>0</v>
      </c>
      <c r="AG151" s="193">
        <f t="shared" si="73"/>
        <v>0</v>
      </c>
      <c r="AH151" s="193">
        <f t="shared" si="74"/>
        <v>0</v>
      </c>
      <c r="AI151" s="198">
        <f t="shared" si="75"/>
        <v>0</v>
      </c>
      <c r="AK151" s="71">
        <v>146</v>
      </c>
      <c r="AL151" s="33">
        <f t="shared" si="87"/>
        <v>0</v>
      </c>
      <c r="AM151" s="33">
        <f t="shared" si="88"/>
        <v>0</v>
      </c>
      <c r="AN151" s="33">
        <f t="shared" si="89"/>
        <v>0</v>
      </c>
      <c r="AO151" s="33">
        <f t="shared" si="90"/>
        <v>0</v>
      </c>
      <c r="AP151" s="33">
        <f t="shared" si="91"/>
        <v>0</v>
      </c>
      <c r="AQ151" s="193">
        <f t="shared" si="92"/>
        <v>0</v>
      </c>
      <c r="AR151" s="193">
        <f t="shared" si="92"/>
        <v>0</v>
      </c>
      <c r="AS151" s="193">
        <f t="shared" si="92"/>
        <v>0</v>
      </c>
      <c r="AT151" s="193">
        <f t="shared" si="77"/>
        <v>0</v>
      </c>
      <c r="AU151" s="33"/>
      <c r="AV151" s="33"/>
      <c r="AW151" s="33"/>
      <c r="AX151" s="33"/>
      <c r="AY151" s="76"/>
    </row>
    <row r="152" spans="3:51">
      <c r="C152" s="165" t="s">
        <v>27</v>
      </c>
      <c r="D152" s="4">
        <v>0.43</v>
      </c>
      <c r="E152" s="187" t="s">
        <v>229</v>
      </c>
      <c r="F152" s="342">
        <f>IF(OR(Tableau145[[#This Row],[Type]]="Feuillus",Tableau145[[#This Row],[Type]]="Peupliers"),1.56,1.3)</f>
        <v>1.3</v>
      </c>
      <c r="I152" s="55">
        <v>147</v>
      </c>
      <c r="J152" s="33">
        <f t="shared" si="95"/>
        <v>0</v>
      </c>
      <c r="K152" s="33">
        <f t="shared" si="96"/>
        <v>0</v>
      </c>
      <c r="L152" s="33">
        <f t="shared" si="97"/>
        <v>0</v>
      </c>
      <c r="M152" s="33">
        <f t="shared" si="98"/>
        <v>0</v>
      </c>
      <c r="N152" s="33">
        <f t="shared" si="78"/>
        <v>0</v>
      </c>
      <c r="O152" s="34">
        <f t="shared" si="79"/>
        <v>0</v>
      </c>
      <c r="P152" s="55">
        <v>147</v>
      </c>
      <c r="Q152" s="33">
        <f t="shared" si="93"/>
        <v>0</v>
      </c>
      <c r="R152" s="33">
        <f t="shared" si="99"/>
        <v>0</v>
      </c>
      <c r="S152" s="33">
        <f t="shared" si="100"/>
        <v>0</v>
      </c>
      <c r="T152" s="33">
        <f t="shared" si="80"/>
        <v>0</v>
      </c>
      <c r="U152" s="33">
        <f t="shared" si="94"/>
        <v>0</v>
      </c>
      <c r="V152" s="33">
        <f t="shared" si="81"/>
        <v>0</v>
      </c>
      <c r="W152" s="33">
        <v>0</v>
      </c>
      <c r="X152" s="33">
        <f t="shared" si="82"/>
        <v>0</v>
      </c>
      <c r="Y152" s="38">
        <f t="shared" si="83"/>
        <v>0</v>
      </c>
      <c r="AA152" s="71">
        <v>147</v>
      </c>
      <c r="AB152" s="33">
        <f t="shared" si="84"/>
        <v>0</v>
      </c>
      <c r="AC152" s="304">
        <f t="shared" si="76"/>
        <v>0</v>
      </c>
      <c r="AD152" s="100">
        <f t="shared" si="85"/>
        <v>0</v>
      </c>
      <c r="AE152" s="100">
        <f t="shared" si="86"/>
        <v>0</v>
      </c>
      <c r="AF152" s="193">
        <f t="shared" si="72"/>
        <v>0</v>
      </c>
      <c r="AG152" s="193">
        <f t="shared" si="73"/>
        <v>0</v>
      </c>
      <c r="AH152" s="193">
        <f t="shared" si="74"/>
        <v>0</v>
      </c>
      <c r="AI152" s="198">
        <f t="shared" si="75"/>
        <v>0</v>
      </c>
      <c r="AK152" s="71">
        <v>147</v>
      </c>
      <c r="AL152" s="33">
        <f t="shared" si="87"/>
        <v>0</v>
      </c>
      <c r="AM152" s="33">
        <f t="shared" si="88"/>
        <v>0</v>
      </c>
      <c r="AN152" s="33">
        <f t="shared" si="89"/>
        <v>0</v>
      </c>
      <c r="AO152" s="33">
        <f t="shared" si="90"/>
        <v>0</v>
      </c>
      <c r="AP152" s="33">
        <f t="shared" si="91"/>
        <v>0</v>
      </c>
      <c r="AQ152" s="193">
        <f t="shared" si="92"/>
        <v>0</v>
      </c>
      <c r="AR152" s="193">
        <f t="shared" si="92"/>
        <v>0</v>
      </c>
      <c r="AS152" s="193">
        <f t="shared" si="92"/>
        <v>0</v>
      </c>
      <c r="AT152" s="193">
        <f t="shared" si="77"/>
        <v>0</v>
      </c>
      <c r="AU152" s="33"/>
      <c r="AV152" s="33"/>
      <c r="AW152" s="33"/>
      <c r="AX152" s="33"/>
      <c r="AY152" s="76"/>
    </row>
    <row r="153" spans="3:51">
      <c r="C153" s="165" t="s">
        <v>28</v>
      </c>
      <c r="D153" s="4">
        <v>0.37</v>
      </c>
      <c r="E153" s="187" t="s">
        <v>229</v>
      </c>
      <c r="F153" s="342">
        <f>IF(OR(Tableau145[[#This Row],[Type]]="Feuillus",Tableau145[[#This Row],[Type]]="Peupliers"),1.56,1.3)</f>
        <v>1.3</v>
      </c>
      <c r="I153" s="55">
        <v>148</v>
      </c>
      <c r="J153" s="33">
        <f t="shared" si="95"/>
        <v>0</v>
      </c>
      <c r="K153" s="33">
        <f t="shared" si="96"/>
        <v>0</v>
      </c>
      <c r="L153" s="33">
        <f t="shared" si="97"/>
        <v>0</v>
      </c>
      <c r="M153" s="33">
        <f t="shared" si="98"/>
        <v>0</v>
      </c>
      <c r="N153" s="33">
        <f t="shared" si="78"/>
        <v>0</v>
      </c>
      <c r="O153" s="34">
        <f t="shared" si="79"/>
        <v>0</v>
      </c>
      <c r="P153" s="55">
        <v>148</v>
      </c>
      <c r="Q153" s="33">
        <f t="shared" si="93"/>
        <v>0</v>
      </c>
      <c r="R153" s="33">
        <f t="shared" si="99"/>
        <v>0</v>
      </c>
      <c r="S153" s="33">
        <f t="shared" si="100"/>
        <v>0</v>
      </c>
      <c r="T153" s="33">
        <f t="shared" si="80"/>
        <v>0</v>
      </c>
      <c r="U153" s="33">
        <f t="shared" si="94"/>
        <v>0</v>
      </c>
      <c r="V153" s="33">
        <f t="shared" si="81"/>
        <v>0</v>
      </c>
      <c r="W153" s="33">
        <v>0</v>
      </c>
      <c r="X153" s="33">
        <f t="shared" si="82"/>
        <v>0</v>
      </c>
      <c r="Y153" s="38">
        <f t="shared" si="83"/>
        <v>0</v>
      </c>
      <c r="AA153" s="71">
        <v>148</v>
      </c>
      <c r="AB153" s="33">
        <f t="shared" si="84"/>
        <v>0</v>
      </c>
      <c r="AC153" s="304">
        <f t="shared" si="76"/>
        <v>0</v>
      </c>
      <c r="AD153" s="100">
        <f t="shared" si="85"/>
        <v>0</v>
      </c>
      <c r="AE153" s="100">
        <f t="shared" si="86"/>
        <v>0</v>
      </c>
      <c r="AF153" s="193">
        <f t="shared" si="72"/>
        <v>0</v>
      </c>
      <c r="AG153" s="193">
        <f t="shared" si="73"/>
        <v>0</v>
      </c>
      <c r="AH153" s="193">
        <f t="shared" si="74"/>
        <v>0</v>
      </c>
      <c r="AI153" s="198">
        <f t="shared" si="75"/>
        <v>0</v>
      </c>
      <c r="AK153" s="71">
        <v>148</v>
      </c>
      <c r="AL153" s="33">
        <f t="shared" si="87"/>
        <v>0</v>
      </c>
      <c r="AM153" s="33">
        <f t="shared" si="88"/>
        <v>0</v>
      </c>
      <c r="AN153" s="33">
        <f t="shared" si="89"/>
        <v>0</v>
      </c>
      <c r="AO153" s="33">
        <f t="shared" si="90"/>
        <v>0</v>
      </c>
      <c r="AP153" s="33">
        <f t="shared" si="91"/>
        <v>0</v>
      </c>
      <c r="AQ153" s="193">
        <f t="shared" si="92"/>
        <v>0</v>
      </c>
      <c r="AR153" s="193">
        <f t="shared" si="92"/>
        <v>0</v>
      </c>
      <c r="AS153" s="193">
        <f t="shared" si="92"/>
        <v>0</v>
      </c>
      <c r="AT153" s="193">
        <f t="shared" si="77"/>
        <v>0</v>
      </c>
      <c r="AU153" s="33"/>
      <c r="AV153" s="33"/>
      <c r="AW153" s="33"/>
      <c r="AX153" s="33"/>
      <c r="AY153" s="76"/>
    </row>
    <row r="154" spans="3:51">
      <c r="C154" s="165" t="s">
        <v>29</v>
      </c>
      <c r="D154" s="4">
        <v>0.36</v>
      </c>
      <c r="E154" s="187" t="s">
        <v>229</v>
      </c>
      <c r="F154" s="342">
        <f>IF(OR(Tableau145[[#This Row],[Type]]="Feuillus",Tableau145[[#This Row],[Type]]="Peupliers"),1.56,1.3)</f>
        <v>1.3</v>
      </c>
      <c r="I154" s="55">
        <v>149</v>
      </c>
      <c r="J154" s="33">
        <f t="shared" si="95"/>
        <v>0</v>
      </c>
      <c r="K154" s="33">
        <f t="shared" si="96"/>
        <v>0</v>
      </c>
      <c r="L154" s="33">
        <f t="shared" si="97"/>
        <v>0</v>
      </c>
      <c r="M154" s="33">
        <f t="shared" si="98"/>
        <v>0</v>
      </c>
      <c r="N154" s="33">
        <f t="shared" si="78"/>
        <v>0</v>
      </c>
      <c r="O154" s="34">
        <f t="shared" si="79"/>
        <v>0</v>
      </c>
      <c r="P154" s="55">
        <v>149</v>
      </c>
      <c r="Q154" s="33">
        <f t="shared" si="93"/>
        <v>0</v>
      </c>
      <c r="R154" s="33">
        <f t="shared" si="99"/>
        <v>0</v>
      </c>
      <c r="S154" s="33">
        <f t="shared" si="100"/>
        <v>0</v>
      </c>
      <c r="T154" s="33">
        <f t="shared" si="80"/>
        <v>0</v>
      </c>
      <c r="U154" s="33">
        <f t="shared" si="94"/>
        <v>0</v>
      </c>
      <c r="V154" s="33">
        <f t="shared" si="81"/>
        <v>0</v>
      </c>
      <c r="W154" s="33">
        <v>0</v>
      </c>
      <c r="X154" s="33">
        <f t="shared" si="82"/>
        <v>0</v>
      </c>
      <c r="Y154" s="38">
        <f t="shared" si="83"/>
        <v>0</v>
      </c>
      <c r="AA154" s="71">
        <v>149</v>
      </c>
      <c r="AB154" s="33">
        <f t="shared" si="84"/>
        <v>0</v>
      </c>
      <c r="AC154" s="304">
        <f t="shared" si="76"/>
        <v>0</v>
      </c>
      <c r="AD154" s="100">
        <f t="shared" si="85"/>
        <v>0</v>
      </c>
      <c r="AE154" s="100">
        <f t="shared" si="86"/>
        <v>0</v>
      </c>
      <c r="AF154" s="193">
        <f t="shared" si="72"/>
        <v>0</v>
      </c>
      <c r="AG154" s="193">
        <f t="shared" si="73"/>
        <v>0</v>
      </c>
      <c r="AH154" s="193">
        <f t="shared" si="74"/>
        <v>0</v>
      </c>
      <c r="AI154" s="198">
        <f t="shared" si="75"/>
        <v>0</v>
      </c>
      <c r="AK154" s="71">
        <v>149</v>
      </c>
      <c r="AL154" s="33">
        <f t="shared" si="87"/>
        <v>0</v>
      </c>
      <c r="AM154" s="33">
        <f t="shared" si="88"/>
        <v>0</v>
      </c>
      <c r="AN154" s="33">
        <f t="shared" si="89"/>
        <v>0</v>
      </c>
      <c r="AO154" s="33">
        <f t="shared" si="90"/>
        <v>0</v>
      </c>
      <c r="AP154" s="33">
        <f t="shared" si="91"/>
        <v>0</v>
      </c>
      <c r="AQ154" s="193">
        <f t="shared" si="92"/>
        <v>0</v>
      </c>
      <c r="AR154" s="193">
        <f t="shared" si="92"/>
        <v>0</v>
      </c>
      <c r="AS154" s="193">
        <f t="shared" si="92"/>
        <v>0</v>
      </c>
      <c r="AT154" s="193">
        <f t="shared" si="77"/>
        <v>0</v>
      </c>
      <c r="AU154" s="33"/>
      <c r="AV154" s="33"/>
      <c r="AW154" s="33"/>
      <c r="AX154" s="33"/>
      <c r="AY154" s="76"/>
    </row>
    <row r="155" spans="3:51">
      <c r="C155" s="165" t="s">
        <v>30</v>
      </c>
      <c r="D155" s="4">
        <v>0.51</v>
      </c>
      <c r="E155" s="187" t="s">
        <v>228</v>
      </c>
      <c r="F155" s="342">
        <f>IF(OR(Tableau145[[#This Row],[Type]]="Feuillus",Tableau145[[#This Row],[Type]]="Peupliers"),1.56,1.3)</f>
        <v>1.56</v>
      </c>
      <c r="I155" s="55">
        <v>150</v>
      </c>
      <c r="J155" s="33">
        <f t="shared" si="95"/>
        <v>0</v>
      </c>
      <c r="K155" s="33">
        <f t="shared" si="96"/>
        <v>0</v>
      </c>
      <c r="L155" s="33">
        <f t="shared" si="97"/>
        <v>0</v>
      </c>
      <c r="M155" s="33">
        <f t="shared" si="98"/>
        <v>0</v>
      </c>
      <c r="N155" s="33">
        <f t="shared" si="78"/>
        <v>0</v>
      </c>
      <c r="O155" s="34">
        <f t="shared" si="79"/>
        <v>0</v>
      </c>
      <c r="P155" s="55">
        <v>150</v>
      </c>
      <c r="Q155" s="33">
        <f t="shared" si="93"/>
        <v>0</v>
      </c>
      <c r="R155" s="33">
        <f t="shared" si="99"/>
        <v>0</v>
      </c>
      <c r="S155" s="33">
        <f t="shared" si="100"/>
        <v>0</v>
      </c>
      <c r="T155" s="33">
        <f t="shared" si="80"/>
        <v>0</v>
      </c>
      <c r="U155" s="33">
        <f t="shared" si="94"/>
        <v>0</v>
      </c>
      <c r="V155" s="33">
        <f t="shared" si="81"/>
        <v>0</v>
      </c>
      <c r="W155" s="33">
        <v>0</v>
      </c>
      <c r="X155" s="33">
        <f t="shared" si="82"/>
        <v>0</v>
      </c>
      <c r="Y155" s="38">
        <f t="shared" si="83"/>
        <v>0</v>
      </c>
      <c r="AA155" s="71">
        <v>150</v>
      </c>
      <c r="AB155" s="33">
        <f t="shared" si="84"/>
        <v>0</v>
      </c>
      <c r="AC155" s="304">
        <f t="shared" si="76"/>
        <v>0</v>
      </c>
      <c r="AD155" s="100">
        <f t="shared" si="85"/>
        <v>0</v>
      </c>
      <c r="AE155" s="100">
        <f t="shared" si="86"/>
        <v>0</v>
      </c>
      <c r="AF155" s="193">
        <f t="shared" ref="AF155:AF205" si="101">IF(OR(AA155&lt;=$F$18,AA155&lt;=30),EXP(-LN(2)/$D$104)*AF154+((1-EXP(-LN(2)/$D$104))/(LN(2)/$D$104))*$AB155*AC155*0.475*$F$19*44/12,)</f>
        <v>0</v>
      </c>
      <c r="AG155" s="193">
        <f t="shared" ref="AG155:AG205" si="102">IF(OR(AA155&lt;=$F$18,AA155&lt;=30),EXP(-LN(2)/$D$106)*AG154+((1-EXP(-LN(2)/$D$106))/(LN(2)/$D$106))*$AB155*AD155*0.475*$F$19*44/12,)</f>
        <v>0</v>
      </c>
      <c r="AH155" s="193">
        <f t="shared" ref="AH155:AH205" si="103">IF(OR(AA155&lt;=$F$18,AA155&lt;=30),EXP(-LN(2)/$D$105)*AH154+((1-EXP(-LN(2)/$D$105))/(LN(2)/$D$105))*$AB155*AE155*0.475*$F$19*44/12,)</f>
        <v>0</v>
      </c>
      <c r="AI155" s="198">
        <f t="shared" ref="AI155:AI205" si="104">IF(OR(AA155&lt;=$F$18,AA155&lt;=30),SUM(AF155:AH155),)</f>
        <v>0</v>
      </c>
      <c r="AK155" s="71">
        <v>150</v>
      </c>
      <c r="AL155" s="33">
        <f t="shared" si="87"/>
        <v>0</v>
      </c>
      <c r="AM155" s="33">
        <f t="shared" si="88"/>
        <v>0</v>
      </c>
      <c r="AN155" s="33">
        <f t="shared" si="89"/>
        <v>0</v>
      </c>
      <c r="AO155" s="33">
        <f t="shared" si="90"/>
        <v>0</v>
      </c>
      <c r="AP155" s="33">
        <f t="shared" si="91"/>
        <v>0</v>
      </c>
      <c r="AQ155" s="193">
        <f t="shared" si="92"/>
        <v>0</v>
      </c>
      <c r="AR155" s="193">
        <f t="shared" si="92"/>
        <v>0</v>
      </c>
      <c r="AS155" s="193">
        <f t="shared" si="92"/>
        <v>0</v>
      </c>
      <c r="AT155" s="193">
        <f t="shared" si="77"/>
        <v>0</v>
      </c>
      <c r="AU155" s="33"/>
      <c r="AV155" s="33"/>
      <c r="AW155" s="33"/>
      <c r="AX155" s="33"/>
      <c r="AY155" s="76"/>
    </row>
    <row r="156" spans="3:51">
      <c r="C156" s="165" t="s">
        <v>31</v>
      </c>
      <c r="D156" s="4">
        <v>0.56000000000000005</v>
      </c>
      <c r="E156" s="187" t="s">
        <v>228</v>
      </c>
      <c r="F156" s="342">
        <f>IF(OR(Tableau145[[#This Row],[Type]]="Feuillus",Tableau145[[#This Row],[Type]]="Peupliers"),1.56,1.3)</f>
        <v>1.56</v>
      </c>
      <c r="I156" s="55">
        <v>151</v>
      </c>
      <c r="J156" s="33">
        <f t="shared" si="95"/>
        <v>0</v>
      </c>
      <c r="K156" s="33">
        <f t="shared" si="96"/>
        <v>0</v>
      </c>
      <c r="L156" s="33">
        <f t="shared" si="97"/>
        <v>0</v>
      </c>
      <c r="M156" s="33">
        <f t="shared" si="98"/>
        <v>0</v>
      </c>
      <c r="N156" s="33">
        <f t="shared" si="78"/>
        <v>0</v>
      </c>
      <c r="O156" s="34">
        <f t="shared" si="79"/>
        <v>0</v>
      </c>
      <c r="P156" s="55">
        <v>151</v>
      </c>
      <c r="Q156" s="33">
        <f t="shared" si="93"/>
        <v>0</v>
      </c>
      <c r="R156" s="33">
        <f t="shared" si="99"/>
        <v>0</v>
      </c>
      <c r="S156" s="33">
        <f t="shared" si="100"/>
        <v>0</v>
      </c>
      <c r="T156" s="33">
        <f t="shared" si="80"/>
        <v>0</v>
      </c>
      <c r="U156" s="33">
        <f t="shared" si="94"/>
        <v>0</v>
      </c>
      <c r="V156" s="33">
        <f t="shared" si="81"/>
        <v>0</v>
      </c>
      <c r="W156" s="33">
        <v>0</v>
      </c>
      <c r="X156" s="33">
        <f t="shared" si="82"/>
        <v>0</v>
      </c>
      <c r="Y156" s="38">
        <f t="shared" si="83"/>
        <v>0</v>
      </c>
      <c r="AA156" s="71">
        <v>151</v>
      </c>
      <c r="AB156" s="33">
        <f t="shared" si="84"/>
        <v>0</v>
      </c>
      <c r="AC156" s="304">
        <f t="shared" si="76"/>
        <v>0</v>
      </c>
      <c r="AD156" s="100">
        <f t="shared" si="85"/>
        <v>0</v>
      </c>
      <c r="AE156" s="100">
        <f t="shared" si="86"/>
        <v>0</v>
      </c>
      <c r="AF156" s="193">
        <f t="shared" si="101"/>
        <v>0</v>
      </c>
      <c r="AG156" s="193">
        <f t="shared" si="102"/>
        <v>0</v>
      </c>
      <c r="AH156" s="193">
        <f t="shared" si="103"/>
        <v>0</v>
      </c>
      <c r="AI156" s="198">
        <f t="shared" si="104"/>
        <v>0</v>
      </c>
      <c r="AK156" s="71">
        <v>151</v>
      </c>
      <c r="AL156" s="33">
        <f t="shared" si="87"/>
        <v>0</v>
      </c>
      <c r="AM156" s="33">
        <f t="shared" si="88"/>
        <v>0</v>
      </c>
      <c r="AN156" s="33">
        <f t="shared" si="89"/>
        <v>0</v>
      </c>
      <c r="AO156" s="33">
        <f t="shared" si="90"/>
        <v>0</v>
      </c>
      <c r="AP156" s="33">
        <f t="shared" si="91"/>
        <v>0</v>
      </c>
      <c r="AQ156" s="193">
        <f t="shared" si="92"/>
        <v>0</v>
      </c>
      <c r="AR156" s="193">
        <f t="shared" si="92"/>
        <v>0</v>
      </c>
      <c r="AS156" s="193">
        <f t="shared" si="92"/>
        <v>0</v>
      </c>
      <c r="AT156" s="193">
        <f t="shared" si="77"/>
        <v>0</v>
      </c>
      <c r="AU156" s="33"/>
      <c r="AV156" s="33"/>
      <c r="AW156" s="33"/>
      <c r="AX156" s="33"/>
      <c r="AY156" s="76"/>
    </row>
    <row r="157" spans="3:51">
      <c r="C157" s="165" t="s">
        <v>32</v>
      </c>
      <c r="D157" s="4">
        <v>0.56000000000000005</v>
      </c>
      <c r="E157" s="187" t="s">
        <v>228</v>
      </c>
      <c r="F157" s="342">
        <f>IF(OR(Tableau145[[#This Row],[Type]]="Feuillus",Tableau145[[#This Row],[Type]]="Peupliers"),1.56,1.3)</f>
        <v>1.56</v>
      </c>
      <c r="I157" s="55">
        <v>152</v>
      </c>
      <c r="J157" s="33">
        <f t="shared" si="95"/>
        <v>0</v>
      </c>
      <c r="K157" s="33">
        <f t="shared" si="96"/>
        <v>0</v>
      </c>
      <c r="L157" s="33">
        <f t="shared" si="97"/>
        <v>0</v>
      </c>
      <c r="M157" s="33">
        <f t="shared" si="98"/>
        <v>0</v>
      </c>
      <c r="N157" s="33">
        <f t="shared" si="78"/>
        <v>0</v>
      </c>
      <c r="O157" s="34">
        <f t="shared" si="79"/>
        <v>0</v>
      </c>
      <c r="P157" s="55">
        <v>152</v>
      </c>
      <c r="Q157" s="33">
        <f t="shared" si="93"/>
        <v>0</v>
      </c>
      <c r="R157" s="33">
        <f t="shared" si="99"/>
        <v>0</v>
      </c>
      <c r="S157" s="33">
        <f t="shared" si="100"/>
        <v>0</v>
      </c>
      <c r="T157" s="33">
        <f t="shared" si="80"/>
        <v>0</v>
      </c>
      <c r="U157" s="33">
        <f t="shared" si="94"/>
        <v>0</v>
      </c>
      <c r="V157" s="33">
        <f t="shared" si="81"/>
        <v>0</v>
      </c>
      <c r="W157" s="33">
        <v>0</v>
      </c>
      <c r="X157" s="33">
        <f t="shared" si="82"/>
        <v>0</v>
      </c>
      <c r="Y157" s="38">
        <f t="shared" si="83"/>
        <v>0</v>
      </c>
      <c r="AA157" s="71">
        <v>152</v>
      </c>
      <c r="AB157" s="33">
        <f t="shared" si="84"/>
        <v>0</v>
      </c>
      <c r="AC157" s="304">
        <f t="shared" si="76"/>
        <v>0</v>
      </c>
      <c r="AD157" s="100">
        <f t="shared" si="85"/>
        <v>0</v>
      </c>
      <c r="AE157" s="100">
        <f t="shared" si="86"/>
        <v>0</v>
      </c>
      <c r="AF157" s="193">
        <f t="shared" si="101"/>
        <v>0</v>
      </c>
      <c r="AG157" s="193">
        <f t="shared" si="102"/>
        <v>0</v>
      </c>
      <c r="AH157" s="193">
        <f t="shared" si="103"/>
        <v>0</v>
      </c>
      <c r="AI157" s="198">
        <f t="shared" si="104"/>
        <v>0</v>
      </c>
      <c r="AK157" s="71">
        <v>152</v>
      </c>
      <c r="AL157" s="33">
        <f t="shared" si="87"/>
        <v>0</v>
      </c>
      <c r="AM157" s="33">
        <f t="shared" si="88"/>
        <v>0</v>
      </c>
      <c r="AN157" s="33">
        <f t="shared" si="89"/>
        <v>0</v>
      </c>
      <c r="AO157" s="33">
        <f t="shared" si="90"/>
        <v>0</v>
      </c>
      <c r="AP157" s="33">
        <f t="shared" si="91"/>
        <v>0</v>
      </c>
      <c r="AQ157" s="193">
        <f t="shared" si="92"/>
        <v>0</v>
      </c>
      <c r="AR157" s="193">
        <f t="shared" si="92"/>
        <v>0</v>
      </c>
      <c r="AS157" s="193">
        <f t="shared" si="92"/>
        <v>0</v>
      </c>
      <c r="AT157" s="193">
        <f t="shared" si="77"/>
        <v>0</v>
      </c>
      <c r="AU157" s="33"/>
      <c r="AV157" s="33"/>
      <c r="AW157" s="33"/>
      <c r="AX157" s="33"/>
      <c r="AY157" s="76"/>
    </row>
    <row r="158" spans="3:51">
      <c r="C158" s="165" t="s">
        <v>33</v>
      </c>
      <c r="D158" s="4">
        <v>0.48</v>
      </c>
      <c r="E158" s="187" t="s">
        <v>228</v>
      </c>
      <c r="F158" s="342">
        <f>IF(OR(Tableau145[[#This Row],[Type]]="Feuillus",Tableau145[[#This Row],[Type]]="Peupliers"),1.56,1.3)</f>
        <v>1.56</v>
      </c>
      <c r="I158" s="55">
        <v>153</v>
      </c>
      <c r="J158" s="33">
        <f t="shared" si="95"/>
        <v>0</v>
      </c>
      <c r="K158" s="33">
        <f t="shared" si="96"/>
        <v>0</v>
      </c>
      <c r="L158" s="33">
        <f t="shared" si="97"/>
        <v>0</v>
      </c>
      <c r="M158" s="33">
        <f t="shared" si="98"/>
        <v>0</v>
      </c>
      <c r="N158" s="33">
        <f t="shared" si="78"/>
        <v>0</v>
      </c>
      <c r="O158" s="34">
        <f t="shared" si="79"/>
        <v>0</v>
      </c>
      <c r="P158" s="55">
        <v>153</v>
      </c>
      <c r="Q158" s="33">
        <f t="shared" si="93"/>
        <v>0</v>
      </c>
      <c r="R158" s="33">
        <f t="shared" si="99"/>
        <v>0</v>
      </c>
      <c r="S158" s="33">
        <f t="shared" si="100"/>
        <v>0</v>
      </c>
      <c r="T158" s="33">
        <f t="shared" si="80"/>
        <v>0</v>
      </c>
      <c r="U158" s="33">
        <f t="shared" si="94"/>
        <v>0</v>
      </c>
      <c r="V158" s="33">
        <f t="shared" si="81"/>
        <v>0</v>
      </c>
      <c r="W158" s="33">
        <v>0</v>
      </c>
      <c r="X158" s="33">
        <f t="shared" si="82"/>
        <v>0</v>
      </c>
      <c r="Y158" s="38">
        <f t="shared" si="83"/>
        <v>0</v>
      </c>
      <c r="AA158" s="71">
        <v>153</v>
      </c>
      <c r="AB158" s="33">
        <f t="shared" si="84"/>
        <v>0</v>
      </c>
      <c r="AC158" s="304">
        <f t="shared" si="76"/>
        <v>0</v>
      </c>
      <c r="AD158" s="100">
        <f t="shared" si="85"/>
        <v>0</v>
      </c>
      <c r="AE158" s="100">
        <f t="shared" si="86"/>
        <v>0</v>
      </c>
      <c r="AF158" s="193">
        <f t="shared" si="101"/>
        <v>0</v>
      </c>
      <c r="AG158" s="193">
        <f t="shared" si="102"/>
        <v>0</v>
      </c>
      <c r="AH158" s="193">
        <f t="shared" si="103"/>
        <v>0</v>
      </c>
      <c r="AI158" s="198">
        <f t="shared" si="104"/>
        <v>0</v>
      </c>
      <c r="AK158" s="71">
        <v>153</v>
      </c>
      <c r="AL158" s="33">
        <f t="shared" si="87"/>
        <v>0</v>
      </c>
      <c r="AM158" s="33">
        <f t="shared" si="88"/>
        <v>0</v>
      </c>
      <c r="AN158" s="33">
        <f t="shared" si="89"/>
        <v>0</v>
      </c>
      <c r="AO158" s="33">
        <f t="shared" si="90"/>
        <v>0</v>
      </c>
      <c r="AP158" s="33">
        <f t="shared" si="91"/>
        <v>0</v>
      </c>
      <c r="AQ158" s="193">
        <f t="shared" si="92"/>
        <v>0</v>
      </c>
      <c r="AR158" s="193">
        <f t="shared" si="92"/>
        <v>0</v>
      </c>
      <c r="AS158" s="193">
        <f t="shared" si="92"/>
        <v>0</v>
      </c>
      <c r="AT158" s="193">
        <f t="shared" si="77"/>
        <v>0</v>
      </c>
      <c r="AU158" s="33"/>
      <c r="AV158" s="33"/>
      <c r="AW158" s="33"/>
      <c r="AX158" s="33"/>
      <c r="AY158" s="76"/>
    </row>
    <row r="159" spans="3:51">
      <c r="C159" s="165" t="s">
        <v>34</v>
      </c>
      <c r="D159" s="4">
        <v>0.55000000000000004</v>
      </c>
      <c r="E159" s="187" t="s">
        <v>228</v>
      </c>
      <c r="F159" s="342">
        <f>IF(OR(Tableau145[[#This Row],[Type]]="Feuillus",Tableau145[[#This Row],[Type]]="Peupliers"),1.56,1.3)</f>
        <v>1.56</v>
      </c>
      <c r="I159" s="55">
        <v>154</v>
      </c>
      <c r="J159" s="33">
        <f t="shared" si="95"/>
        <v>0</v>
      </c>
      <c r="K159" s="33">
        <f t="shared" si="96"/>
        <v>0</v>
      </c>
      <c r="L159" s="33">
        <f t="shared" si="97"/>
        <v>0</v>
      </c>
      <c r="M159" s="33">
        <f t="shared" si="98"/>
        <v>0</v>
      </c>
      <c r="N159" s="33">
        <f t="shared" si="78"/>
        <v>0</v>
      </c>
      <c r="O159" s="34">
        <f t="shared" si="79"/>
        <v>0</v>
      </c>
      <c r="P159" s="55">
        <v>154</v>
      </c>
      <c r="Q159" s="33">
        <f t="shared" si="93"/>
        <v>0</v>
      </c>
      <c r="R159" s="33">
        <f t="shared" si="99"/>
        <v>0</v>
      </c>
      <c r="S159" s="33">
        <f t="shared" si="100"/>
        <v>0</v>
      </c>
      <c r="T159" s="33">
        <f t="shared" si="80"/>
        <v>0</v>
      </c>
      <c r="U159" s="33">
        <f t="shared" si="94"/>
        <v>0</v>
      </c>
      <c r="V159" s="33">
        <f t="shared" si="81"/>
        <v>0</v>
      </c>
      <c r="W159" s="33">
        <v>0</v>
      </c>
      <c r="X159" s="33">
        <f t="shared" si="82"/>
        <v>0</v>
      </c>
      <c r="Y159" s="38">
        <f t="shared" si="83"/>
        <v>0</v>
      </c>
      <c r="AA159" s="71">
        <v>154</v>
      </c>
      <c r="AB159" s="33">
        <f t="shared" si="84"/>
        <v>0</v>
      </c>
      <c r="AC159" s="304">
        <f t="shared" ref="AC159:AC205" si="105">IF(AA159&lt;=$F$18,IFERROR(VLOOKUP($AA159,$B$82:$G$94,3,FALSE),0),)*50%</f>
        <v>0</v>
      </c>
      <c r="AD159" s="100">
        <f t="shared" si="85"/>
        <v>0</v>
      </c>
      <c r="AE159" s="100">
        <f t="shared" si="86"/>
        <v>0</v>
      </c>
      <c r="AF159" s="193">
        <f t="shared" si="101"/>
        <v>0</v>
      </c>
      <c r="AG159" s="193">
        <f t="shared" si="102"/>
        <v>0</v>
      </c>
      <c r="AH159" s="193">
        <f t="shared" si="103"/>
        <v>0</v>
      </c>
      <c r="AI159" s="198">
        <f t="shared" si="104"/>
        <v>0</v>
      </c>
      <c r="AK159" s="71">
        <v>154</v>
      </c>
      <c r="AL159" s="33">
        <f t="shared" si="87"/>
        <v>0</v>
      </c>
      <c r="AM159" s="33">
        <f t="shared" si="88"/>
        <v>0</v>
      </c>
      <c r="AN159" s="33">
        <f t="shared" si="89"/>
        <v>0</v>
      </c>
      <c r="AO159" s="33">
        <f t="shared" si="90"/>
        <v>0</v>
      </c>
      <c r="AP159" s="33">
        <f t="shared" si="91"/>
        <v>0</v>
      </c>
      <c r="AQ159" s="193">
        <f t="shared" si="92"/>
        <v>0</v>
      </c>
      <c r="AR159" s="193">
        <f t="shared" si="92"/>
        <v>0</v>
      </c>
      <c r="AS159" s="193">
        <f t="shared" si="92"/>
        <v>0</v>
      </c>
      <c r="AT159" s="193">
        <f t="shared" si="77"/>
        <v>0</v>
      </c>
      <c r="AU159" s="33"/>
      <c r="AV159" s="33"/>
      <c r="AW159" s="33"/>
      <c r="AX159" s="33"/>
      <c r="AY159" s="76"/>
    </row>
    <row r="160" spans="3:51">
      <c r="C160" s="165" t="s">
        <v>35</v>
      </c>
      <c r="D160" s="4">
        <v>0.56000000000000005</v>
      </c>
      <c r="E160" s="187" t="s">
        <v>228</v>
      </c>
      <c r="F160" s="342">
        <f>IF(OR(Tableau145[[#This Row],[Type]]="Feuillus",Tableau145[[#This Row],[Type]]="Peupliers"),1.56,1.3)</f>
        <v>1.56</v>
      </c>
      <c r="I160" s="55">
        <v>155</v>
      </c>
      <c r="J160" s="33">
        <f t="shared" si="95"/>
        <v>0</v>
      </c>
      <c r="K160" s="33">
        <f t="shared" si="96"/>
        <v>0</v>
      </c>
      <c r="L160" s="33">
        <f t="shared" si="97"/>
        <v>0</v>
      </c>
      <c r="M160" s="33">
        <f t="shared" si="98"/>
        <v>0</v>
      </c>
      <c r="N160" s="33">
        <f t="shared" si="78"/>
        <v>0</v>
      </c>
      <c r="O160" s="34">
        <f t="shared" si="79"/>
        <v>0</v>
      </c>
      <c r="P160" s="55">
        <v>155</v>
      </c>
      <c r="Q160" s="33">
        <f t="shared" si="93"/>
        <v>0</v>
      </c>
      <c r="R160" s="33">
        <f t="shared" si="99"/>
        <v>0</v>
      </c>
      <c r="S160" s="33">
        <f t="shared" si="100"/>
        <v>0</v>
      </c>
      <c r="T160" s="33">
        <f t="shared" si="80"/>
        <v>0</v>
      </c>
      <c r="U160" s="33">
        <f t="shared" si="94"/>
        <v>0</v>
      </c>
      <c r="V160" s="33">
        <f t="shared" si="81"/>
        <v>0</v>
      </c>
      <c r="W160" s="33">
        <v>0</v>
      </c>
      <c r="X160" s="33">
        <f t="shared" si="82"/>
        <v>0</v>
      </c>
      <c r="Y160" s="38">
        <f t="shared" si="83"/>
        <v>0</v>
      </c>
      <c r="AA160" s="71">
        <v>155</v>
      </c>
      <c r="AB160" s="33">
        <f t="shared" si="84"/>
        <v>0</v>
      </c>
      <c r="AC160" s="304">
        <f t="shared" si="105"/>
        <v>0</v>
      </c>
      <c r="AD160" s="100">
        <f t="shared" si="85"/>
        <v>0</v>
      </c>
      <c r="AE160" s="100">
        <f t="shared" si="86"/>
        <v>0</v>
      </c>
      <c r="AF160" s="193">
        <f t="shared" si="101"/>
        <v>0</v>
      </c>
      <c r="AG160" s="193">
        <f t="shared" si="102"/>
        <v>0</v>
      </c>
      <c r="AH160" s="193">
        <f t="shared" si="103"/>
        <v>0</v>
      </c>
      <c r="AI160" s="198">
        <f t="shared" si="104"/>
        <v>0</v>
      </c>
      <c r="AK160" s="71">
        <v>155</v>
      </c>
      <c r="AL160" s="33">
        <f t="shared" si="87"/>
        <v>0</v>
      </c>
      <c r="AM160" s="33">
        <f t="shared" si="88"/>
        <v>0</v>
      </c>
      <c r="AN160" s="33">
        <f t="shared" si="89"/>
        <v>0</v>
      </c>
      <c r="AO160" s="33">
        <f t="shared" si="90"/>
        <v>0</v>
      </c>
      <c r="AP160" s="33">
        <f t="shared" si="91"/>
        <v>0</v>
      </c>
      <c r="AQ160" s="193">
        <f t="shared" si="92"/>
        <v>0</v>
      </c>
      <c r="AR160" s="193">
        <f t="shared" si="92"/>
        <v>0</v>
      </c>
      <c r="AS160" s="193">
        <f t="shared" si="92"/>
        <v>0</v>
      </c>
      <c r="AT160" s="193">
        <f t="shared" si="77"/>
        <v>0</v>
      </c>
      <c r="AU160" s="33"/>
      <c r="AV160" s="33"/>
      <c r="AW160" s="33"/>
      <c r="AX160" s="33"/>
      <c r="AY160" s="76"/>
    </row>
    <row r="161" spans="3:51">
      <c r="C161" s="165" t="s">
        <v>36</v>
      </c>
      <c r="D161" s="4">
        <v>0.57999999999999996</v>
      </c>
      <c r="E161" s="187" t="s">
        <v>228</v>
      </c>
      <c r="F161" s="342">
        <f>IF(OR(Tableau145[[#This Row],[Type]]="Feuillus",Tableau145[[#This Row],[Type]]="Peupliers"),1.56,1.3)</f>
        <v>1.56</v>
      </c>
      <c r="I161" s="55">
        <v>156</v>
      </c>
      <c r="J161" s="33">
        <f t="shared" si="95"/>
        <v>0</v>
      </c>
      <c r="K161" s="33">
        <f t="shared" si="96"/>
        <v>0</v>
      </c>
      <c r="L161" s="33">
        <f t="shared" si="97"/>
        <v>0</v>
      </c>
      <c r="M161" s="33">
        <f t="shared" si="98"/>
        <v>0</v>
      </c>
      <c r="N161" s="33">
        <f t="shared" si="78"/>
        <v>0</v>
      </c>
      <c r="O161" s="34">
        <f t="shared" si="79"/>
        <v>0</v>
      </c>
      <c r="P161" s="55">
        <v>156</v>
      </c>
      <c r="Q161" s="33">
        <f t="shared" si="93"/>
        <v>0</v>
      </c>
      <c r="R161" s="33">
        <f t="shared" si="99"/>
        <v>0</v>
      </c>
      <c r="S161" s="33">
        <f t="shared" si="100"/>
        <v>0</v>
      </c>
      <c r="T161" s="33">
        <f t="shared" si="80"/>
        <v>0</v>
      </c>
      <c r="U161" s="33">
        <f t="shared" si="94"/>
        <v>0</v>
      </c>
      <c r="V161" s="33">
        <f t="shared" si="81"/>
        <v>0</v>
      </c>
      <c r="W161" s="33">
        <v>0</v>
      </c>
      <c r="X161" s="33">
        <f t="shared" si="82"/>
        <v>0</v>
      </c>
      <c r="Y161" s="38">
        <f t="shared" si="83"/>
        <v>0</v>
      </c>
      <c r="AA161" s="71">
        <v>156</v>
      </c>
      <c r="AB161" s="33">
        <f t="shared" si="84"/>
        <v>0</v>
      </c>
      <c r="AC161" s="304">
        <f t="shared" si="105"/>
        <v>0</v>
      </c>
      <c r="AD161" s="100">
        <f t="shared" si="85"/>
        <v>0</v>
      </c>
      <c r="AE161" s="100">
        <f t="shared" si="86"/>
        <v>0</v>
      </c>
      <c r="AF161" s="193">
        <f t="shared" si="101"/>
        <v>0</v>
      </c>
      <c r="AG161" s="193">
        <f t="shared" si="102"/>
        <v>0</v>
      </c>
      <c r="AH161" s="193">
        <f t="shared" si="103"/>
        <v>0</v>
      </c>
      <c r="AI161" s="198">
        <f t="shared" si="104"/>
        <v>0</v>
      </c>
      <c r="AK161" s="71">
        <v>156</v>
      </c>
      <c r="AL161" s="33">
        <f t="shared" si="87"/>
        <v>0</v>
      </c>
      <c r="AM161" s="33">
        <f t="shared" si="88"/>
        <v>0</v>
      </c>
      <c r="AN161" s="33">
        <f t="shared" si="89"/>
        <v>0</v>
      </c>
      <c r="AO161" s="33">
        <f t="shared" si="90"/>
        <v>0</v>
      </c>
      <c r="AP161" s="33">
        <f t="shared" si="91"/>
        <v>0</v>
      </c>
      <c r="AQ161" s="193">
        <f t="shared" si="92"/>
        <v>0</v>
      </c>
      <c r="AR161" s="193">
        <f t="shared" si="92"/>
        <v>0</v>
      </c>
      <c r="AS161" s="193">
        <f t="shared" si="92"/>
        <v>0</v>
      </c>
      <c r="AT161" s="193">
        <f t="shared" si="77"/>
        <v>0</v>
      </c>
      <c r="AU161" s="33"/>
      <c r="AV161" s="33"/>
      <c r="AW161" s="33"/>
      <c r="AX161" s="33"/>
      <c r="AY161" s="76"/>
    </row>
    <row r="162" spans="3:51">
      <c r="C162" s="165" t="s">
        <v>37</v>
      </c>
      <c r="D162" s="4">
        <v>0.57999999999999996</v>
      </c>
      <c r="E162" s="187" t="s">
        <v>229</v>
      </c>
      <c r="F162" s="342">
        <f>IF(OR(Tableau145[[#This Row],[Type]]="Feuillus",Tableau145[[#This Row],[Type]]="Peupliers"),1.56,1.3)</f>
        <v>1.3</v>
      </c>
      <c r="I162" s="55">
        <v>157</v>
      </c>
      <c r="J162" s="33">
        <f t="shared" si="95"/>
        <v>0</v>
      </c>
      <c r="K162" s="33">
        <f t="shared" si="96"/>
        <v>0</v>
      </c>
      <c r="L162" s="33">
        <f t="shared" si="97"/>
        <v>0</v>
      </c>
      <c r="M162" s="33">
        <f t="shared" si="98"/>
        <v>0</v>
      </c>
      <c r="N162" s="33">
        <f t="shared" si="78"/>
        <v>0</v>
      </c>
      <c r="O162" s="34">
        <f t="shared" si="79"/>
        <v>0</v>
      </c>
      <c r="P162" s="55">
        <v>157</v>
      </c>
      <c r="Q162" s="33">
        <f t="shared" si="93"/>
        <v>0</v>
      </c>
      <c r="R162" s="33">
        <f t="shared" si="99"/>
        <v>0</v>
      </c>
      <c r="S162" s="33">
        <f t="shared" si="100"/>
        <v>0</v>
      </c>
      <c r="T162" s="33">
        <f t="shared" si="80"/>
        <v>0</v>
      </c>
      <c r="U162" s="33">
        <f t="shared" si="94"/>
        <v>0</v>
      </c>
      <c r="V162" s="33">
        <f t="shared" si="81"/>
        <v>0</v>
      </c>
      <c r="W162" s="33">
        <v>0</v>
      </c>
      <c r="X162" s="33">
        <f t="shared" si="82"/>
        <v>0</v>
      </c>
      <c r="Y162" s="38">
        <f t="shared" si="83"/>
        <v>0</v>
      </c>
      <c r="AA162" s="71">
        <v>157</v>
      </c>
      <c r="AB162" s="33">
        <f t="shared" si="84"/>
        <v>0</v>
      </c>
      <c r="AC162" s="304">
        <f t="shared" si="105"/>
        <v>0</v>
      </c>
      <c r="AD162" s="100">
        <f t="shared" si="85"/>
        <v>0</v>
      </c>
      <c r="AE162" s="100">
        <f t="shared" si="86"/>
        <v>0</v>
      </c>
      <c r="AF162" s="193">
        <f t="shared" si="101"/>
        <v>0</v>
      </c>
      <c r="AG162" s="193">
        <f t="shared" si="102"/>
        <v>0</v>
      </c>
      <c r="AH162" s="193">
        <f t="shared" si="103"/>
        <v>0</v>
      </c>
      <c r="AI162" s="198">
        <f t="shared" si="104"/>
        <v>0</v>
      </c>
      <c r="AK162" s="71">
        <v>157</v>
      </c>
      <c r="AL162" s="33">
        <f t="shared" si="87"/>
        <v>0</v>
      </c>
      <c r="AM162" s="33">
        <f t="shared" si="88"/>
        <v>0</v>
      </c>
      <c r="AN162" s="33">
        <f t="shared" si="89"/>
        <v>0</v>
      </c>
      <c r="AO162" s="33">
        <f t="shared" si="90"/>
        <v>0</v>
      </c>
      <c r="AP162" s="33">
        <f t="shared" si="91"/>
        <v>0</v>
      </c>
      <c r="AQ162" s="193">
        <f t="shared" si="92"/>
        <v>0</v>
      </c>
      <c r="AR162" s="193">
        <f t="shared" si="92"/>
        <v>0</v>
      </c>
      <c r="AS162" s="193">
        <f t="shared" si="92"/>
        <v>0</v>
      </c>
      <c r="AT162" s="193">
        <f t="shared" si="77"/>
        <v>0</v>
      </c>
      <c r="AU162" s="33"/>
      <c r="AV162" s="33"/>
      <c r="AW162" s="33"/>
      <c r="AX162" s="33"/>
      <c r="AY162" s="76"/>
    </row>
    <row r="163" spans="3:51">
      <c r="C163" s="165" t="s">
        <v>38</v>
      </c>
      <c r="D163" s="4">
        <v>0.48</v>
      </c>
      <c r="E163" s="187" t="s">
        <v>229</v>
      </c>
      <c r="F163" s="342">
        <f>IF(OR(Tableau145[[#This Row],[Type]]="Feuillus",Tableau145[[#This Row],[Type]]="Peupliers"),1.56,1.3)</f>
        <v>1.3</v>
      </c>
      <c r="I163" s="55">
        <v>158</v>
      </c>
      <c r="J163" s="33">
        <f t="shared" si="95"/>
        <v>0</v>
      </c>
      <c r="K163" s="33">
        <f t="shared" si="96"/>
        <v>0</v>
      </c>
      <c r="L163" s="33">
        <f t="shared" si="97"/>
        <v>0</v>
      </c>
      <c r="M163" s="33">
        <f t="shared" si="98"/>
        <v>0</v>
      </c>
      <c r="N163" s="33">
        <f t="shared" si="78"/>
        <v>0</v>
      </c>
      <c r="O163" s="34">
        <f t="shared" si="79"/>
        <v>0</v>
      </c>
      <c r="P163" s="55">
        <v>158</v>
      </c>
      <c r="Q163" s="33">
        <f t="shared" si="93"/>
        <v>0</v>
      </c>
      <c r="R163" s="33">
        <f t="shared" si="99"/>
        <v>0</v>
      </c>
      <c r="S163" s="33">
        <f t="shared" si="100"/>
        <v>0</v>
      </c>
      <c r="T163" s="33">
        <f t="shared" si="80"/>
        <v>0</v>
      </c>
      <c r="U163" s="33">
        <f t="shared" si="94"/>
        <v>0</v>
      </c>
      <c r="V163" s="33">
        <f t="shared" si="81"/>
        <v>0</v>
      </c>
      <c r="W163" s="33">
        <v>0</v>
      </c>
      <c r="X163" s="33">
        <f t="shared" si="82"/>
        <v>0</v>
      </c>
      <c r="Y163" s="38">
        <f t="shared" si="83"/>
        <v>0</v>
      </c>
      <c r="AA163" s="71">
        <v>158</v>
      </c>
      <c r="AB163" s="33">
        <f t="shared" si="84"/>
        <v>0</v>
      </c>
      <c r="AC163" s="304">
        <f t="shared" si="105"/>
        <v>0</v>
      </c>
      <c r="AD163" s="100">
        <f t="shared" si="85"/>
        <v>0</v>
      </c>
      <c r="AE163" s="100">
        <f t="shared" si="86"/>
        <v>0</v>
      </c>
      <c r="AF163" s="193">
        <f t="shared" si="101"/>
        <v>0</v>
      </c>
      <c r="AG163" s="193">
        <f t="shared" si="102"/>
        <v>0</v>
      </c>
      <c r="AH163" s="193">
        <f t="shared" si="103"/>
        <v>0</v>
      </c>
      <c r="AI163" s="198">
        <f t="shared" si="104"/>
        <v>0</v>
      </c>
      <c r="AK163" s="71">
        <v>158</v>
      </c>
      <c r="AL163" s="33">
        <f t="shared" si="87"/>
        <v>0</v>
      </c>
      <c r="AM163" s="33">
        <f t="shared" si="88"/>
        <v>0</v>
      </c>
      <c r="AN163" s="33">
        <f t="shared" si="89"/>
        <v>0</v>
      </c>
      <c r="AO163" s="33">
        <f t="shared" si="90"/>
        <v>0</v>
      </c>
      <c r="AP163" s="33">
        <f t="shared" si="91"/>
        <v>0</v>
      </c>
      <c r="AQ163" s="193">
        <f t="shared" si="92"/>
        <v>0</v>
      </c>
      <c r="AR163" s="193">
        <f t="shared" si="92"/>
        <v>0</v>
      </c>
      <c r="AS163" s="193">
        <f t="shared" si="92"/>
        <v>0</v>
      </c>
      <c r="AT163" s="193">
        <f t="shared" si="77"/>
        <v>0</v>
      </c>
      <c r="AU163" s="33"/>
      <c r="AV163" s="33"/>
      <c r="AW163" s="33"/>
      <c r="AX163" s="33"/>
      <c r="AY163" s="76"/>
    </row>
    <row r="164" spans="3:51">
      <c r="C164" s="165" t="s">
        <v>39</v>
      </c>
      <c r="D164" s="4">
        <v>0.42</v>
      </c>
      <c r="E164" s="187" t="s">
        <v>229</v>
      </c>
      <c r="F164" s="342">
        <f>IF(OR(Tableau145[[#This Row],[Type]]="Feuillus",Tableau145[[#This Row],[Type]]="Peupliers"),1.56,1.3)</f>
        <v>1.3</v>
      </c>
      <c r="I164" s="55">
        <v>159</v>
      </c>
      <c r="J164" s="33">
        <f t="shared" si="95"/>
        <v>0</v>
      </c>
      <c r="K164" s="33">
        <f t="shared" si="96"/>
        <v>0</v>
      </c>
      <c r="L164" s="33">
        <f t="shared" si="97"/>
        <v>0</v>
      </c>
      <c r="M164" s="33">
        <f t="shared" si="98"/>
        <v>0</v>
      </c>
      <c r="N164" s="33">
        <f t="shared" si="78"/>
        <v>0</v>
      </c>
      <c r="O164" s="34">
        <f t="shared" si="79"/>
        <v>0</v>
      </c>
      <c r="P164" s="55">
        <v>159</v>
      </c>
      <c r="Q164" s="33">
        <f t="shared" si="93"/>
        <v>0</v>
      </c>
      <c r="R164" s="33">
        <f t="shared" si="99"/>
        <v>0</v>
      </c>
      <c r="S164" s="33">
        <f t="shared" si="100"/>
        <v>0</v>
      </c>
      <c r="T164" s="33">
        <f t="shared" si="80"/>
        <v>0</v>
      </c>
      <c r="U164" s="33">
        <f t="shared" si="94"/>
        <v>0</v>
      </c>
      <c r="V164" s="33">
        <f t="shared" si="81"/>
        <v>0</v>
      </c>
      <c r="W164" s="33">
        <v>0</v>
      </c>
      <c r="X164" s="33">
        <f t="shared" si="82"/>
        <v>0</v>
      </c>
      <c r="Y164" s="38">
        <f t="shared" si="83"/>
        <v>0</v>
      </c>
      <c r="AA164" s="71">
        <v>159</v>
      </c>
      <c r="AB164" s="33">
        <f t="shared" si="84"/>
        <v>0</v>
      </c>
      <c r="AC164" s="304">
        <f t="shared" si="105"/>
        <v>0</v>
      </c>
      <c r="AD164" s="100">
        <f t="shared" si="85"/>
        <v>0</v>
      </c>
      <c r="AE164" s="100">
        <f t="shared" si="86"/>
        <v>0</v>
      </c>
      <c r="AF164" s="193">
        <f t="shared" si="101"/>
        <v>0</v>
      </c>
      <c r="AG164" s="193">
        <f t="shared" si="102"/>
        <v>0</v>
      </c>
      <c r="AH164" s="193">
        <f t="shared" si="103"/>
        <v>0</v>
      </c>
      <c r="AI164" s="198">
        <f t="shared" si="104"/>
        <v>0</v>
      </c>
      <c r="AK164" s="71">
        <v>159</v>
      </c>
      <c r="AL164" s="33">
        <f t="shared" si="87"/>
        <v>0</v>
      </c>
      <c r="AM164" s="33">
        <f t="shared" si="88"/>
        <v>0</v>
      </c>
      <c r="AN164" s="33">
        <f t="shared" si="89"/>
        <v>0</v>
      </c>
      <c r="AO164" s="33">
        <f t="shared" si="90"/>
        <v>0</v>
      </c>
      <c r="AP164" s="33">
        <f t="shared" si="91"/>
        <v>0</v>
      </c>
      <c r="AQ164" s="193">
        <f t="shared" si="92"/>
        <v>0</v>
      </c>
      <c r="AR164" s="193">
        <f t="shared" si="92"/>
        <v>0</v>
      </c>
      <c r="AS164" s="193">
        <f t="shared" si="92"/>
        <v>0</v>
      </c>
      <c r="AT164" s="193">
        <f t="shared" si="77"/>
        <v>0</v>
      </c>
      <c r="AU164" s="33"/>
      <c r="AV164" s="33"/>
      <c r="AW164" s="33"/>
      <c r="AX164" s="33"/>
      <c r="AY164" s="76"/>
    </row>
    <row r="165" spans="3:51">
      <c r="C165" s="165" t="s">
        <v>40</v>
      </c>
      <c r="D165" s="4">
        <v>0.5</v>
      </c>
      <c r="E165" s="187" t="s">
        <v>228</v>
      </c>
      <c r="F165" s="342">
        <f>IF(OR(Tableau145[[#This Row],[Type]]="Feuillus",Tableau145[[#This Row],[Type]]="Peupliers"),1.56,1.3)</f>
        <v>1.56</v>
      </c>
      <c r="I165" s="55">
        <v>160</v>
      </c>
      <c r="J165" s="33">
        <f t="shared" si="95"/>
        <v>0</v>
      </c>
      <c r="K165" s="33">
        <f t="shared" si="96"/>
        <v>0</v>
      </c>
      <c r="L165" s="33">
        <f t="shared" si="97"/>
        <v>0</v>
      </c>
      <c r="M165" s="33">
        <f t="shared" si="98"/>
        <v>0</v>
      </c>
      <c r="N165" s="33">
        <f t="shared" si="78"/>
        <v>0</v>
      </c>
      <c r="O165" s="34">
        <f t="shared" si="79"/>
        <v>0</v>
      </c>
      <c r="P165" s="55">
        <v>160</v>
      </c>
      <c r="Q165" s="33">
        <f t="shared" si="93"/>
        <v>0</v>
      </c>
      <c r="R165" s="33">
        <f t="shared" si="99"/>
        <v>0</v>
      </c>
      <c r="S165" s="33">
        <f t="shared" si="100"/>
        <v>0</v>
      </c>
      <c r="T165" s="33">
        <f t="shared" si="80"/>
        <v>0</v>
      </c>
      <c r="U165" s="33">
        <f t="shared" si="94"/>
        <v>0</v>
      </c>
      <c r="V165" s="33">
        <f t="shared" si="81"/>
        <v>0</v>
      </c>
      <c r="W165" s="33">
        <v>0</v>
      </c>
      <c r="X165" s="33">
        <f t="shared" si="82"/>
        <v>0</v>
      </c>
      <c r="Y165" s="38">
        <f t="shared" si="83"/>
        <v>0</v>
      </c>
      <c r="AA165" s="71">
        <v>160</v>
      </c>
      <c r="AB165" s="33">
        <f t="shared" si="84"/>
        <v>0</v>
      </c>
      <c r="AC165" s="304">
        <f t="shared" si="105"/>
        <v>0</v>
      </c>
      <c r="AD165" s="100">
        <f t="shared" si="85"/>
        <v>0</v>
      </c>
      <c r="AE165" s="100">
        <f t="shared" si="86"/>
        <v>0</v>
      </c>
      <c r="AF165" s="193">
        <f t="shared" si="101"/>
        <v>0</v>
      </c>
      <c r="AG165" s="193">
        <f t="shared" si="102"/>
        <v>0</v>
      </c>
      <c r="AH165" s="193">
        <f t="shared" si="103"/>
        <v>0</v>
      </c>
      <c r="AI165" s="198">
        <f t="shared" si="104"/>
        <v>0</v>
      </c>
      <c r="AK165" s="71">
        <v>160</v>
      </c>
      <c r="AL165" s="33">
        <f t="shared" si="87"/>
        <v>0</v>
      </c>
      <c r="AM165" s="33">
        <f t="shared" si="88"/>
        <v>0</v>
      </c>
      <c r="AN165" s="33">
        <f t="shared" si="89"/>
        <v>0</v>
      </c>
      <c r="AO165" s="33">
        <f t="shared" si="90"/>
        <v>0</v>
      </c>
      <c r="AP165" s="33">
        <f t="shared" si="91"/>
        <v>0</v>
      </c>
      <c r="AQ165" s="193">
        <f t="shared" si="92"/>
        <v>0</v>
      </c>
      <c r="AR165" s="193">
        <f t="shared" si="92"/>
        <v>0</v>
      </c>
      <c r="AS165" s="193">
        <f t="shared" si="92"/>
        <v>0</v>
      </c>
      <c r="AT165" s="193">
        <f t="shared" si="77"/>
        <v>0</v>
      </c>
      <c r="AU165" s="33"/>
      <c r="AV165" s="33"/>
      <c r="AW165" s="33"/>
      <c r="AX165" s="33"/>
      <c r="AY165" s="76"/>
    </row>
    <row r="166" spans="3:51">
      <c r="C166" s="165" t="s">
        <v>41</v>
      </c>
      <c r="D166" s="4">
        <v>0.55000000000000004</v>
      </c>
      <c r="E166" s="187" t="s">
        <v>228</v>
      </c>
      <c r="F166" s="342">
        <f>IF(OR(Tableau145[[#This Row],[Type]]="Feuillus",Tableau145[[#This Row],[Type]]="Peupliers"),1.56,1.3)</f>
        <v>1.56</v>
      </c>
      <c r="I166" s="55">
        <v>161</v>
      </c>
      <c r="J166" s="33">
        <f t="shared" si="95"/>
        <v>0</v>
      </c>
      <c r="K166" s="33">
        <f t="shared" si="96"/>
        <v>0</v>
      </c>
      <c r="L166" s="33">
        <f t="shared" si="97"/>
        <v>0</v>
      </c>
      <c r="M166" s="33">
        <f t="shared" si="98"/>
        <v>0</v>
      </c>
      <c r="N166" s="33">
        <f t="shared" si="78"/>
        <v>0</v>
      </c>
      <c r="O166" s="34">
        <f t="shared" si="79"/>
        <v>0</v>
      </c>
      <c r="P166" s="55">
        <v>161</v>
      </c>
      <c r="Q166" s="33">
        <f t="shared" si="93"/>
        <v>0</v>
      </c>
      <c r="R166" s="33">
        <f t="shared" si="99"/>
        <v>0</v>
      </c>
      <c r="S166" s="33">
        <f t="shared" si="100"/>
        <v>0</v>
      </c>
      <c r="T166" s="33">
        <f t="shared" si="80"/>
        <v>0</v>
      </c>
      <c r="U166" s="33">
        <f t="shared" si="94"/>
        <v>0</v>
      </c>
      <c r="V166" s="33">
        <f t="shared" si="81"/>
        <v>0</v>
      </c>
      <c r="W166" s="33">
        <v>0</v>
      </c>
      <c r="X166" s="33">
        <f t="shared" si="82"/>
        <v>0</v>
      </c>
      <c r="Y166" s="38">
        <f t="shared" si="83"/>
        <v>0</v>
      </c>
      <c r="AA166" s="71">
        <v>161</v>
      </c>
      <c r="AB166" s="33">
        <f t="shared" si="84"/>
        <v>0</v>
      </c>
      <c r="AC166" s="304">
        <f t="shared" si="105"/>
        <v>0</v>
      </c>
      <c r="AD166" s="100">
        <f t="shared" si="85"/>
        <v>0</v>
      </c>
      <c r="AE166" s="100">
        <f t="shared" si="86"/>
        <v>0</v>
      </c>
      <c r="AF166" s="193">
        <f t="shared" si="101"/>
        <v>0</v>
      </c>
      <c r="AG166" s="193">
        <f t="shared" si="102"/>
        <v>0</v>
      </c>
      <c r="AH166" s="193">
        <f t="shared" si="103"/>
        <v>0</v>
      </c>
      <c r="AI166" s="198">
        <f t="shared" si="104"/>
        <v>0</v>
      </c>
      <c r="AK166" s="71">
        <v>161</v>
      </c>
      <c r="AL166" s="33">
        <f t="shared" si="87"/>
        <v>0</v>
      </c>
      <c r="AM166" s="33">
        <f t="shared" si="88"/>
        <v>0</v>
      </c>
      <c r="AN166" s="33">
        <f t="shared" si="89"/>
        <v>0</v>
      </c>
      <c r="AO166" s="33">
        <f t="shared" si="90"/>
        <v>0</v>
      </c>
      <c r="AP166" s="33">
        <f t="shared" si="91"/>
        <v>0</v>
      </c>
      <c r="AQ166" s="193">
        <f t="shared" si="92"/>
        <v>0</v>
      </c>
      <c r="AR166" s="193">
        <f t="shared" si="92"/>
        <v>0</v>
      </c>
      <c r="AS166" s="193">
        <f t="shared" si="92"/>
        <v>0</v>
      </c>
      <c r="AT166" s="193">
        <f t="shared" si="77"/>
        <v>0</v>
      </c>
      <c r="AU166" s="33"/>
      <c r="AV166" s="33"/>
      <c r="AW166" s="33"/>
      <c r="AX166" s="33"/>
      <c r="AY166" s="76"/>
    </row>
    <row r="167" spans="3:51">
      <c r="C167" s="165" t="s">
        <v>42</v>
      </c>
      <c r="D167" s="4">
        <v>0.53</v>
      </c>
      <c r="E167" s="187" t="s">
        <v>228</v>
      </c>
      <c r="F167" s="342">
        <f>IF(OR(Tableau145[[#This Row],[Type]]="Feuillus",Tableau145[[#This Row],[Type]]="Peupliers"),1.56,1.3)</f>
        <v>1.56</v>
      </c>
      <c r="I167" s="55">
        <v>162</v>
      </c>
      <c r="J167" s="33">
        <f t="shared" si="95"/>
        <v>0</v>
      </c>
      <c r="K167" s="33">
        <f t="shared" si="96"/>
        <v>0</v>
      </c>
      <c r="L167" s="33">
        <f t="shared" si="97"/>
        <v>0</v>
      </c>
      <c r="M167" s="33">
        <f t="shared" si="98"/>
        <v>0</v>
      </c>
      <c r="N167" s="33">
        <f t="shared" si="78"/>
        <v>0</v>
      </c>
      <c r="O167" s="34">
        <f t="shared" si="79"/>
        <v>0</v>
      </c>
      <c r="P167" s="55">
        <v>162</v>
      </c>
      <c r="Q167" s="33">
        <f t="shared" si="93"/>
        <v>0</v>
      </c>
      <c r="R167" s="33">
        <f t="shared" si="99"/>
        <v>0</v>
      </c>
      <c r="S167" s="33">
        <f t="shared" si="100"/>
        <v>0</v>
      </c>
      <c r="T167" s="33">
        <f t="shared" si="80"/>
        <v>0</v>
      </c>
      <c r="U167" s="33">
        <f t="shared" si="94"/>
        <v>0</v>
      </c>
      <c r="V167" s="33">
        <f t="shared" si="81"/>
        <v>0</v>
      </c>
      <c r="W167" s="33">
        <v>0</v>
      </c>
      <c r="X167" s="33">
        <f t="shared" si="82"/>
        <v>0</v>
      </c>
      <c r="Y167" s="38">
        <f t="shared" si="83"/>
        <v>0</v>
      </c>
      <c r="AA167" s="71">
        <v>162</v>
      </c>
      <c r="AB167" s="33">
        <f t="shared" si="84"/>
        <v>0</v>
      </c>
      <c r="AC167" s="304">
        <f t="shared" si="105"/>
        <v>0</v>
      </c>
      <c r="AD167" s="100">
        <f t="shared" si="85"/>
        <v>0</v>
      </c>
      <c r="AE167" s="100">
        <f t="shared" si="86"/>
        <v>0</v>
      </c>
      <c r="AF167" s="193">
        <f t="shared" si="101"/>
        <v>0</v>
      </c>
      <c r="AG167" s="193">
        <f t="shared" si="102"/>
        <v>0</v>
      </c>
      <c r="AH167" s="193">
        <f t="shared" si="103"/>
        <v>0</v>
      </c>
      <c r="AI167" s="198">
        <f t="shared" si="104"/>
        <v>0</v>
      </c>
      <c r="AK167" s="71">
        <v>162</v>
      </c>
      <c r="AL167" s="33">
        <f t="shared" si="87"/>
        <v>0</v>
      </c>
      <c r="AM167" s="33">
        <f t="shared" si="88"/>
        <v>0</v>
      </c>
      <c r="AN167" s="33">
        <f t="shared" si="89"/>
        <v>0</v>
      </c>
      <c r="AO167" s="33">
        <f t="shared" si="90"/>
        <v>0</v>
      </c>
      <c r="AP167" s="33">
        <f t="shared" si="91"/>
        <v>0</v>
      </c>
      <c r="AQ167" s="193">
        <f t="shared" si="92"/>
        <v>0</v>
      </c>
      <c r="AR167" s="193">
        <f t="shared" si="92"/>
        <v>0</v>
      </c>
      <c r="AS167" s="193">
        <f t="shared" si="92"/>
        <v>0</v>
      </c>
      <c r="AT167" s="193">
        <f t="shared" si="77"/>
        <v>0</v>
      </c>
      <c r="AU167" s="33"/>
      <c r="AV167" s="33"/>
      <c r="AW167" s="33"/>
      <c r="AX167" s="33"/>
      <c r="AY167" s="76"/>
    </row>
    <row r="168" spans="3:51">
      <c r="C168" s="165" t="s">
        <v>43</v>
      </c>
      <c r="D168" s="4">
        <v>0.52</v>
      </c>
      <c r="E168" s="187" t="s">
        <v>228</v>
      </c>
      <c r="F168" s="342">
        <f>IF(OR(Tableau145[[#This Row],[Type]]="Feuillus",Tableau145[[#This Row],[Type]]="Peupliers"),1.56,1.3)</f>
        <v>1.56</v>
      </c>
      <c r="I168" s="55">
        <v>163</v>
      </c>
      <c r="J168" s="33">
        <f t="shared" si="95"/>
        <v>0</v>
      </c>
      <c r="K168" s="33">
        <f t="shared" si="96"/>
        <v>0</v>
      </c>
      <c r="L168" s="33">
        <f t="shared" si="97"/>
        <v>0</v>
      </c>
      <c r="M168" s="33">
        <f t="shared" si="98"/>
        <v>0</v>
      </c>
      <c r="N168" s="33">
        <f t="shared" si="78"/>
        <v>0</v>
      </c>
      <c r="O168" s="34">
        <f t="shared" si="79"/>
        <v>0</v>
      </c>
      <c r="P168" s="55">
        <v>163</v>
      </c>
      <c r="Q168" s="33">
        <f t="shared" si="93"/>
        <v>0</v>
      </c>
      <c r="R168" s="33">
        <f t="shared" si="99"/>
        <v>0</v>
      </c>
      <c r="S168" s="33">
        <f t="shared" si="100"/>
        <v>0</v>
      </c>
      <c r="T168" s="33">
        <f t="shared" si="80"/>
        <v>0</v>
      </c>
      <c r="U168" s="33">
        <f t="shared" si="94"/>
        <v>0</v>
      </c>
      <c r="V168" s="33">
        <f t="shared" si="81"/>
        <v>0</v>
      </c>
      <c r="W168" s="33">
        <v>0</v>
      </c>
      <c r="X168" s="33">
        <f t="shared" si="82"/>
        <v>0</v>
      </c>
      <c r="Y168" s="38">
        <f t="shared" si="83"/>
        <v>0</v>
      </c>
      <c r="AA168" s="71">
        <v>163</v>
      </c>
      <c r="AB168" s="33">
        <f t="shared" si="84"/>
        <v>0</v>
      </c>
      <c r="AC168" s="304">
        <f t="shared" si="105"/>
        <v>0</v>
      </c>
      <c r="AD168" s="100">
        <f t="shared" si="85"/>
        <v>0</v>
      </c>
      <c r="AE168" s="100">
        <f t="shared" si="86"/>
        <v>0</v>
      </c>
      <c r="AF168" s="193">
        <f t="shared" si="101"/>
        <v>0</v>
      </c>
      <c r="AG168" s="193">
        <f t="shared" si="102"/>
        <v>0</v>
      </c>
      <c r="AH168" s="193">
        <f t="shared" si="103"/>
        <v>0</v>
      </c>
      <c r="AI168" s="198">
        <f t="shared" si="104"/>
        <v>0</v>
      </c>
      <c r="AK168" s="71">
        <v>163</v>
      </c>
      <c r="AL168" s="33">
        <f t="shared" si="87"/>
        <v>0</v>
      </c>
      <c r="AM168" s="33">
        <f t="shared" si="88"/>
        <v>0</v>
      </c>
      <c r="AN168" s="33">
        <f t="shared" si="89"/>
        <v>0</v>
      </c>
      <c r="AO168" s="33">
        <f t="shared" si="90"/>
        <v>0</v>
      </c>
      <c r="AP168" s="33">
        <f t="shared" si="91"/>
        <v>0</v>
      </c>
      <c r="AQ168" s="193">
        <f t="shared" si="92"/>
        <v>0</v>
      </c>
      <c r="AR168" s="193">
        <f t="shared" si="92"/>
        <v>0</v>
      </c>
      <c r="AS168" s="193">
        <f t="shared" si="92"/>
        <v>0</v>
      </c>
      <c r="AT168" s="193">
        <f t="shared" si="77"/>
        <v>0</v>
      </c>
      <c r="AU168" s="33"/>
      <c r="AV168" s="33"/>
      <c r="AW168" s="33"/>
      <c r="AX168" s="33"/>
      <c r="AY168" s="76"/>
    </row>
    <row r="169" spans="3:51">
      <c r="C169" s="165" t="s">
        <v>44</v>
      </c>
      <c r="D169" s="4">
        <v>0.52</v>
      </c>
      <c r="E169" s="187" t="s">
        <v>228</v>
      </c>
      <c r="F169" s="342">
        <f>IF(OR(Tableau145[[#This Row],[Type]]="Feuillus",Tableau145[[#This Row],[Type]]="Peupliers"),1.56,1.3)</f>
        <v>1.56</v>
      </c>
      <c r="I169" s="55">
        <v>164</v>
      </c>
      <c r="J169" s="33">
        <f t="shared" si="95"/>
        <v>0</v>
      </c>
      <c r="K169" s="33">
        <f t="shared" si="96"/>
        <v>0</v>
      </c>
      <c r="L169" s="33">
        <f t="shared" si="97"/>
        <v>0</v>
      </c>
      <c r="M169" s="33">
        <f t="shared" si="98"/>
        <v>0</v>
      </c>
      <c r="N169" s="33">
        <f t="shared" si="78"/>
        <v>0</v>
      </c>
      <c r="O169" s="34">
        <f t="shared" si="79"/>
        <v>0</v>
      </c>
      <c r="P169" s="55">
        <v>164</v>
      </c>
      <c r="Q169" s="33">
        <f t="shared" si="93"/>
        <v>0</v>
      </c>
      <c r="R169" s="33">
        <f t="shared" si="99"/>
        <v>0</v>
      </c>
      <c r="S169" s="33">
        <f t="shared" si="100"/>
        <v>0</v>
      </c>
      <c r="T169" s="33">
        <f t="shared" si="80"/>
        <v>0</v>
      </c>
      <c r="U169" s="33">
        <f t="shared" si="94"/>
        <v>0</v>
      </c>
      <c r="V169" s="33">
        <f t="shared" si="81"/>
        <v>0</v>
      </c>
      <c r="W169" s="33">
        <v>0</v>
      </c>
      <c r="X169" s="33">
        <f t="shared" si="82"/>
        <v>0</v>
      </c>
      <c r="Y169" s="38">
        <f t="shared" si="83"/>
        <v>0</v>
      </c>
      <c r="AA169" s="71">
        <v>164</v>
      </c>
      <c r="AB169" s="33">
        <f t="shared" si="84"/>
        <v>0</v>
      </c>
      <c r="AC169" s="304">
        <f t="shared" si="105"/>
        <v>0</v>
      </c>
      <c r="AD169" s="100">
        <f t="shared" si="85"/>
        <v>0</v>
      </c>
      <c r="AE169" s="100">
        <f t="shared" si="86"/>
        <v>0</v>
      </c>
      <c r="AF169" s="193">
        <f t="shared" si="101"/>
        <v>0</v>
      </c>
      <c r="AG169" s="193">
        <f t="shared" si="102"/>
        <v>0</v>
      </c>
      <c r="AH169" s="193">
        <f t="shared" si="103"/>
        <v>0</v>
      </c>
      <c r="AI169" s="198">
        <f t="shared" si="104"/>
        <v>0</v>
      </c>
      <c r="AK169" s="71">
        <v>164</v>
      </c>
      <c r="AL169" s="33">
        <f t="shared" si="87"/>
        <v>0</v>
      </c>
      <c r="AM169" s="33">
        <f t="shared" si="88"/>
        <v>0</v>
      </c>
      <c r="AN169" s="33">
        <f t="shared" si="89"/>
        <v>0</v>
      </c>
      <c r="AO169" s="33">
        <f t="shared" si="90"/>
        <v>0</v>
      </c>
      <c r="AP169" s="33">
        <f t="shared" si="91"/>
        <v>0</v>
      </c>
      <c r="AQ169" s="193">
        <f t="shared" si="92"/>
        <v>0</v>
      </c>
      <c r="AR169" s="193">
        <f t="shared" si="92"/>
        <v>0</v>
      </c>
      <c r="AS169" s="193">
        <f t="shared" si="92"/>
        <v>0</v>
      </c>
      <c r="AT169" s="193">
        <f t="shared" si="77"/>
        <v>0</v>
      </c>
      <c r="AU169" s="33"/>
      <c r="AV169" s="33"/>
      <c r="AW169" s="33"/>
      <c r="AX169" s="33"/>
      <c r="AY169" s="76"/>
    </row>
    <row r="170" spans="3:51">
      <c r="C170" s="165" t="s">
        <v>45</v>
      </c>
      <c r="D170" s="4">
        <v>0.75</v>
      </c>
      <c r="E170" s="187" t="s">
        <v>228</v>
      </c>
      <c r="F170" s="342">
        <f>IF(OR(Tableau145[[#This Row],[Type]]="Feuillus",Tableau145[[#This Row],[Type]]="Peupliers"),1.56,1.3)</f>
        <v>1.56</v>
      </c>
      <c r="I170" s="55">
        <v>165</v>
      </c>
      <c r="J170" s="33">
        <f t="shared" si="95"/>
        <v>0</v>
      </c>
      <c r="K170" s="33">
        <f t="shared" si="96"/>
        <v>0</v>
      </c>
      <c r="L170" s="33">
        <f t="shared" si="97"/>
        <v>0</v>
      </c>
      <c r="M170" s="33">
        <f t="shared" si="98"/>
        <v>0</v>
      </c>
      <c r="N170" s="33">
        <f t="shared" si="78"/>
        <v>0</v>
      </c>
      <c r="O170" s="34">
        <f t="shared" si="79"/>
        <v>0</v>
      </c>
      <c r="P170" s="55">
        <v>165</v>
      </c>
      <c r="Q170" s="33">
        <f t="shared" si="93"/>
        <v>0</v>
      </c>
      <c r="R170" s="33">
        <f t="shared" si="99"/>
        <v>0</v>
      </c>
      <c r="S170" s="33">
        <f t="shared" si="100"/>
        <v>0</v>
      </c>
      <c r="T170" s="33">
        <f t="shared" si="80"/>
        <v>0</v>
      </c>
      <c r="U170" s="33">
        <f t="shared" si="94"/>
        <v>0</v>
      </c>
      <c r="V170" s="33">
        <f t="shared" si="81"/>
        <v>0</v>
      </c>
      <c r="W170" s="33">
        <v>0</v>
      </c>
      <c r="X170" s="33">
        <f t="shared" si="82"/>
        <v>0</v>
      </c>
      <c r="Y170" s="38">
        <f t="shared" si="83"/>
        <v>0</v>
      </c>
      <c r="AA170" s="71">
        <v>165</v>
      </c>
      <c r="AB170" s="33">
        <f t="shared" si="84"/>
        <v>0</v>
      </c>
      <c r="AC170" s="304">
        <f t="shared" si="105"/>
        <v>0</v>
      </c>
      <c r="AD170" s="100">
        <f t="shared" si="85"/>
        <v>0</v>
      </c>
      <c r="AE170" s="100">
        <f t="shared" si="86"/>
        <v>0</v>
      </c>
      <c r="AF170" s="193">
        <f t="shared" si="101"/>
        <v>0</v>
      </c>
      <c r="AG170" s="193">
        <f t="shared" si="102"/>
        <v>0</v>
      </c>
      <c r="AH170" s="193">
        <f t="shared" si="103"/>
        <v>0</v>
      </c>
      <c r="AI170" s="198">
        <f t="shared" si="104"/>
        <v>0</v>
      </c>
      <c r="AK170" s="71">
        <v>165</v>
      </c>
      <c r="AL170" s="33">
        <f t="shared" si="87"/>
        <v>0</v>
      </c>
      <c r="AM170" s="33">
        <f t="shared" si="88"/>
        <v>0</v>
      </c>
      <c r="AN170" s="33">
        <f t="shared" si="89"/>
        <v>0</v>
      </c>
      <c r="AO170" s="33">
        <f t="shared" si="90"/>
        <v>0</v>
      </c>
      <c r="AP170" s="33">
        <f t="shared" si="91"/>
        <v>0</v>
      </c>
      <c r="AQ170" s="193">
        <f t="shared" si="92"/>
        <v>0</v>
      </c>
      <c r="AR170" s="193">
        <f t="shared" si="92"/>
        <v>0</v>
      </c>
      <c r="AS170" s="193">
        <f t="shared" si="92"/>
        <v>0</v>
      </c>
      <c r="AT170" s="193">
        <f t="shared" si="77"/>
        <v>0</v>
      </c>
      <c r="AU170" s="33"/>
      <c r="AV170" s="33"/>
      <c r="AW170" s="33"/>
      <c r="AX170" s="33"/>
      <c r="AY170" s="76"/>
    </row>
    <row r="171" spans="3:51">
      <c r="C171" s="165" t="s">
        <v>46</v>
      </c>
      <c r="D171" s="4">
        <v>0.52</v>
      </c>
      <c r="E171" s="187" t="s">
        <v>228</v>
      </c>
      <c r="F171" s="342">
        <f>IF(OR(Tableau145[[#This Row],[Type]]="Feuillus",Tableau145[[#This Row],[Type]]="Peupliers"),1.56,1.3)</f>
        <v>1.56</v>
      </c>
      <c r="I171" s="55">
        <v>166</v>
      </c>
      <c r="J171" s="33">
        <f t="shared" si="95"/>
        <v>0</v>
      </c>
      <c r="K171" s="33">
        <f t="shared" si="96"/>
        <v>0</v>
      </c>
      <c r="L171" s="33">
        <f t="shared" si="97"/>
        <v>0</v>
      </c>
      <c r="M171" s="33">
        <f t="shared" si="98"/>
        <v>0</v>
      </c>
      <c r="N171" s="33">
        <f t="shared" si="78"/>
        <v>0</v>
      </c>
      <c r="O171" s="34">
        <f t="shared" si="79"/>
        <v>0</v>
      </c>
      <c r="P171" s="55">
        <v>166</v>
      </c>
      <c r="Q171" s="33">
        <f t="shared" si="93"/>
        <v>0</v>
      </c>
      <c r="R171" s="33">
        <f t="shared" si="99"/>
        <v>0</v>
      </c>
      <c r="S171" s="33">
        <f t="shared" si="100"/>
        <v>0</v>
      </c>
      <c r="T171" s="33">
        <f t="shared" si="80"/>
        <v>0</v>
      </c>
      <c r="U171" s="33">
        <f t="shared" si="94"/>
        <v>0</v>
      </c>
      <c r="V171" s="33">
        <f t="shared" si="81"/>
        <v>0</v>
      </c>
      <c r="W171" s="33">
        <v>0</v>
      </c>
      <c r="X171" s="33">
        <f t="shared" si="82"/>
        <v>0</v>
      </c>
      <c r="Y171" s="38">
        <f t="shared" si="83"/>
        <v>0</v>
      </c>
      <c r="AA171" s="71">
        <v>166</v>
      </c>
      <c r="AB171" s="33">
        <f t="shared" si="84"/>
        <v>0</v>
      </c>
      <c r="AC171" s="304">
        <f t="shared" si="105"/>
        <v>0</v>
      </c>
      <c r="AD171" s="100">
        <f t="shared" si="85"/>
        <v>0</v>
      </c>
      <c r="AE171" s="100">
        <f t="shared" si="86"/>
        <v>0</v>
      </c>
      <c r="AF171" s="193">
        <f t="shared" si="101"/>
        <v>0</v>
      </c>
      <c r="AG171" s="193">
        <f t="shared" si="102"/>
        <v>0</v>
      </c>
      <c r="AH171" s="193">
        <f t="shared" si="103"/>
        <v>0</v>
      </c>
      <c r="AI171" s="198">
        <f t="shared" si="104"/>
        <v>0</v>
      </c>
      <c r="AK171" s="71">
        <v>166</v>
      </c>
      <c r="AL171" s="33">
        <f t="shared" si="87"/>
        <v>0</v>
      </c>
      <c r="AM171" s="33">
        <f t="shared" si="88"/>
        <v>0</v>
      </c>
      <c r="AN171" s="33">
        <f t="shared" si="89"/>
        <v>0</v>
      </c>
      <c r="AO171" s="33">
        <f t="shared" si="90"/>
        <v>0</v>
      </c>
      <c r="AP171" s="33">
        <f t="shared" si="91"/>
        <v>0</v>
      </c>
      <c r="AQ171" s="193">
        <f t="shared" si="92"/>
        <v>0</v>
      </c>
      <c r="AR171" s="193">
        <f t="shared" si="92"/>
        <v>0</v>
      </c>
      <c r="AS171" s="193">
        <f t="shared" si="92"/>
        <v>0</v>
      </c>
      <c r="AT171" s="193">
        <f t="shared" si="77"/>
        <v>0</v>
      </c>
      <c r="AU171" s="33"/>
      <c r="AV171" s="33"/>
      <c r="AW171" s="33"/>
      <c r="AX171" s="33"/>
      <c r="AY171" s="76"/>
    </row>
    <row r="172" spans="3:51">
      <c r="C172" s="165" t="s">
        <v>47</v>
      </c>
      <c r="D172" s="4">
        <v>0.35</v>
      </c>
      <c r="E172" s="187" t="s">
        <v>230</v>
      </c>
      <c r="F172" s="342">
        <f>IF(OR(Tableau145[[#This Row],[Type]]="Feuillus",Tableau145[[#This Row],[Type]]="Peupliers"),1.56,1.3)</f>
        <v>1.56</v>
      </c>
      <c r="I172" s="55">
        <v>167</v>
      </c>
      <c r="J172" s="33">
        <f t="shared" si="95"/>
        <v>0</v>
      </c>
      <c r="K172" s="33">
        <f t="shared" si="96"/>
        <v>0</v>
      </c>
      <c r="L172" s="33">
        <f t="shared" si="97"/>
        <v>0</v>
      </c>
      <c r="M172" s="33">
        <f t="shared" si="98"/>
        <v>0</v>
      </c>
      <c r="N172" s="33">
        <f t="shared" si="78"/>
        <v>0</v>
      </c>
      <c r="O172" s="34">
        <f t="shared" si="79"/>
        <v>0</v>
      </c>
      <c r="P172" s="55">
        <v>167</v>
      </c>
      <c r="Q172" s="33">
        <f t="shared" si="93"/>
        <v>0</v>
      </c>
      <c r="R172" s="33">
        <f t="shared" si="99"/>
        <v>0</v>
      </c>
      <c r="S172" s="33">
        <f t="shared" si="100"/>
        <v>0</v>
      </c>
      <c r="T172" s="33">
        <f t="shared" si="80"/>
        <v>0</v>
      </c>
      <c r="U172" s="33">
        <f t="shared" si="94"/>
        <v>0</v>
      </c>
      <c r="V172" s="33">
        <f t="shared" si="81"/>
        <v>0</v>
      </c>
      <c r="W172" s="33">
        <v>0</v>
      </c>
      <c r="X172" s="33">
        <f t="shared" si="82"/>
        <v>0</v>
      </c>
      <c r="Y172" s="38">
        <f t="shared" si="83"/>
        <v>0</v>
      </c>
      <c r="AA172" s="71">
        <v>167</v>
      </c>
      <c r="AB172" s="33">
        <f t="shared" si="84"/>
        <v>0</v>
      </c>
      <c r="AC172" s="304">
        <f t="shared" si="105"/>
        <v>0</v>
      </c>
      <c r="AD172" s="100">
        <f t="shared" si="85"/>
        <v>0</v>
      </c>
      <c r="AE172" s="100">
        <f t="shared" si="86"/>
        <v>0</v>
      </c>
      <c r="AF172" s="193">
        <f t="shared" si="101"/>
        <v>0</v>
      </c>
      <c r="AG172" s="193">
        <f t="shared" si="102"/>
        <v>0</v>
      </c>
      <c r="AH172" s="193">
        <f t="shared" si="103"/>
        <v>0</v>
      </c>
      <c r="AI172" s="198">
        <f t="shared" si="104"/>
        <v>0</v>
      </c>
      <c r="AK172" s="71">
        <v>167</v>
      </c>
      <c r="AL172" s="33">
        <f t="shared" si="87"/>
        <v>0</v>
      </c>
      <c r="AM172" s="33">
        <f t="shared" si="88"/>
        <v>0</v>
      </c>
      <c r="AN172" s="33">
        <f t="shared" si="89"/>
        <v>0</v>
      </c>
      <c r="AO172" s="33">
        <f t="shared" si="90"/>
        <v>0</v>
      </c>
      <c r="AP172" s="33">
        <f t="shared" si="91"/>
        <v>0</v>
      </c>
      <c r="AQ172" s="193">
        <f t="shared" si="92"/>
        <v>0</v>
      </c>
      <c r="AR172" s="193">
        <f t="shared" si="92"/>
        <v>0</v>
      </c>
      <c r="AS172" s="193">
        <f t="shared" si="92"/>
        <v>0</v>
      </c>
      <c r="AT172" s="193">
        <f t="shared" si="77"/>
        <v>0</v>
      </c>
      <c r="AU172" s="33"/>
      <c r="AV172" s="33"/>
      <c r="AW172" s="33"/>
      <c r="AX172" s="33"/>
      <c r="AY172" s="76"/>
    </row>
    <row r="173" spans="3:51">
      <c r="C173" s="165" t="s">
        <v>48</v>
      </c>
      <c r="D173" s="4">
        <v>0.37</v>
      </c>
      <c r="E173" s="187" t="s">
        <v>228</v>
      </c>
      <c r="F173" s="342">
        <f>IF(OR(Tableau145[[#This Row],[Type]]="Feuillus",Tableau145[[#This Row],[Type]]="Peupliers"),1.56,1.3)</f>
        <v>1.56</v>
      </c>
      <c r="I173" s="55">
        <v>168</v>
      </c>
      <c r="J173" s="33">
        <f t="shared" si="95"/>
        <v>0</v>
      </c>
      <c r="K173" s="33">
        <f t="shared" si="96"/>
        <v>0</v>
      </c>
      <c r="L173" s="33">
        <f t="shared" si="97"/>
        <v>0</v>
      </c>
      <c r="M173" s="33">
        <f t="shared" si="98"/>
        <v>0</v>
      </c>
      <c r="N173" s="33">
        <f t="shared" si="78"/>
        <v>0</v>
      </c>
      <c r="O173" s="34">
        <f t="shared" si="79"/>
        <v>0</v>
      </c>
      <c r="P173" s="55">
        <v>168</v>
      </c>
      <c r="Q173" s="33">
        <f t="shared" si="93"/>
        <v>0</v>
      </c>
      <c r="R173" s="33">
        <f t="shared" si="99"/>
        <v>0</v>
      </c>
      <c r="S173" s="33">
        <f t="shared" si="100"/>
        <v>0</v>
      </c>
      <c r="T173" s="33">
        <f t="shared" si="80"/>
        <v>0</v>
      </c>
      <c r="U173" s="33">
        <f t="shared" si="94"/>
        <v>0</v>
      </c>
      <c r="V173" s="33">
        <f t="shared" si="81"/>
        <v>0</v>
      </c>
      <c r="W173" s="33">
        <v>0</v>
      </c>
      <c r="X173" s="33">
        <f t="shared" si="82"/>
        <v>0</v>
      </c>
      <c r="Y173" s="38">
        <f t="shared" si="83"/>
        <v>0</v>
      </c>
      <c r="AA173" s="71">
        <v>168</v>
      </c>
      <c r="AB173" s="33">
        <f t="shared" si="84"/>
        <v>0</v>
      </c>
      <c r="AC173" s="304">
        <f t="shared" si="105"/>
        <v>0</v>
      </c>
      <c r="AD173" s="100">
        <f t="shared" si="85"/>
        <v>0</v>
      </c>
      <c r="AE173" s="100">
        <f t="shared" si="86"/>
        <v>0</v>
      </c>
      <c r="AF173" s="193">
        <f t="shared" si="101"/>
        <v>0</v>
      </c>
      <c r="AG173" s="193">
        <f t="shared" si="102"/>
        <v>0</v>
      </c>
      <c r="AH173" s="193">
        <f t="shared" si="103"/>
        <v>0</v>
      </c>
      <c r="AI173" s="198">
        <f t="shared" si="104"/>
        <v>0</v>
      </c>
      <c r="AK173" s="71">
        <v>168</v>
      </c>
      <c r="AL173" s="33">
        <f t="shared" si="87"/>
        <v>0</v>
      </c>
      <c r="AM173" s="33">
        <f t="shared" si="88"/>
        <v>0</v>
      </c>
      <c r="AN173" s="33">
        <f t="shared" si="89"/>
        <v>0</v>
      </c>
      <c r="AO173" s="33">
        <f t="shared" si="90"/>
        <v>0</v>
      </c>
      <c r="AP173" s="33">
        <f t="shared" si="91"/>
        <v>0</v>
      </c>
      <c r="AQ173" s="193">
        <f t="shared" si="92"/>
        <v>0</v>
      </c>
      <c r="AR173" s="193">
        <f t="shared" si="92"/>
        <v>0</v>
      </c>
      <c r="AS173" s="193">
        <f t="shared" si="92"/>
        <v>0</v>
      </c>
      <c r="AT173" s="193">
        <f t="shared" si="77"/>
        <v>0</v>
      </c>
      <c r="AU173" s="33"/>
      <c r="AV173" s="33"/>
      <c r="AW173" s="33"/>
      <c r="AX173" s="33"/>
      <c r="AY173" s="76"/>
    </row>
    <row r="174" spans="3:51">
      <c r="C174" s="165" t="s">
        <v>49</v>
      </c>
      <c r="D174" s="4">
        <v>0.45</v>
      </c>
      <c r="E174" s="187" t="s">
        <v>229</v>
      </c>
      <c r="F174" s="342">
        <f>IF(OR(Tableau145[[#This Row],[Type]]="Feuillus",Tableau145[[#This Row],[Type]]="Peupliers"),1.56,1.3)</f>
        <v>1.3</v>
      </c>
      <c r="I174" s="55">
        <v>169</v>
      </c>
      <c r="J174" s="33">
        <f t="shared" si="95"/>
        <v>0</v>
      </c>
      <c r="K174" s="33">
        <f t="shared" si="96"/>
        <v>0</v>
      </c>
      <c r="L174" s="33">
        <f t="shared" si="97"/>
        <v>0</v>
      </c>
      <c r="M174" s="33">
        <f t="shared" si="98"/>
        <v>0</v>
      </c>
      <c r="N174" s="33">
        <f t="shared" si="78"/>
        <v>0</v>
      </c>
      <c r="O174" s="34">
        <f t="shared" si="79"/>
        <v>0</v>
      </c>
      <c r="P174" s="55">
        <v>169</v>
      </c>
      <c r="Q174" s="33">
        <f t="shared" si="93"/>
        <v>0</v>
      </c>
      <c r="R174" s="33">
        <f t="shared" si="99"/>
        <v>0</v>
      </c>
      <c r="S174" s="33">
        <f t="shared" si="100"/>
        <v>0</v>
      </c>
      <c r="T174" s="33">
        <f t="shared" si="80"/>
        <v>0</v>
      </c>
      <c r="U174" s="33">
        <f t="shared" si="94"/>
        <v>0</v>
      </c>
      <c r="V174" s="33">
        <f t="shared" si="81"/>
        <v>0</v>
      </c>
      <c r="W174" s="33">
        <v>0</v>
      </c>
      <c r="X174" s="33">
        <f t="shared" si="82"/>
        <v>0</v>
      </c>
      <c r="Y174" s="38">
        <f t="shared" si="83"/>
        <v>0</v>
      </c>
      <c r="AA174" s="71">
        <v>169</v>
      </c>
      <c r="AB174" s="33">
        <f t="shared" si="84"/>
        <v>0</v>
      </c>
      <c r="AC174" s="304">
        <f t="shared" si="105"/>
        <v>0</v>
      </c>
      <c r="AD174" s="100">
        <f t="shared" si="85"/>
        <v>0</v>
      </c>
      <c r="AE174" s="100">
        <f t="shared" si="86"/>
        <v>0</v>
      </c>
      <c r="AF174" s="193">
        <f t="shared" si="101"/>
        <v>0</v>
      </c>
      <c r="AG174" s="193">
        <f t="shared" si="102"/>
        <v>0</v>
      </c>
      <c r="AH174" s="193">
        <f t="shared" si="103"/>
        <v>0</v>
      </c>
      <c r="AI174" s="198">
        <f t="shared" si="104"/>
        <v>0</v>
      </c>
      <c r="AK174" s="71">
        <v>169</v>
      </c>
      <c r="AL174" s="33">
        <f t="shared" si="87"/>
        <v>0</v>
      </c>
      <c r="AM174" s="33">
        <f t="shared" si="88"/>
        <v>0</v>
      </c>
      <c r="AN174" s="33">
        <f t="shared" si="89"/>
        <v>0</v>
      </c>
      <c r="AO174" s="33">
        <f t="shared" si="90"/>
        <v>0</v>
      </c>
      <c r="AP174" s="33">
        <f t="shared" si="91"/>
        <v>0</v>
      </c>
      <c r="AQ174" s="193">
        <f t="shared" si="92"/>
        <v>0</v>
      </c>
      <c r="AR174" s="193">
        <f t="shared" si="92"/>
        <v>0</v>
      </c>
      <c r="AS174" s="193">
        <f t="shared" si="92"/>
        <v>0</v>
      </c>
      <c r="AT174" s="193">
        <f t="shared" si="77"/>
        <v>0</v>
      </c>
      <c r="AU174" s="33"/>
      <c r="AV174" s="33"/>
      <c r="AW174" s="33"/>
      <c r="AX174" s="33"/>
      <c r="AY174" s="76"/>
    </row>
    <row r="175" spans="3:51">
      <c r="C175" s="165" t="s">
        <v>50</v>
      </c>
      <c r="D175" s="4">
        <v>0.39</v>
      </c>
      <c r="E175" s="187" t="s">
        <v>229</v>
      </c>
      <c r="F175" s="342">
        <f>IF(OR(Tableau145[[#This Row],[Type]]="Feuillus",Tableau145[[#This Row],[Type]]="Peupliers"),1.56,1.3)</f>
        <v>1.3</v>
      </c>
      <c r="I175" s="55">
        <v>170</v>
      </c>
      <c r="J175" s="33">
        <f t="shared" si="95"/>
        <v>0</v>
      </c>
      <c r="K175" s="33">
        <f t="shared" si="96"/>
        <v>0</v>
      </c>
      <c r="L175" s="33">
        <f t="shared" si="97"/>
        <v>0</v>
      </c>
      <c r="M175" s="33">
        <f t="shared" si="98"/>
        <v>0</v>
      </c>
      <c r="N175" s="33">
        <f t="shared" si="78"/>
        <v>0</v>
      </c>
      <c r="O175" s="34">
        <f t="shared" si="79"/>
        <v>0</v>
      </c>
      <c r="P175" s="55">
        <v>170</v>
      </c>
      <c r="Q175" s="33">
        <f t="shared" si="93"/>
        <v>0</v>
      </c>
      <c r="R175" s="33">
        <f t="shared" si="99"/>
        <v>0</v>
      </c>
      <c r="S175" s="33">
        <f t="shared" si="100"/>
        <v>0</v>
      </c>
      <c r="T175" s="33">
        <f t="shared" si="80"/>
        <v>0</v>
      </c>
      <c r="U175" s="33">
        <f t="shared" si="94"/>
        <v>0</v>
      </c>
      <c r="V175" s="33">
        <f t="shared" si="81"/>
        <v>0</v>
      </c>
      <c r="W175" s="33">
        <v>0</v>
      </c>
      <c r="X175" s="33">
        <f t="shared" si="82"/>
        <v>0</v>
      </c>
      <c r="Y175" s="38">
        <f t="shared" si="83"/>
        <v>0</v>
      </c>
      <c r="AA175" s="71">
        <v>170</v>
      </c>
      <c r="AB175" s="33">
        <f t="shared" si="84"/>
        <v>0</v>
      </c>
      <c r="AC175" s="304">
        <f t="shared" si="105"/>
        <v>0</v>
      </c>
      <c r="AD175" s="100">
        <f t="shared" si="85"/>
        <v>0</v>
      </c>
      <c r="AE175" s="100">
        <f t="shared" si="86"/>
        <v>0</v>
      </c>
      <c r="AF175" s="193">
        <f t="shared" si="101"/>
        <v>0</v>
      </c>
      <c r="AG175" s="193">
        <f t="shared" si="102"/>
        <v>0</v>
      </c>
      <c r="AH175" s="193">
        <f t="shared" si="103"/>
        <v>0</v>
      </c>
      <c r="AI175" s="198">
        <f t="shared" si="104"/>
        <v>0</v>
      </c>
      <c r="AK175" s="71">
        <v>170</v>
      </c>
      <c r="AL175" s="33">
        <f t="shared" si="87"/>
        <v>0</v>
      </c>
      <c r="AM175" s="33">
        <f t="shared" si="88"/>
        <v>0</v>
      </c>
      <c r="AN175" s="33">
        <f t="shared" si="89"/>
        <v>0</v>
      </c>
      <c r="AO175" s="33">
        <f t="shared" si="90"/>
        <v>0</v>
      </c>
      <c r="AP175" s="33">
        <f t="shared" si="91"/>
        <v>0</v>
      </c>
      <c r="AQ175" s="193">
        <f t="shared" si="92"/>
        <v>0</v>
      </c>
      <c r="AR175" s="193">
        <f t="shared" si="92"/>
        <v>0</v>
      </c>
      <c r="AS175" s="193">
        <f t="shared" si="92"/>
        <v>0</v>
      </c>
      <c r="AT175" s="193">
        <f t="shared" si="77"/>
        <v>0</v>
      </c>
      <c r="AU175" s="33"/>
      <c r="AV175" s="33"/>
      <c r="AW175" s="33"/>
      <c r="AX175" s="33"/>
      <c r="AY175" s="76"/>
    </row>
    <row r="176" spans="3:51">
      <c r="C176" s="165" t="s">
        <v>51</v>
      </c>
      <c r="D176" s="4">
        <v>0.44</v>
      </c>
      <c r="E176" s="187" t="s">
        <v>229</v>
      </c>
      <c r="F176" s="342">
        <f>IF(OR(Tableau145[[#This Row],[Type]]="Feuillus",Tableau145[[#This Row],[Type]]="Peupliers"),1.56,1.3)</f>
        <v>1.3</v>
      </c>
      <c r="I176" s="55">
        <v>171</v>
      </c>
      <c r="J176" s="33">
        <f t="shared" si="95"/>
        <v>0</v>
      </c>
      <c r="K176" s="33">
        <f t="shared" si="96"/>
        <v>0</v>
      </c>
      <c r="L176" s="33">
        <f t="shared" si="97"/>
        <v>0</v>
      </c>
      <c r="M176" s="33">
        <f t="shared" si="98"/>
        <v>0</v>
      </c>
      <c r="N176" s="33">
        <f t="shared" si="78"/>
        <v>0</v>
      </c>
      <c r="O176" s="34">
        <f t="shared" si="79"/>
        <v>0</v>
      </c>
      <c r="P176" s="55">
        <v>171</v>
      </c>
      <c r="Q176" s="33">
        <f t="shared" si="93"/>
        <v>0</v>
      </c>
      <c r="R176" s="33">
        <f t="shared" si="99"/>
        <v>0</v>
      </c>
      <c r="S176" s="33">
        <f t="shared" si="100"/>
        <v>0</v>
      </c>
      <c r="T176" s="33">
        <f t="shared" si="80"/>
        <v>0</v>
      </c>
      <c r="U176" s="33">
        <f t="shared" si="94"/>
        <v>0</v>
      </c>
      <c r="V176" s="33">
        <f t="shared" si="81"/>
        <v>0</v>
      </c>
      <c r="W176" s="33">
        <v>0</v>
      </c>
      <c r="X176" s="33">
        <f t="shared" si="82"/>
        <v>0</v>
      </c>
      <c r="Y176" s="38">
        <f t="shared" si="83"/>
        <v>0</v>
      </c>
      <c r="AA176" s="71">
        <v>171</v>
      </c>
      <c r="AB176" s="33">
        <f t="shared" si="84"/>
        <v>0</v>
      </c>
      <c r="AC176" s="304">
        <f t="shared" si="105"/>
        <v>0</v>
      </c>
      <c r="AD176" s="100">
        <f t="shared" si="85"/>
        <v>0</v>
      </c>
      <c r="AE176" s="100">
        <f t="shared" si="86"/>
        <v>0</v>
      </c>
      <c r="AF176" s="193">
        <f t="shared" si="101"/>
        <v>0</v>
      </c>
      <c r="AG176" s="193">
        <f t="shared" si="102"/>
        <v>0</v>
      </c>
      <c r="AH176" s="193">
        <f t="shared" si="103"/>
        <v>0</v>
      </c>
      <c r="AI176" s="198">
        <f t="shared" si="104"/>
        <v>0</v>
      </c>
      <c r="AK176" s="71">
        <v>171</v>
      </c>
      <c r="AL176" s="33">
        <f t="shared" si="87"/>
        <v>0</v>
      </c>
      <c r="AM176" s="33">
        <f t="shared" si="88"/>
        <v>0</v>
      </c>
      <c r="AN176" s="33">
        <f t="shared" si="89"/>
        <v>0</v>
      </c>
      <c r="AO176" s="33">
        <f t="shared" si="90"/>
        <v>0</v>
      </c>
      <c r="AP176" s="33">
        <f t="shared" si="91"/>
        <v>0</v>
      </c>
      <c r="AQ176" s="193">
        <f t="shared" si="92"/>
        <v>0</v>
      </c>
      <c r="AR176" s="193">
        <f t="shared" si="92"/>
        <v>0</v>
      </c>
      <c r="AS176" s="193">
        <f t="shared" si="92"/>
        <v>0</v>
      </c>
      <c r="AT176" s="193">
        <f t="shared" si="77"/>
        <v>0</v>
      </c>
      <c r="AU176" s="33"/>
      <c r="AV176" s="33"/>
      <c r="AW176" s="33"/>
      <c r="AX176" s="33"/>
      <c r="AY176" s="76"/>
    </row>
    <row r="177" spans="3:51">
      <c r="C177" s="165" t="s">
        <v>52</v>
      </c>
      <c r="D177" s="4">
        <v>0.46</v>
      </c>
      <c r="E177" s="187" t="s">
        <v>229</v>
      </c>
      <c r="F177" s="342">
        <f>IF(OR(Tableau145[[#This Row],[Type]]="Feuillus",Tableau145[[#This Row],[Type]]="Peupliers"),1.56,1.3)</f>
        <v>1.3</v>
      </c>
      <c r="I177" s="55">
        <v>172</v>
      </c>
      <c r="J177" s="33">
        <f t="shared" si="95"/>
        <v>0</v>
      </c>
      <c r="K177" s="33">
        <f t="shared" si="96"/>
        <v>0</v>
      </c>
      <c r="L177" s="33">
        <f t="shared" si="97"/>
        <v>0</v>
      </c>
      <c r="M177" s="33">
        <f t="shared" si="98"/>
        <v>0</v>
      </c>
      <c r="N177" s="33">
        <f t="shared" si="78"/>
        <v>0</v>
      </c>
      <c r="O177" s="34">
        <f t="shared" si="79"/>
        <v>0</v>
      </c>
      <c r="P177" s="55">
        <v>172</v>
      </c>
      <c r="Q177" s="33">
        <f t="shared" si="93"/>
        <v>0</v>
      </c>
      <c r="R177" s="33">
        <f t="shared" si="99"/>
        <v>0</v>
      </c>
      <c r="S177" s="33">
        <f t="shared" si="100"/>
        <v>0</v>
      </c>
      <c r="T177" s="33">
        <f t="shared" si="80"/>
        <v>0</v>
      </c>
      <c r="U177" s="33">
        <f t="shared" si="94"/>
        <v>0</v>
      </c>
      <c r="V177" s="33">
        <f t="shared" si="81"/>
        <v>0</v>
      </c>
      <c r="W177" s="33">
        <v>0</v>
      </c>
      <c r="X177" s="33">
        <f t="shared" si="82"/>
        <v>0</v>
      </c>
      <c r="Y177" s="38">
        <f t="shared" si="83"/>
        <v>0</v>
      </c>
      <c r="AA177" s="71">
        <v>172</v>
      </c>
      <c r="AB177" s="33">
        <f t="shared" si="84"/>
        <v>0</v>
      </c>
      <c r="AC177" s="304">
        <f t="shared" si="105"/>
        <v>0</v>
      </c>
      <c r="AD177" s="100">
        <f t="shared" si="85"/>
        <v>0</v>
      </c>
      <c r="AE177" s="100">
        <f t="shared" si="86"/>
        <v>0</v>
      </c>
      <c r="AF177" s="193">
        <f t="shared" si="101"/>
        <v>0</v>
      </c>
      <c r="AG177" s="193">
        <f t="shared" si="102"/>
        <v>0</v>
      </c>
      <c r="AH177" s="193">
        <f t="shared" si="103"/>
        <v>0</v>
      </c>
      <c r="AI177" s="198">
        <f t="shared" si="104"/>
        <v>0</v>
      </c>
      <c r="AK177" s="71">
        <v>172</v>
      </c>
      <c r="AL177" s="33">
        <f t="shared" si="87"/>
        <v>0</v>
      </c>
      <c r="AM177" s="33">
        <f t="shared" si="88"/>
        <v>0</v>
      </c>
      <c r="AN177" s="33">
        <f t="shared" si="89"/>
        <v>0</v>
      </c>
      <c r="AO177" s="33">
        <f t="shared" si="90"/>
        <v>0</v>
      </c>
      <c r="AP177" s="33">
        <f t="shared" si="91"/>
        <v>0</v>
      </c>
      <c r="AQ177" s="193">
        <f t="shared" si="92"/>
        <v>0</v>
      </c>
      <c r="AR177" s="193">
        <f t="shared" si="92"/>
        <v>0</v>
      </c>
      <c r="AS177" s="193">
        <f t="shared" si="92"/>
        <v>0</v>
      </c>
      <c r="AT177" s="193">
        <f t="shared" si="77"/>
        <v>0</v>
      </c>
      <c r="AU177" s="33"/>
      <c r="AV177" s="33"/>
      <c r="AW177" s="33"/>
      <c r="AX177" s="33"/>
      <c r="AY177" s="76"/>
    </row>
    <row r="178" spans="3:51" ht="30">
      <c r="C178" s="165" t="s">
        <v>53</v>
      </c>
      <c r="D178" s="4">
        <v>0.46</v>
      </c>
      <c r="E178" s="187" t="s">
        <v>231</v>
      </c>
      <c r="F178" s="342">
        <f>IF(OR(Tableau145[[#This Row],[Type]]="Feuillus",Tableau145[[#This Row],[Type]]="Peupliers"),1.56,1.3)</f>
        <v>1.3</v>
      </c>
      <c r="I178" s="55">
        <v>173</v>
      </c>
      <c r="J178" s="33">
        <f t="shared" si="95"/>
        <v>0</v>
      </c>
      <c r="K178" s="33">
        <f t="shared" si="96"/>
        <v>0</v>
      </c>
      <c r="L178" s="33">
        <f t="shared" si="97"/>
        <v>0</v>
      </c>
      <c r="M178" s="33">
        <f t="shared" si="98"/>
        <v>0</v>
      </c>
      <c r="N178" s="33">
        <f t="shared" si="78"/>
        <v>0</v>
      </c>
      <c r="O178" s="34">
        <f t="shared" si="79"/>
        <v>0</v>
      </c>
      <c r="P178" s="55">
        <v>173</v>
      </c>
      <c r="Q178" s="33">
        <f t="shared" si="93"/>
        <v>0</v>
      </c>
      <c r="R178" s="33">
        <f t="shared" si="99"/>
        <v>0</v>
      </c>
      <c r="S178" s="33">
        <f t="shared" si="100"/>
        <v>0</v>
      </c>
      <c r="T178" s="33">
        <f t="shared" si="80"/>
        <v>0</v>
      </c>
      <c r="U178" s="33">
        <f t="shared" si="94"/>
        <v>0</v>
      </c>
      <c r="V178" s="33">
        <f t="shared" si="81"/>
        <v>0</v>
      </c>
      <c r="W178" s="33">
        <v>0</v>
      </c>
      <c r="X178" s="33">
        <f t="shared" si="82"/>
        <v>0</v>
      </c>
      <c r="Y178" s="38">
        <f t="shared" si="83"/>
        <v>0</v>
      </c>
      <c r="AA178" s="71">
        <v>173</v>
      </c>
      <c r="AB178" s="33">
        <f t="shared" si="84"/>
        <v>0</v>
      </c>
      <c r="AC178" s="304">
        <f t="shared" si="105"/>
        <v>0</v>
      </c>
      <c r="AD178" s="100">
        <f t="shared" si="85"/>
        <v>0</v>
      </c>
      <c r="AE178" s="100">
        <f t="shared" si="86"/>
        <v>0</v>
      </c>
      <c r="AF178" s="193">
        <f t="shared" si="101"/>
        <v>0</v>
      </c>
      <c r="AG178" s="193">
        <f t="shared" si="102"/>
        <v>0</v>
      </c>
      <c r="AH178" s="193">
        <f t="shared" si="103"/>
        <v>0</v>
      </c>
      <c r="AI178" s="198">
        <f t="shared" si="104"/>
        <v>0</v>
      </c>
      <c r="AK178" s="71">
        <v>173</v>
      </c>
      <c r="AL178" s="33">
        <f t="shared" si="87"/>
        <v>0</v>
      </c>
      <c r="AM178" s="33">
        <f t="shared" si="88"/>
        <v>0</v>
      </c>
      <c r="AN178" s="33">
        <f t="shared" si="89"/>
        <v>0</v>
      </c>
      <c r="AO178" s="33">
        <f t="shared" si="90"/>
        <v>0</v>
      </c>
      <c r="AP178" s="33">
        <f t="shared" si="91"/>
        <v>0</v>
      </c>
      <c r="AQ178" s="193">
        <f t="shared" si="92"/>
        <v>0</v>
      </c>
      <c r="AR178" s="193">
        <f t="shared" si="92"/>
        <v>0</v>
      </c>
      <c r="AS178" s="193">
        <f t="shared" si="92"/>
        <v>0</v>
      </c>
      <c r="AT178" s="193">
        <f t="shared" si="77"/>
        <v>0</v>
      </c>
      <c r="AU178" s="33"/>
      <c r="AV178" s="33"/>
      <c r="AW178" s="33"/>
      <c r="AX178" s="33"/>
      <c r="AY178" s="76"/>
    </row>
    <row r="179" spans="3:51">
      <c r="C179" s="165" t="s">
        <v>54</v>
      </c>
      <c r="D179" s="4">
        <v>0.44</v>
      </c>
      <c r="E179" s="187" t="s">
        <v>229</v>
      </c>
      <c r="F179" s="342">
        <f>IF(OR(Tableau145[[#This Row],[Type]]="Feuillus",Tableau145[[#This Row],[Type]]="Peupliers"),1.56,1.3)</f>
        <v>1.3</v>
      </c>
      <c r="I179" s="55">
        <v>174</v>
      </c>
      <c r="J179" s="33">
        <f t="shared" si="95"/>
        <v>0</v>
      </c>
      <c r="K179" s="33">
        <f t="shared" si="96"/>
        <v>0</v>
      </c>
      <c r="L179" s="33">
        <f t="shared" si="97"/>
        <v>0</v>
      </c>
      <c r="M179" s="33">
        <f t="shared" si="98"/>
        <v>0</v>
      </c>
      <c r="N179" s="33">
        <f t="shared" si="78"/>
        <v>0</v>
      </c>
      <c r="O179" s="34">
        <f t="shared" si="79"/>
        <v>0</v>
      </c>
      <c r="P179" s="55">
        <v>174</v>
      </c>
      <c r="Q179" s="33">
        <f t="shared" si="93"/>
        <v>0</v>
      </c>
      <c r="R179" s="33">
        <f t="shared" si="99"/>
        <v>0</v>
      </c>
      <c r="S179" s="33">
        <f t="shared" si="100"/>
        <v>0</v>
      </c>
      <c r="T179" s="33">
        <f t="shared" si="80"/>
        <v>0</v>
      </c>
      <c r="U179" s="33">
        <f t="shared" si="94"/>
        <v>0</v>
      </c>
      <c r="V179" s="33">
        <f t="shared" si="81"/>
        <v>0</v>
      </c>
      <c r="W179" s="33">
        <v>0</v>
      </c>
      <c r="X179" s="33">
        <f t="shared" si="82"/>
        <v>0</v>
      </c>
      <c r="Y179" s="38">
        <f t="shared" si="83"/>
        <v>0</v>
      </c>
      <c r="AA179" s="71">
        <v>174</v>
      </c>
      <c r="AB179" s="33">
        <f t="shared" si="84"/>
        <v>0</v>
      </c>
      <c r="AC179" s="304">
        <f t="shared" si="105"/>
        <v>0</v>
      </c>
      <c r="AD179" s="100">
        <f t="shared" si="85"/>
        <v>0</v>
      </c>
      <c r="AE179" s="100">
        <f t="shared" si="86"/>
        <v>0</v>
      </c>
      <c r="AF179" s="193">
        <f t="shared" si="101"/>
        <v>0</v>
      </c>
      <c r="AG179" s="193">
        <f t="shared" si="102"/>
        <v>0</v>
      </c>
      <c r="AH179" s="193">
        <f t="shared" si="103"/>
        <v>0</v>
      </c>
      <c r="AI179" s="198">
        <f t="shared" si="104"/>
        <v>0</v>
      </c>
      <c r="AK179" s="71">
        <v>174</v>
      </c>
      <c r="AL179" s="33">
        <f t="shared" si="87"/>
        <v>0</v>
      </c>
      <c r="AM179" s="33">
        <f t="shared" si="88"/>
        <v>0</v>
      </c>
      <c r="AN179" s="33">
        <f t="shared" si="89"/>
        <v>0</v>
      </c>
      <c r="AO179" s="33">
        <f t="shared" si="90"/>
        <v>0</v>
      </c>
      <c r="AP179" s="33">
        <f t="shared" si="91"/>
        <v>0</v>
      </c>
      <c r="AQ179" s="193">
        <f t="shared" si="92"/>
        <v>0</v>
      </c>
      <c r="AR179" s="193">
        <f t="shared" si="92"/>
        <v>0</v>
      </c>
      <c r="AS179" s="193">
        <f t="shared" si="92"/>
        <v>0</v>
      </c>
      <c r="AT179" s="193">
        <f t="shared" si="77"/>
        <v>0</v>
      </c>
      <c r="AU179" s="33"/>
      <c r="AV179" s="33"/>
      <c r="AW179" s="33"/>
      <c r="AX179" s="33"/>
      <c r="AY179" s="76"/>
    </row>
    <row r="180" spans="3:51">
      <c r="C180" s="165" t="s">
        <v>55</v>
      </c>
      <c r="D180" s="4">
        <v>0.46</v>
      </c>
      <c r="E180" s="187" t="s">
        <v>229</v>
      </c>
      <c r="F180" s="342">
        <f>IF(OR(Tableau145[[#This Row],[Type]]="Feuillus",Tableau145[[#This Row],[Type]]="Peupliers"),1.56,1.3)</f>
        <v>1.3</v>
      </c>
      <c r="I180" s="55">
        <v>175</v>
      </c>
      <c r="J180" s="33">
        <f t="shared" si="95"/>
        <v>0</v>
      </c>
      <c r="K180" s="33">
        <f t="shared" si="96"/>
        <v>0</v>
      </c>
      <c r="L180" s="33">
        <f t="shared" si="97"/>
        <v>0</v>
      </c>
      <c r="M180" s="33">
        <f t="shared" si="98"/>
        <v>0</v>
      </c>
      <c r="N180" s="33">
        <f t="shared" si="78"/>
        <v>0</v>
      </c>
      <c r="O180" s="34">
        <f t="shared" si="79"/>
        <v>0</v>
      </c>
      <c r="P180" s="55">
        <v>175</v>
      </c>
      <c r="Q180" s="33">
        <f t="shared" si="93"/>
        <v>0</v>
      </c>
      <c r="R180" s="33">
        <f t="shared" si="99"/>
        <v>0</v>
      </c>
      <c r="S180" s="33">
        <f t="shared" si="100"/>
        <v>0</v>
      </c>
      <c r="T180" s="33">
        <f t="shared" si="80"/>
        <v>0</v>
      </c>
      <c r="U180" s="33">
        <f t="shared" si="94"/>
        <v>0</v>
      </c>
      <c r="V180" s="33">
        <f t="shared" si="81"/>
        <v>0</v>
      </c>
      <c r="W180" s="33">
        <v>0</v>
      </c>
      <c r="X180" s="33">
        <f t="shared" si="82"/>
        <v>0</v>
      </c>
      <c r="Y180" s="38">
        <f t="shared" si="83"/>
        <v>0</v>
      </c>
      <c r="AA180" s="71">
        <v>175</v>
      </c>
      <c r="AB180" s="33">
        <f t="shared" si="84"/>
        <v>0</v>
      </c>
      <c r="AC180" s="304">
        <f t="shared" si="105"/>
        <v>0</v>
      </c>
      <c r="AD180" s="100">
        <f t="shared" si="85"/>
        <v>0</v>
      </c>
      <c r="AE180" s="100">
        <f t="shared" si="86"/>
        <v>0</v>
      </c>
      <c r="AF180" s="193">
        <f t="shared" si="101"/>
        <v>0</v>
      </c>
      <c r="AG180" s="193">
        <f t="shared" si="102"/>
        <v>0</v>
      </c>
      <c r="AH180" s="193">
        <f t="shared" si="103"/>
        <v>0</v>
      </c>
      <c r="AI180" s="198">
        <f t="shared" si="104"/>
        <v>0</v>
      </c>
      <c r="AK180" s="71">
        <v>175</v>
      </c>
      <c r="AL180" s="33">
        <f t="shared" si="87"/>
        <v>0</v>
      </c>
      <c r="AM180" s="33">
        <f t="shared" si="88"/>
        <v>0</v>
      </c>
      <c r="AN180" s="33">
        <f t="shared" si="89"/>
        <v>0</v>
      </c>
      <c r="AO180" s="33">
        <f t="shared" si="90"/>
        <v>0</v>
      </c>
      <c r="AP180" s="33">
        <f t="shared" si="91"/>
        <v>0</v>
      </c>
      <c r="AQ180" s="193">
        <f t="shared" si="92"/>
        <v>0</v>
      </c>
      <c r="AR180" s="193">
        <f t="shared" si="92"/>
        <v>0</v>
      </c>
      <c r="AS180" s="193">
        <f t="shared" si="92"/>
        <v>0</v>
      </c>
      <c r="AT180" s="193">
        <f t="shared" si="77"/>
        <v>0</v>
      </c>
      <c r="AU180" s="33"/>
      <c r="AV180" s="33"/>
      <c r="AW180" s="33"/>
      <c r="AX180" s="33"/>
      <c r="AY180" s="76"/>
    </row>
    <row r="181" spans="3:51">
      <c r="C181" s="165" t="s">
        <v>56</v>
      </c>
      <c r="D181" s="4">
        <v>0.48</v>
      </c>
      <c r="E181" s="187" t="s">
        <v>229</v>
      </c>
      <c r="F181" s="342">
        <f>IF(OR(Tableau145[[#This Row],[Type]]="Feuillus",Tableau145[[#This Row],[Type]]="Peupliers"),1.56,1.3)</f>
        <v>1.3</v>
      </c>
      <c r="I181" s="55">
        <v>176</v>
      </c>
      <c r="J181" s="33">
        <f t="shared" si="95"/>
        <v>0</v>
      </c>
      <c r="K181" s="33">
        <f t="shared" si="96"/>
        <v>0</v>
      </c>
      <c r="L181" s="33">
        <f t="shared" si="97"/>
        <v>0</v>
      </c>
      <c r="M181" s="33">
        <f t="shared" si="98"/>
        <v>0</v>
      </c>
      <c r="N181" s="33">
        <f t="shared" si="78"/>
        <v>0</v>
      </c>
      <c r="O181" s="34">
        <f t="shared" si="79"/>
        <v>0</v>
      </c>
      <c r="P181" s="55">
        <v>176</v>
      </c>
      <c r="Q181" s="33">
        <f t="shared" si="93"/>
        <v>0</v>
      </c>
      <c r="R181" s="33">
        <f t="shared" si="99"/>
        <v>0</v>
      </c>
      <c r="S181" s="33">
        <f t="shared" si="100"/>
        <v>0</v>
      </c>
      <c r="T181" s="33">
        <f t="shared" si="80"/>
        <v>0</v>
      </c>
      <c r="U181" s="33">
        <f t="shared" si="94"/>
        <v>0</v>
      </c>
      <c r="V181" s="33">
        <f t="shared" si="81"/>
        <v>0</v>
      </c>
      <c r="W181" s="33">
        <v>0</v>
      </c>
      <c r="X181" s="33">
        <f t="shared" si="82"/>
        <v>0</v>
      </c>
      <c r="Y181" s="38">
        <f t="shared" si="83"/>
        <v>0</v>
      </c>
      <c r="AA181" s="71">
        <v>176</v>
      </c>
      <c r="AB181" s="33">
        <f t="shared" si="84"/>
        <v>0</v>
      </c>
      <c r="AC181" s="304">
        <f t="shared" si="105"/>
        <v>0</v>
      </c>
      <c r="AD181" s="100">
        <f t="shared" si="85"/>
        <v>0</v>
      </c>
      <c r="AE181" s="100">
        <f t="shared" si="86"/>
        <v>0</v>
      </c>
      <c r="AF181" s="193">
        <f t="shared" si="101"/>
        <v>0</v>
      </c>
      <c r="AG181" s="193">
        <f t="shared" si="102"/>
        <v>0</v>
      </c>
      <c r="AH181" s="193">
        <f t="shared" si="103"/>
        <v>0</v>
      </c>
      <c r="AI181" s="198">
        <f t="shared" si="104"/>
        <v>0</v>
      </c>
      <c r="AK181" s="71">
        <v>176</v>
      </c>
      <c r="AL181" s="33">
        <f t="shared" si="87"/>
        <v>0</v>
      </c>
      <c r="AM181" s="33">
        <f t="shared" si="88"/>
        <v>0</v>
      </c>
      <c r="AN181" s="33">
        <f t="shared" si="89"/>
        <v>0</v>
      </c>
      <c r="AO181" s="33">
        <f t="shared" si="90"/>
        <v>0</v>
      </c>
      <c r="AP181" s="33">
        <f t="shared" si="91"/>
        <v>0</v>
      </c>
      <c r="AQ181" s="193">
        <f t="shared" si="92"/>
        <v>0</v>
      </c>
      <c r="AR181" s="193">
        <f t="shared" si="92"/>
        <v>0</v>
      </c>
      <c r="AS181" s="193">
        <f t="shared" si="92"/>
        <v>0</v>
      </c>
      <c r="AT181" s="193">
        <f t="shared" si="77"/>
        <v>0</v>
      </c>
      <c r="AU181" s="33"/>
      <c r="AV181" s="33"/>
      <c r="AW181" s="33"/>
      <c r="AX181" s="33"/>
      <c r="AY181" s="76"/>
    </row>
    <row r="182" spans="3:51">
      <c r="C182" s="165" t="s">
        <v>57</v>
      </c>
      <c r="D182" s="4">
        <v>0.44</v>
      </c>
      <c r="E182" s="187" t="s">
        <v>229</v>
      </c>
      <c r="F182" s="342">
        <f>IF(OR(Tableau145[[#This Row],[Type]]="Feuillus",Tableau145[[#This Row],[Type]]="Peupliers"),1.56,1.3)</f>
        <v>1.3</v>
      </c>
      <c r="I182" s="55">
        <v>177</v>
      </c>
      <c r="J182" s="33">
        <f t="shared" si="95"/>
        <v>0</v>
      </c>
      <c r="K182" s="33">
        <f t="shared" si="96"/>
        <v>0</v>
      </c>
      <c r="L182" s="33">
        <f t="shared" si="97"/>
        <v>0</v>
      </c>
      <c r="M182" s="33">
        <f t="shared" si="98"/>
        <v>0</v>
      </c>
      <c r="N182" s="33">
        <f t="shared" si="78"/>
        <v>0</v>
      </c>
      <c r="O182" s="34">
        <f t="shared" si="79"/>
        <v>0</v>
      </c>
      <c r="P182" s="55">
        <v>177</v>
      </c>
      <c r="Q182" s="33">
        <f t="shared" si="93"/>
        <v>0</v>
      </c>
      <c r="R182" s="33">
        <f t="shared" si="99"/>
        <v>0</v>
      </c>
      <c r="S182" s="33">
        <f t="shared" si="100"/>
        <v>0</v>
      </c>
      <c r="T182" s="33">
        <f t="shared" si="80"/>
        <v>0</v>
      </c>
      <c r="U182" s="33">
        <f t="shared" si="94"/>
        <v>0</v>
      </c>
      <c r="V182" s="33">
        <f t="shared" si="81"/>
        <v>0</v>
      </c>
      <c r="W182" s="33">
        <v>0</v>
      </c>
      <c r="X182" s="33">
        <f t="shared" si="82"/>
        <v>0</v>
      </c>
      <c r="Y182" s="38">
        <f t="shared" si="83"/>
        <v>0</v>
      </c>
      <c r="AA182" s="71">
        <v>177</v>
      </c>
      <c r="AB182" s="33">
        <f t="shared" si="84"/>
        <v>0</v>
      </c>
      <c r="AC182" s="304">
        <f t="shared" si="105"/>
        <v>0</v>
      </c>
      <c r="AD182" s="100">
        <f t="shared" si="85"/>
        <v>0</v>
      </c>
      <c r="AE182" s="100">
        <f t="shared" si="86"/>
        <v>0</v>
      </c>
      <c r="AF182" s="193">
        <f t="shared" si="101"/>
        <v>0</v>
      </c>
      <c r="AG182" s="193">
        <f t="shared" si="102"/>
        <v>0</v>
      </c>
      <c r="AH182" s="193">
        <f t="shared" si="103"/>
        <v>0</v>
      </c>
      <c r="AI182" s="198">
        <f t="shared" si="104"/>
        <v>0</v>
      </c>
      <c r="AK182" s="71">
        <v>177</v>
      </c>
      <c r="AL182" s="33">
        <f t="shared" si="87"/>
        <v>0</v>
      </c>
      <c r="AM182" s="33">
        <f t="shared" si="88"/>
        <v>0</v>
      </c>
      <c r="AN182" s="33">
        <f t="shared" si="89"/>
        <v>0</v>
      </c>
      <c r="AO182" s="33">
        <f t="shared" si="90"/>
        <v>0</v>
      </c>
      <c r="AP182" s="33">
        <f t="shared" si="91"/>
        <v>0</v>
      </c>
      <c r="AQ182" s="193">
        <f t="shared" si="92"/>
        <v>0</v>
      </c>
      <c r="AR182" s="193">
        <f t="shared" si="92"/>
        <v>0</v>
      </c>
      <c r="AS182" s="193">
        <f t="shared" si="92"/>
        <v>0</v>
      </c>
      <c r="AT182" s="193">
        <f t="shared" si="77"/>
        <v>0</v>
      </c>
      <c r="AU182" s="33"/>
      <c r="AV182" s="33"/>
      <c r="AW182" s="33"/>
      <c r="AX182" s="33"/>
      <c r="AY182" s="76"/>
    </row>
    <row r="183" spans="3:51">
      <c r="C183" s="165" t="s">
        <v>58</v>
      </c>
      <c r="D183" s="4">
        <v>0.34</v>
      </c>
      <c r="E183" s="187" t="s">
        <v>229</v>
      </c>
      <c r="F183" s="342">
        <f>IF(OR(Tableau145[[#This Row],[Type]]="Feuillus",Tableau145[[#This Row],[Type]]="Peupliers"),1.56,1.3)</f>
        <v>1.3</v>
      </c>
      <c r="I183" s="55">
        <v>178</v>
      </c>
      <c r="J183" s="33">
        <f t="shared" si="95"/>
        <v>0</v>
      </c>
      <c r="K183" s="33">
        <f t="shared" si="96"/>
        <v>0</v>
      </c>
      <c r="L183" s="33">
        <f t="shared" si="97"/>
        <v>0</v>
      </c>
      <c r="M183" s="33">
        <f t="shared" si="98"/>
        <v>0</v>
      </c>
      <c r="N183" s="33">
        <f t="shared" si="78"/>
        <v>0</v>
      </c>
      <c r="O183" s="34">
        <f t="shared" si="79"/>
        <v>0</v>
      </c>
      <c r="P183" s="55">
        <v>178</v>
      </c>
      <c r="Q183" s="33">
        <f t="shared" si="93"/>
        <v>0</v>
      </c>
      <c r="R183" s="33">
        <f t="shared" si="99"/>
        <v>0</v>
      </c>
      <c r="S183" s="33">
        <f t="shared" si="100"/>
        <v>0</v>
      </c>
      <c r="T183" s="33">
        <f t="shared" si="80"/>
        <v>0</v>
      </c>
      <c r="U183" s="33">
        <f t="shared" si="94"/>
        <v>0</v>
      </c>
      <c r="V183" s="33">
        <f t="shared" si="81"/>
        <v>0</v>
      </c>
      <c r="W183" s="33">
        <v>0</v>
      </c>
      <c r="X183" s="33">
        <f t="shared" si="82"/>
        <v>0</v>
      </c>
      <c r="Y183" s="38">
        <f t="shared" si="83"/>
        <v>0</v>
      </c>
      <c r="AA183" s="71">
        <v>178</v>
      </c>
      <c r="AB183" s="33">
        <f t="shared" si="84"/>
        <v>0</v>
      </c>
      <c r="AC183" s="304">
        <f t="shared" si="105"/>
        <v>0</v>
      </c>
      <c r="AD183" s="100">
        <f t="shared" si="85"/>
        <v>0</v>
      </c>
      <c r="AE183" s="100">
        <f t="shared" si="86"/>
        <v>0</v>
      </c>
      <c r="AF183" s="193">
        <f t="shared" si="101"/>
        <v>0</v>
      </c>
      <c r="AG183" s="193">
        <f t="shared" si="102"/>
        <v>0</v>
      </c>
      <c r="AH183" s="193">
        <f t="shared" si="103"/>
        <v>0</v>
      </c>
      <c r="AI183" s="198">
        <f t="shared" si="104"/>
        <v>0</v>
      </c>
      <c r="AK183" s="71">
        <v>178</v>
      </c>
      <c r="AL183" s="33">
        <f t="shared" si="87"/>
        <v>0</v>
      </c>
      <c r="AM183" s="33">
        <f t="shared" si="88"/>
        <v>0</v>
      </c>
      <c r="AN183" s="33">
        <f t="shared" si="89"/>
        <v>0</v>
      </c>
      <c r="AO183" s="33">
        <f t="shared" si="90"/>
        <v>0</v>
      </c>
      <c r="AP183" s="33">
        <f t="shared" si="91"/>
        <v>0</v>
      </c>
      <c r="AQ183" s="193">
        <f t="shared" si="92"/>
        <v>0</v>
      </c>
      <c r="AR183" s="193">
        <f t="shared" si="92"/>
        <v>0</v>
      </c>
      <c r="AS183" s="193">
        <f t="shared" si="92"/>
        <v>0</v>
      </c>
      <c r="AT183" s="193">
        <f t="shared" si="77"/>
        <v>0</v>
      </c>
      <c r="AU183" s="33"/>
      <c r="AV183" s="33"/>
      <c r="AW183" s="33"/>
      <c r="AX183" s="33"/>
      <c r="AY183" s="76"/>
    </row>
    <row r="184" spans="3:51">
      <c r="C184" s="165" t="s">
        <v>59</v>
      </c>
      <c r="D184" s="4">
        <v>0.5</v>
      </c>
      <c r="E184" s="187" t="s">
        <v>228</v>
      </c>
      <c r="F184" s="342">
        <f>IF(OR(Tableau145[[#This Row],[Type]]="Feuillus",Tableau145[[#This Row],[Type]]="Peupliers"),1.56,1.3)</f>
        <v>1.56</v>
      </c>
      <c r="I184" s="55">
        <v>179</v>
      </c>
      <c r="J184" s="33">
        <f t="shared" si="95"/>
        <v>0</v>
      </c>
      <c r="K184" s="33">
        <f t="shared" si="96"/>
        <v>0</v>
      </c>
      <c r="L184" s="33">
        <f t="shared" si="97"/>
        <v>0</v>
      </c>
      <c r="M184" s="33">
        <f t="shared" si="98"/>
        <v>0</v>
      </c>
      <c r="N184" s="33">
        <f t="shared" si="78"/>
        <v>0</v>
      </c>
      <c r="O184" s="34">
        <f t="shared" si="79"/>
        <v>0</v>
      </c>
      <c r="P184" s="55">
        <v>179</v>
      </c>
      <c r="Q184" s="33">
        <f t="shared" si="93"/>
        <v>0</v>
      </c>
      <c r="R184" s="33">
        <f t="shared" si="99"/>
        <v>0</v>
      </c>
      <c r="S184" s="33">
        <f t="shared" si="100"/>
        <v>0</v>
      </c>
      <c r="T184" s="33">
        <f t="shared" si="80"/>
        <v>0</v>
      </c>
      <c r="U184" s="33">
        <f t="shared" si="94"/>
        <v>0</v>
      </c>
      <c r="V184" s="33">
        <f t="shared" si="81"/>
        <v>0</v>
      </c>
      <c r="W184" s="33">
        <v>0</v>
      </c>
      <c r="X184" s="33">
        <f t="shared" si="82"/>
        <v>0</v>
      </c>
      <c r="Y184" s="38">
        <f t="shared" si="83"/>
        <v>0</v>
      </c>
      <c r="AA184" s="71">
        <v>179</v>
      </c>
      <c r="AB184" s="33">
        <f t="shared" si="84"/>
        <v>0</v>
      </c>
      <c r="AC184" s="304">
        <f t="shared" si="105"/>
        <v>0</v>
      </c>
      <c r="AD184" s="100">
        <f t="shared" si="85"/>
        <v>0</v>
      </c>
      <c r="AE184" s="100">
        <f t="shared" si="86"/>
        <v>0</v>
      </c>
      <c r="AF184" s="193">
        <f t="shared" si="101"/>
        <v>0</v>
      </c>
      <c r="AG184" s="193">
        <f t="shared" si="102"/>
        <v>0</v>
      </c>
      <c r="AH184" s="193">
        <f t="shared" si="103"/>
        <v>0</v>
      </c>
      <c r="AI184" s="198">
        <f t="shared" si="104"/>
        <v>0</v>
      </c>
      <c r="AK184" s="71">
        <v>179</v>
      </c>
      <c r="AL184" s="33">
        <f t="shared" si="87"/>
        <v>0</v>
      </c>
      <c r="AM184" s="33">
        <f t="shared" si="88"/>
        <v>0</v>
      </c>
      <c r="AN184" s="33">
        <f t="shared" si="89"/>
        <v>0</v>
      </c>
      <c r="AO184" s="33">
        <f t="shared" si="90"/>
        <v>0</v>
      </c>
      <c r="AP184" s="33">
        <f t="shared" si="91"/>
        <v>0</v>
      </c>
      <c r="AQ184" s="193">
        <f t="shared" si="92"/>
        <v>0</v>
      </c>
      <c r="AR184" s="193">
        <f t="shared" si="92"/>
        <v>0</v>
      </c>
      <c r="AS184" s="193">
        <f t="shared" si="92"/>
        <v>0</v>
      </c>
      <c r="AT184" s="193">
        <f t="shared" si="77"/>
        <v>0</v>
      </c>
      <c r="AU184" s="33"/>
      <c r="AV184" s="33"/>
      <c r="AW184" s="33"/>
      <c r="AX184" s="33"/>
      <c r="AY184" s="76"/>
    </row>
    <row r="185" spans="3:51">
      <c r="C185" s="165" t="s">
        <v>60</v>
      </c>
      <c r="D185" s="4">
        <v>0.57999999999999996</v>
      </c>
      <c r="E185" s="187" t="s">
        <v>228</v>
      </c>
      <c r="F185" s="342">
        <f>IF(OR(Tableau145[[#This Row],[Type]]="Feuillus",Tableau145[[#This Row],[Type]]="Peupliers"),1.56,1.3)</f>
        <v>1.56</v>
      </c>
      <c r="I185" s="55">
        <v>180</v>
      </c>
      <c r="J185" s="33">
        <f t="shared" si="95"/>
        <v>0</v>
      </c>
      <c r="K185" s="33">
        <f t="shared" si="96"/>
        <v>0</v>
      </c>
      <c r="L185" s="33">
        <f t="shared" si="97"/>
        <v>0</v>
      </c>
      <c r="M185" s="33">
        <f t="shared" si="98"/>
        <v>0</v>
      </c>
      <c r="N185" s="33">
        <f t="shared" si="78"/>
        <v>0</v>
      </c>
      <c r="O185" s="34">
        <f t="shared" si="79"/>
        <v>0</v>
      </c>
      <c r="P185" s="55">
        <v>180</v>
      </c>
      <c r="Q185" s="33">
        <f t="shared" si="93"/>
        <v>0</v>
      </c>
      <c r="R185" s="33">
        <f t="shared" si="99"/>
        <v>0</v>
      </c>
      <c r="S185" s="33">
        <f t="shared" si="100"/>
        <v>0</v>
      </c>
      <c r="T185" s="33">
        <f t="shared" si="80"/>
        <v>0</v>
      </c>
      <c r="U185" s="33">
        <f t="shared" si="94"/>
        <v>0</v>
      </c>
      <c r="V185" s="33">
        <f t="shared" si="81"/>
        <v>0</v>
      </c>
      <c r="W185" s="33">
        <v>0</v>
      </c>
      <c r="X185" s="33">
        <f t="shared" si="82"/>
        <v>0</v>
      </c>
      <c r="Y185" s="38">
        <f t="shared" si="83"/>
        <v>0</v>
      </c>
      <c r="AA185" s="71">
        <v>180</v>
      </c>
      <c r="AB185" s="33">
        <f t="shared" si="84"/>
        <v>0</v>
      </c>
      <c r="AC185" s="304">
        <f t="shared" si="105"/>
        <v>0</v>
      </c>
      <c r="AD185" s="100">
        <f t="shared" si="85"/>
        <v>0</v>
      </c>
      <c r="AE185" s="100">
        <f t="shared" si="86"/>
        <v>0</v>
      </c>
      <c r="AF185" s="193">
        <f t="shared" si="101"/>
        <v>0</v>
      </c>
      <c r="AG185" s="193">
        <f t="shared" si="102"/>
        <v>0</v>
      </c>
      <c r="AH185" s="193">
        <f t="shared" si="103"/>
        <v>0</v>
      </c>
      <c r="AI185" s="198">
        <f t="shared" si="104"/>
        <v>0</v>
      </c>
      <c r="AK185" s="71">
        <v>180</v>
      </c>
      <c r="AL185" s="33">
        <f t="shared" si="87"/>
        <v>0</v>
      </c>
      <c r="AM185" s="33">
        <f t="shared" si="88"/>
        <v>0</v>
      </c>
      <c r="AN185" s="33">
        <f t="shared" si="89"/>
        <v>0</v>
      </c>
      <c r="AO185" s="33">
        <f t="shared" si="90"/>
        <v>0</v>
      </c>
      <c r="AP185" s="33">
        <f t="shared" si="91"/>
        <v>0</v>
      </c>
      <c r="AQ185" s="193">
        <f t="shared" si="92"/>
        <v>0</v>
      </c>
      <c r="AR185" s="193">
        <f t="shared" si="92"/>
        <v>0</v>
      </c>
      <c r="AS185" s="193">
        <f t="shared" si="92"/>
        <v>0</v>
      </c>
      <c r="AT185" s="193">
        <f t="shared" si="77"/>
        <v>0</v>
      </c>
      <c r="AU185" s="33"/>
      <c r="AV185" s="33"/>
      <c r="AW185" s="33"/>
      <c r="AX185" s="33"/>
      <c r="AY185" s="76"/>
    </row>
    <row r="186" spans="3:51">
      <c r="C186" s="165" t="s">
        <v>61</v>
      </c>
      <c r="D186" s="4">
        <v>0.37</v>
      </c>
      <c r="E186" s="187" t="s">
        <v>229</v>
      </c>
      <c r="F186" s="342">
        <f>IF(OR(Tableau145[[#This Row],[Type]]="Feuillus",Tableau145[[#This Row],[Type]]="Peupliers"),1.56,1.3)</f>
        <v>1.3</v>
      </c>
      <c r="I186" s="55">
        <v>181</v>
      </c>
      <c r="J186" s="33">
        <f t="shared" si="95"/>
        <v>0</v>
      </c>
      <c r="K186" s="33">
        <f t="shared" si="96"/>
        <v>0</v>
      </c>
      <c r="L186" s="33">
        <f t="shared" si="97"/>
        <v>0</v>
      </c>
      <c r="M186" s="33">
        <f t="shared" si="98"/>
        <v>0</v>
      </c>
      <c r="N186" s="33">
        <f t="shared" si="78"/>
        <v>0</v>
      </c>
      <c r="O186" s="34">
        <f t="shared" si="79"/>
        <v>0</v>
      </c>
      <c r="P186" s="55">
        <v>181</v>
      </c>
      <c r="Q186" s="33">
        <f t="shared" si="93"/>
        <v>0</v>
      </c>
      <c r="R186" s="33">
        <f t="shared" si="99"/>
        <v>0</v>
      </c>
      <c r="S186" s="33">
        <f t="shared" si="100"/>
        <v>0</v>
      </c>
      <c r="T186" s="33">
        <f t="shared" si="80"/>
        <v>0</v>
      </c>
      <c r="U186" s="33">
        <f t="shared" si="94"/>
        <v>0</v>
      </c>
      <c r="V186" s="33">
        <f t="shared" si="81"/>
        <v>0</v>
      </c>
      <c r="W186" s="33">
        <v>0</v>
      </c>
      <c r="X186" s="33">
        <f t="shared" si="82"/>
        <v>0</v>
      </c>
      <c r="Y186" s="38">
        <f t="shared" si="83"/>
        <v>0</v>
      </c>
      <c r="AA186" s="71">
        <v>181</v>
      </c>
      <c r="AB186" s="33">
        <f t="shared" si="84"/>
        <v>0</v>
      </c>
      <c r="AC186" s="304">
        <f t="shared" si="105"/>
        <v>0</v>
      </c>
      <c r="AD186" s="100">
        <f t="shared" si="85"/>
        <v>0</v>
      </c>
      <c r="AE186" s="100">
        <f t="shared" si="86"/>
        <v>0</v>
      </c>
      <c r="AF186" s="193">
        <f t="shared" si="101"/>
        <v>0</v>
      </c>
      <c r="AG186" s="193">
        <f t="shared" si="102"/>
        <v>0</v>
      </c>
      <c r="AH186" s="193">
        <f t="shared" si="103"/>
        <v>0</v>
      </c>
      <c r="AI186" s="198">
        <f t="shared" si="104"/>
        <v>0</v>
      </c>
      <c r="AK186" s="71">
        <v>181</v>
      </c>
      <c r="AL186" s="33">
        <f t="shared" si="87"/>
        <v>0</v>
      </c>
      <c r="AM186" s="33">
        <f t="shared" si="88"/>
        <v>0</v>
      </c>
      <c r="AN186" s="33">
        <f t="shared" si="89"/>
        <v>0</v>
      </c>
      <c r="AO186" s="33">
        <f t="shared" si="90"/>
        <v>0</v>
      </c>
      <c r="AP186" s="33">
        <f t="shared" si="91"/>
        <v>0</v>
      </c>
      <c r="AQ186" s="193">
        <f t="shared" si="92"/>
        <v>0</v>
      </c>
      <c r="AR186" s="193">
        <f t="shared" si="92"/>
        <v>0</v>
      </c>
      <c r="AS186" s="193">
        <f t="shared" si="92"/>
        <v>0</v>
      </c>
      <c r="AT186" s="193">
        <f t="shared" si="77"/>
        <v>0</v>
      </c>
      <c r="AU186" s="33"/>
      <c r="AV186" s="33"/>
      <c r="AW186" s="33"/>
      <c r="AX186" s="33"/>
      <c r="AY186" s="76"/>
    </row>
    <row r="187" spans="3:51">
      <c r="C187" s="165" t="s">
        <v>62</v>
      </c>
      <c r="D187" s="4">
        <v>0.37</v>
      </c>
      <c r="E187" s="187" t="s">
        <v>229</v>
      </c>
      <c r="F187" s="342">
        <f>IF(OR(Tableau145[[#This Row],[Type]]="Feuillus",Tableau145[[#This Row],[Type]]="Peupliers"),1.56,1.3)</f>
        <v>1.3</v>
      </c>
      <c r="I187" s="55">
        <v>182</v>
      </c>
      <c r="J187" s="33">
        <f t="shared" si="95"/>
        <v>0</v>
      </c>
      <c r="K187" s="33">
        <f t="shared" si="96"/>
        <v>0</v>
      </c>
      <c r="L187" s="33">
        <f t="shared" si="97"/>
        <v>0</v>
      </c>
      <c r="M187" s="33">
        <f t="shared" si="98"/>
        <v>0</v>
      </c>
      <c r="N187" s="33">
        <f t="shared" si="78"/>
        <v>0</v>
      </c>
      <c r="O187" s="34">
        <f t="shared" si="79"/>
        <v>0</v>
      </c>
      <c r="P187" s="55">
        <v>182</v>
      </c>
      <c r="Q187" s="33">
        <f t="shared" si="93"/>
        <v>0</v>
      </c>
      <c r="R187" s="33">
        <f t="shared" si="99"/>
        <v>0</v>
      </c>
      <c r="S187" s="33">
        <f t="shared" si="100"/>
        <v>0</v>
      </c>
      <c r="T187" s="33">
        <f t="shared" si="80"/>
        <v>0</v>
      </c>
      <c r="U187" s="33">
        <f t="shared" si="94"/>
        <v>0</v>
      </c>
      <c r="V187" s="33">
        <f t="shared" si="81"/>
        <v>0</v>
      </c>
      <c r="W187" s="33">
        <v>0</v>
      </c>
      <c r="X187" s="33">
        <f t="shared" si="82"/>
        <v>0</v>
      </c>
      <c r="Y187" s="38">
        <f t="shared" si="83"/>
        <v>0</v>
      </c>
      <c r="AA187" s="71">
        <v>182</v>
      </c>
      <c r="AB187" s="33">
        <f t="shared" si="84"/>
        <v>0</v>
      </c>
      <c r="AC187" s="304">
        <f t="shared" si="105"/>
        <v>0</v>
      </c>
      <c r="AD187" s="100">
        <f t="shared" si="85"/>
        <v>0</v>
      </c>
      <c r="AE187" s="100">
        <f t="shared" si="86"/>
        <v>0</v>
      </c>
      <c r="AF187" s="193">
        <f t="shared" si="101"/>
        <v>0</v>
      </c>
      <c r="AG187" s="193">
        <f t="shared" si="102"/>
        <v>0</v>
      </c>
      <c r="AH187" s="193">
        <f t="shared" si="103"/>
        <v>0</v>
      </c>
      <c r="AI187" s="198">
        <f t="shared" si="104"/>
        <v>0</v>
      </c>
      <c r="AK187" s="71">
        <v>182</v>
      </c>
      <c r="AL187" s="33">
        <f t="shared" si="87"/>
        <v>0</v>
      </c>
      <c r="AM187" s="33">
        <f t="shared" si="88"/>
        <v>0</v>
      </c>
      <c r="AN187" s="33">
        <f t="shared" si="89"/>
        <v>0</v>
      </c>
      <c r="AO187" s="33">
        <f t="shared" si="90"/>
        <v>0</v>
      </c>
      <c r="AP187" s="33">
        <f t="shared" si="91"/>
        <v>0</v>
      </c>
      <c r="AQ187" s="193">
        <f t="shared" si="92"/>
        <v>0</v>
      </c>
      <c r="AR187" s="193">
        <f t="shared" si="92"/>
        <v>0</v>
      </c>
      <c r="AS187" s="193">
        <f t="shared" si="92"/>
        <v>0</v>
      </c>
      <c r="AT187" s="193">
        <f t="shared" si="77"/>
        <v>0</v>
      </c>
      <c r="AU187" s="33"/>
      <c r="AV187" s="33"/>
      <c r="AW187" s="33"/>
      <c r="AX187" s="33"/>
      <c r="AY187" s="76"/>
    </row>
    <row r="188" spans="3:51">
      <c r="C188" s="165" t="s">
        <v>63</v>
      </c>
      <c r="D188" s="4">
        <v>0.38</v>
      </c>
      <c r="E188" s="187" t="s">
        <v>229</v>
      </c>
      <c r="F188" s="342">
        <f>IF(OR(Tableau145[[#This Row],[Type]]="Feuillus",Tableau145[[#This Row],[Type]]="Peupliers"),1.56,1.3)</f>
        <v>1.3</v>
      </c>
      <c r="I188" s="55">
        <v>183</v>
      </c>
      <c r="J188" s="33">
        <f t="shared" si="95"/>
        <v>0</v>
      </c>
      <c r="K188" s="33">
        <f t="shared" si="96"/>
        <v>0</v>
      </c>
      <c r="L188" s="33">
        <f t="shared" si="97"/>
        <v>0</v>
      </c>
      <c r="M188" s="33">
        <f t="shared" si="98"/>
        <v>0</v>
      </c>
      <c r="N188" s="33">
        <f t="shared" si="78"/>
        <v>0</v>
      </c>
      <c r="O188" s="34">
        <f t="shared" si="79"/>
        <v>0</v>
      </c>
      <c r="P188" s="55">
        <v>183</v>
      </c>
      <c r="Q188" s="33">
        <f t="shared" si="93"/>
        <v>0</v>
      </c>
      <c r="R188" s="33">
        <f t="shared" si="99"/>
        <v>0</v>
      </c>
      <c r="S188" s="33">
        <f t="shared" si="100"/>
        <v>0</v>
      </c>
      <c r="T188" s="33">
        <f t="shared" si="80"/>
        <v>0</v>
      </c>
      <c r="U188" s="33">
        <f t="shared" si="94"/>
        <v>0</v>
      </c>
      <c r="V188" s="33">
        <f t="shared" si="81"/>
        <v>0</v>
      </c>
      <c r="W188" s="33">
        <v>0</v>
      </c>
      <c r="X188" s="33">
        <f t="shared" si="82"/>
        <v>0</v>
      </c>
      <c r="Y188" s="38">
        <f t="shared" si="83"/>
        <v>0</v>
      </c>
      <c r="AA188" s="71">
        <v>183</v>
      </c>
      <c r="AB188" s="33">
        <f t="shared" si="84"/>
        <v>0</v>
      </c>
      <c r="AC188" s="304">
        <f t="shared" si="105"/>
        <v>0</v>
      </c>
      <c r="AD188" s="100">
        <f t="shared" si="85"/>
        <v>0</v>
      </c>
      <c r="AE188" s="100">
        <f t="shared" si="86"/>
        <v>0</v>
      </c>
      <c r="AF188" s="193">
        <f t="shared" si="101"/>
        <v>0</v>
      </c>
      <c r="AG188" s="193">
        <f t="shared" si="102"/>
        <v>0</v>
      </c>
      <c r="AH188" s="193">
        <f t="shared" si="103"/>
        <v>0</v>
      </c>
      <c r="AI188" s="198">
        <f t="shared" si="104"/>
        <v>0</v>
      </c>
      <c r="AK188" s="71">
        <v>183</v>
      </c>
      <c r="AL188" s="33">
        <f t="shared" si="87"/>
        <v>0</v>
      </c>
      <c r="AM188" s="33">
        <f t="shared" si="88"/>
        <v>0</v>
      </c>
      <c r="AN188" s="33">
        <f t="shared" si="89"/>
        <v>0</v>
      </c>
      <c r="AO188" s="33">
        <f t="shared" si="90"/>
        <v>0</v>
      </c>
      <c r="AP188" s="33">
        <f t="shared" si="91"/>
        <v>0</v>
      </c>
      <c r="AQ188" s="193">
        <f t="shared" si="92"/>
        <v>0</v>
      </c>
      <c r="AR188" s="193">
        <f t="shared" si="92"/>
        <v>0</v>
      </c>
      <c r="AS188" s="193">
        <f t="shared" si="92"/>
        <v>0</v>
      </c>
      <c r="AT188" s="193">
        <f t="shared" si="77"/>
        <v>0</v>
      </c>
      <c r="AU188" s="33"/>
      <c r="AV188" s="33"/>
      <c r="AW188" s="33"/>
      <c r="AX188" s="33"/>
      <c r="AY188" s="76"/>
    </row>
    <row r="189" spans="3:51">
      <c r="C189" s="165" t="s">
        <v>64</v>
      </c>
      <c r="D189" s="4">
        <v>0.36</v>
      </c>
      <c r="E189" s="187" t="s">
        <v>229</v>
      </c>
      <c r="F189" s="342">
        <f>IF(OR(Tableau145[[#This Row],[Type]]="Feuillus",Tableau145[[#This Row],[Type]]="Peupliers"),1.56,1.3)</f>
        <v>1.3</v>
      </c>
      <c r="I189" s="55">
        <v>184</v>
      </c>
      <c r="J189" s="33">
        <f t="shared" si="95"/>
        <v>0</v>
      </c>
      <c r="K189" s="33">
        <f t="shared" si="96"/>
        <v>0</v>
      </c>
      <c r="L189" s="33">
        <f t="shared" si="97"/>
        <v>0</v>
      </c>
      <c r="M189" s="33">
        <f t="shared" si="98"/>
        <v>0</v>
      </c>
      <c r="N189" s="33">
        <f t="shared" si="78"/>
        <v>0</v>
      </c>
      <c r="O189" s="34">
        <f t="shared" si="79"/>
        <v>0</v>
      </c>
      <c r="P189" s="55">
        <v>184</v>
      </c>
      <c r="Q189" s="33">
        <f t="shared" si="93"/>
        <v>0</v>
      </c>
      <c r="R189" s="33">
        <f t="shared" si="99"/>
        <v>0</v>
      </c>
      <c r="S189" s="33">
        <f t="shared" si="100"/>
        <v>0</v>
      </c>
      <c r="T189" s="33">
        <f t="shared" si="80"/>
        <v>0</v>
      </c>
      <c r="U189" s="33">
        <f t="shared" si="94"/>
        <v>0</v>
      </c>
      <c r="V189" s="33">
        <f t="shared" si="81"/>
        <v>0</v>
      </c>
      <c r="W189" s="33">
        <v>0</v>
      </c>
      <c r="X189" s="33">
        <f t="shared" si="82"/>
        <v>0</v>
      </c>
      <c r="Y189" s="38">
        <f t="shared" si="83"/>
        <v>0</v>
      </c>
      <c r="AA189" s="71">
        <v>184</v>
      </c>
      <c r="AB189" s="33">
        <f t="shared" si="84"/>
        <v>0</v>
      </c>
      <c r="AC189" s="304">
        <f t="shared" si="105"/>
        <v>0</v>
      </c>
      <c r="AD189" s="100">
        <f t="shared" si="85"/>
        <v>0</v>
      </c>
      <c r="AE189" s="100">
        <f t="shared" si="86"/>
        <v>0</v>
      </c>
      <c r="AF189" s="193">
        <f t="shared" si="101"/>
        <v>0</v>
      </c>
      <c r="AG189" s="193">
        <f t="shared" si="102"/>
        <v>0</v>
      </c>
      <c r="AH189" s="193">
        <f t="shared" si="103"/>
        <v>0</v>
      </c>
      <c r="AI189" s="198">
        <f t="shared" si="104"/>
        <v>0</v>
      </c>
      <c r="AK189" s="71">
        <v>184</v>
      </c>
      <c r="AL189" s="33">
        <f t="shared" si="87"/>
        <v>0</v>
      </c>
      <c r="AM189" s="33">
        <f t="shared" si="88"/>
        <v>0</v>
      </c>
      <c r="AN189" s="33">
        <f t="shared" si="89"/>
        <v>0</v>
      </c>
      <c r="AO189" s="33">
        <f t="shared" si="90"/>
        <v>0</v>
      </c>
      <c r="AP189" s="33">
        <f t="shared" si="91"/>
        <v>0</v>
      </c>
      <c r="AQ189" s="193">
        <f t="shared" si="92"/>
        <v>0</v>
      </c>
      <c r="AR189" s="193">
        <f t="shared" si="92"/>
        <v>0</v>
      </c>
      <c r="AS189" s="193">
        <f t="shared" si="92"/>
        <v>0</v>
      </c>
      <c r="AT189" s="193">
        <f t="shared" si="77"/>
        <v>0</v>
      </c>
      <c r="AU189" s="33"/>
      <c r="AV189" s="33"/>
      <c r="AW189" s="33"/>
      <c r="AX189" s="33"/>
      <c r="AY189" s="76"/>
    </row>
    <row r="190" spans="3:51">
      <c r="C190" s="165" t="s">
        <v>65</v>
      </c>
      <c r="D190" s="4">
        <v>0.37</v>
      </c>
      <c r="E190" s="187" t="s">
        <v>228</v>
      </c>
      <c r="F190" s="342">
        <f>IF(OR(Tableau145[[#This Row],[Type]]="Feuillus",Tableau145[[#This Row],[Type]]="Peupliers"),1.56,1.3)</f>
        <v>1.56</v>
      </c>
      <c r="I190" s="55">
        <v>185</v>
      </c>
      <c r="J190" s="33">
        <f t="shared" si="95"/>
        <v>0</v>
      </c>
      <c r="K190" s="33">
        <f t="shared" si="96"/>
        <v>0</v>
      </c>
      <c r="L190" s="33">
        <f t="shared" si="97"/>
        <v>0</v>
      </c>
      <c r="M190" s="33">
        <f t="shared" si="98"/>
        <v>0</v>
      </c>
      <c r="N190" s="33">
        <f t="shared" si="78"/>
        <v>0</v>
      </c>
      <c r="O190" s="34">
        <f t="shared" si="79"/>
        <v>0</v>
      </c>
      <c r="P190" s="55">
        <v>185</v>
      </c>
      <c r="Q190" s="33">
        <f t="shared" si="93"/>
        <v>0</v>
      </c>
      <c r="R190" s="33">
        <f t="shared" si="99"/>
        <v>0</v>
      </c>
      <c r="S190" s="33">
        <f t="shared" si="100"/>
        <v>0</v>
      </c>
      <c r="T190" s="33">
        <f t="shared" si="80"/>
        <v>0</v>
      </c>
      <c r="U190" s="33">
        <f t="shared" si="94"/>
        <v>0</v>
      </c>
      <c r="V190" s="33">
        <f t="shared" si="81"/>
        <v>0</v>
      </c>
      <c r="W190" s="33">
        <v>0</v>
      </c>
      <c r="X190" s="33">
        <f t="shared" si="82"/>
        <v>0</v>
      </c>
      <c r="Y190" s="38">
        <f t="shared" si="83"/>
        <v>0</v>
      </c>
      <c r="AA190" s="71">
        <v>185</v>
      </c>
      <c r="AB190" s="33">
        <f t="shared" si="84"/>
        <v>0</v>
      </c>
      <c r="AC190" s="304">
        <f t="shared" si="105"/>
        <v>0</v>
      </c>
      <c r="AD190" s="100">
        <f t="shared" si="85"/>
        <v>0</v>
      </c>
      <c r="AE190" s="100">
        <f t="shared" si="86"/>
        <v>0</v>
      </c>
      <c r="AF190" s="193">
        <f t="shared" si="101"/>
        <v>0</v>
      </c>
      <c r="AG190" s="193">
        <f t="shared" si="102"/>
        <v>0</v>
      </c>
      <c r="AH190" s="193">
        <f t="shared" si="103"/>
        <v>0</v>
      </c>
      <c r="AI190" s="198">
        <f t="shared" si="104"/>
        <v>0</v>
      </c>
      <c r="AK190" s="71">
        <v>185</v>
      </c>
      <c r="AL190" s="33">
        <f t="shared" si="87"/>
        <v>0</v>
      </c>
      <c r="AM190" s="33">
        <f t="shared" si="88"/>
        <v>0</v>
      </c>
      <c r="AN190" s="33">
        <f t="shared" si="89"/>
        <v>0</v>
      </c>
      <c r="AO190" s="33">
        <f t="shared" si="90"/>
        <v>0</v>
      </c>
      <c r="AP190" s="33">
        <f t="shared" si="91"/>
        <v>0</v>
      </c>
      <c r="AQ190" s="193">
        <f t="shared" si="92"/>
        <v>0</v>
      </c>
      <c r="AR190" s="193">
        <f t="shared" si="92"/>
        <v>0</v>
      </c>
      <c r="AS190" s="193">
        <f t="shared" si="92"/>
        <v>0</v>
      </c>
      <c r="AT190" s="193">
        <f t="shared" si="77"/>
        <v>0</v>
      </c>
      <c r="AU190" s="33"/>
      <c r="AV190" s="33"/>
      <c r="AW190" s="33"/>
      <c r="AX190" s="33"/>
      <c r="AY190" s="76"/>
    </row>
    <row r="191" spans="3:51">
      <c r="C191" s="165" t="s">
        <v>66</v>
      </c>
      <c r="D191" s="4">
        <v>0.53</v>
      </c>
      <c r="E191" s="187" t="s">
        <v>228</v>
      </c>
      <c r="F191" s="342">
        <f>IF(OR(Tableau145[[#This Row],[Type]]="Feuillus",Tableau145[[#This Row],[Type]]="Peupliers"),1.56,1.3)</f>
        <v>1.56</v>
      </c>
      <c r="I191" s="55">
        <v>186</v>
      </c>
      <c r="J191" s="33">
        <f t="shared" si="95"/>
        <v>0</v>
      </c>
      <c r="K191" s="33">
        <f t="shared" si="96"/>
        <v>0</v>
      </c>
      <c r="L191" s="33">
        <f t="shared" si="97"/>
        <v>0</v>
      </c>
      <c r="M191" s="33">
        <f t="shared" si="98"/>
        <v>0</v>
      </c>
      <c r="N191" s="33">
        <f t="shared" si="78"/>
        <v>0</v>
      </c>
      <c r="O191" s="34">
        <f t="shared" si="79"/>
        <v>0</v>
      </c>
      <c r="P191" s="55">
        <v>186</v>
      </c>
      <c r="Q191" s="33">
        <f t="shared" si="93"/>
        <v>0</v>
      </c>
      <c r="R191" s="33">
        <f t="shared" si="99"/>
        <v>0</v>
      </c>
      <c r="S191" s="33">
        <f t="shared" si="100"/>
        <v>0</v>
      </c>
      <c r="T191" s="33">
        <f t="shared" si="80"/>
        <v>0</v>
      </c>
      <c r="U191" s="33">
        <f t="shared" si="94"/>
        <v>0</v>
      </c>
      <c r="V191" s="33">
        <f t="shared" si="81"/>
        <v>0</v>
      </c>
      <c r="W191" s="33">
        <v>0</v>
      </c>
      <c r="X191" s="33">
        <f t="shared" si="82"/>
        <v>0</v>
      </c>
      <c r="Y191" s="38">
        <f t="shared" si="83"/>
        <v>0</v>
      </c>
      <c r="AA191" s="71">
        <v>186</v>
      </c>
      <c r="AB191" s="33">
        <f t="shared" si="84"/>
        <v>0</v>
      </c>
      <c r="AC191" s="304">
        <f t="shared" si="105"/>
        <v>0</v>
      </c>
      <c r="AD191" s="100">
        <f t="shared" si="85"/>
        <v>0</v>
      </c>
      <c r="AE191" s="100">
        <f t="shared" si="86"/>
        <v>0</v>
      </c>
      <c r="AF191" s="193">
        <f t="shared" si="101"/>
        <v>0</v>
      </c>
      <c r="AG191" s="193">
        <f t="shared" si="102"/>
        <v>0</v>
      </c>
      <c r="AH191" s="193">
        <f t="shared" si="103"/>
        <v>0</v>
      </c>
      <c r="AI191" s="198">
        <f t="shared" si="104"/>
        <v>0</v>
      </c>
      <c r="AK191" s="71">
        <v>186</v>
      </c>
      <c r="AL191" s="33">
        <f t="shared" si="87"/>
        <v>0</v>
      </c>
      <c r="AM191" s="33">
        <f t="shared" si="88"/>
        <v>0</v>
      </c>
      <c r="AN191" s="33">
        <f t="shared" si="89"/>
        <v>0</v>
      </c>
      <c r="AO191" s="33">
        <f t="shared" si="90"/>
        <v>0</v>
      </c>
      <c r="AP191" s="33">
        <f t="shared" si="91"/>
        <v>0</v>
      </c>
      <c r="AQ191" s="193">
        <f t="shared" si="92"/>
        <v>0</v>
      </c>
      <c r="AR191" s="193">
        <f t="shared" si="92"/>
        <v>0</v>
      </c>
      <c r="AS191" s="193">
        <f t="shared" si="92"/>
        <v>0</v>
      </c>
      <c r="AT191" s="193">
        <f t="shared" si="77"/>
        <v>0</v>
      </c>
      <c r="AU191" s="33"/>
      <c r="AV191" s="33"/>
      <c r="AW191" s="33"/>
      <c r="AX191" s="33"/>
      <c r="AY191" s="76"/>
    </row>
    <row r="192" spans="3:51">
      <c r="C192" s="165" t="s">
        <v>67</v>
      </c>
      <c r="D192" s="4">
        <v>0.43</v>
      </c>
      <c r="E192" s="187" t="s">
        <v>228</v>
      </c>
      <c r="F192" s="342">
        <f>IF(OR(Tableau145[[#This Row],[Type]]="Feuillus",Tableau145[[#This Row],[Type]]="Peupliers"),1.56,1.3)</f>
        <v>1.56</v>
      </c>
      <c r="I192" s="55">
        <v>187</v>
      </c>
      <c r="J192" s="33">
        <f t="shared" si="95"/>
        <v>0</v>
      </c>
      <c r="K192" s="33">
        <f t="shared" si="96"/>
        <v>0</v>
      </c>
      <c r="L192" s="33">
        <f t="shared" si="97"/>
        <v>0</v>
      </c>
      <c r="M192" s="33">
        <f t="shared" si="98"/>
        <v>0</v>
      </c>
      <c r="N192" s="33">
        <f t="shared" si="78"/>
        <v>0</v>
      </c>
      <c r="O192" s="34">
        <f t="shared" si="79"/>
        <v>0</v>
      </c>
      <c r="P192" s="55">
        <v>187</v>
      </c>
      <c r="Q192" s="33">
        <f t="shared" si="93"/>
        <v>0</v>
      </c>
      <c r="R192" s="33">
        <f t="shared" si="99"/>
        <v>0</v>
      </c>
      <c r="S192" s="33">
        <f t="shared" si="100"/>
        <v>0</v>
      </c>
      <c r="T192" s="33">
        <f t="shared" si="80"/>
        <v>0</v>
      </c>
      <c r="U192" s="33">
        <f t="shared" si="94"/>
        <v>0</v>
      </c>
      <c r="V192" s="33">
        <f t="shared" si="81"/>
        <v>0</v>
      </c>
      <c r="W192" s="33">
        <v>0</v>
      </c>
      <c r="X192" s="33">
        <f t="shared" si="82"/>
        <v>0</v>
      </c>
      <c r="Y192" s="38">
        <f t="shared" si="83"/>
        <v>0</v>
      </c>
      <c r="AA192" s="71">
        <v>187</v>
      </c>
      <c r="AB192" s="33">
        <f t="shared" si="84"/>
        <v>0</v>
      </c>
      <c r="AC192" s="304">
        <f t="shared" si="105"/>
        <v>0</v>
      </c>
      <c r="AD192" s="100">
        <f t="shared" si="85"/>
        <v>0</v>
      </c>
      <c r="AE192" s="100">
        <f t="shared" si="86"/>
        <v>0</v>
      </c>
      <c r="AF192" s="193">
        <f t="shared" si="101"/>
        <v>0</v>
      </c>
      <c r="AG192" s="193">
        <f t="shared" si="102"/>
        <v>0</v>
      </c>
      <c r="AH192" s="193">
        <f t="shared" si="103"/>
        <v>0</v>
      </c>
      <c r="AI192" s="198">
        <f t="shared" si="104"/>
        <v>0</v>
      </c>
      <c r="AK192" s="71">
        <v>187</v>
      </c>
      <c r="AL192" s="33">
        <f t="shared" si="87"/>
        <v>0</v>
      </c>
      <c r="AM192" s="33">
        <f t="shared" si="88"/>
        <v>0</v>
      </c>
      <c r="AN192" s="33">
        <f t="shared" si="89"/>
        <v>0</v>
      </c>
      <c r="AO192" s="33">
        <f t="shared" si="90"/>
        <v>0</v>
      </c>
      <c r="AP192" s="33">
        <f t="shared" si="91"/>
        <v>0</v>
      </c>
      <c r="AQ192" s="193">
        <f t="shared" si="92"/>
        <v>0</v>
      </c>
      <c r="AR192" s="193">
        <f t="shared" si="92"/>
        <v>0</v>
      </c>
      <c r="AS192" s="193">
        <f t="shared" si="92"/>
        <v>0</v>
      </c>
      <c r="AT192" s="193">
        <f t="shared" si="77"/>
        <v>0</v>
      </c>
      <c r="AU192" s="33"/>
      <c r="AV192" s="33"/>
      <c r="AW192" s="33"/>
      <c r="AX192" s="33"/>
      <c r="AY192" s="76"/>
    </row>
    <row r="193" spans="3:51">
      <c r="C193" s="165" t="s">
        <v>68</v>
      </c>
      <c r="D193" s="4">
        <v>0.38</v>
      </c>
      <c r="E193" s="187" t="s">
        <v>228</v>
      </c>
      <c r="F193" s="342">
        <f>IF(OR(Tableau145[[#This Row],[Type]]="Feuillus",Tableau145[[#This Row],[Type]]="Peupliers"),1.56,1.3)</f>
        <v>1.56</v>
      </c>
      <c r="I193" s="55">
        <v>188</v>
      </c>
      <c r="J193" s="33">
        <f t="shared" si="95"/>
        <v>0</v>
      </c>
      <c r="K193" s="33">
        <f t="shared" si="96"/>
        <v>0</v>
      </c>
      <c r="L193" s="33">
        <f t="shared" si="97"/>
        <v>0</v>
      </c>
      <c r="M193" s="33">
        <f t="shared" si="98"/>
        <v>0</v>
      </c>
      <c r="N193" s="33">
        <f t="shared" si="78"/>
        <v>0</v>
      </c>
      <c r="O193" s="34">
        <f t="shared" si="79"/>
        <v>0</v>
      </c>
      <c r="P193" s="55">
        <v>188</v>
      </c>
      <c r="Q193" s="33">
        <f t="shared" si="93"/>
        <v>0</v>
      </c>
      <c r="R193" s="33">
        <f t="shared" si="99"/>
        <v>0</v>
      </c>
      <c r="S193" s="33">
        <f t="shared" si="100"/>
        <v>0</v>
      </c>
      <c r="T193" s="33">
        <f t="shared" si="80"/>
        <v>0</v>
      </c>
      <c r="U193" s="33">
        <f t="shared" si="94"/>
        <v>0</v>
      </c>
      <c r="V193" s="33">
        <f t="shared" si="81"/>
        <v>0</v>
      </c>
      <c r="W193" s="33">
        <v>0</v>
      </c>
      <c r="X193" s="33">
        <f t="shared" si="82"/>
        <v>0</v>
      </c>
      <c r="Y193" s="38">
        <f t="shared" si="83"/>
        <v>0</v>
      </c>
      <c r="AA193" s="71">
        <v>188</v>
      </c>
      <c r="AB193" s="33">
        <f t="shared" si="84"/>
        <v>0</v>
      </c>
      <c r="AC193" s="304">
        <f t="shared" si="105"/>
        <v>0</v>
      </c>
      <c r="AD193" s="100">
        <f t="shared" si="85"/>
        <v>0</v>
      </c>
      <c r="AE193" s="100">
        <f t="shared" si="86"/>
        <v>0</v>
      </c>
      <c r="AF193" s="193">
        <f t="shared" si="101"/>
        <v>0</v>
      </c>
      <c r="AG193" s="193">
        <f t="shared" si="102"/>
        <v>0</v>
      </c>
      <c r="AH193" s="193">
        <f t="shared" si="103"/>
        <v>0</v>
      </c>
      <c r="AI193" s="198">
        <f t="shared" si="104"/>
        <v>0</v>
      </c>
      <c r="AK193" s="71">
        <v>188</v>
      </c>
      <c r="AL193" s="33">
        <f t="shared" si="87"/>
        <v>0</v>
      </c>
      <c r="AM193" s="33">
        <f t="shared" si="88"/>
        <v>0</v>
      </c>
      <c r="AN193" s="33">
        <f t="shared" si="89"/>
        <v>0</v>
      </c>
      <c r="AO193" s="33">
        <f t="shared" si="90"/>
        <v>0</v>
      </c>
      <c r="AP193" s="33">
        <f t="shared" si="91"/>
        <v>0</v>
      </c>
      <c r="AQ193" s="193">
        <f t="shared" si="92"/>
        <v>0</v>
      </c>
      <c r="AR193" s="193">
        <f t="shared" si="92"/>
        <v>0</v>
      </c>
      <c r="AS193" s="193">
        <f t="shared" si="92"/>
        <v>0</v>
      </c>
      <c r="AT193" s="193">
        <f t="shared" si="77"/>
        <v>0</v>
      </c>
      <c r="AU193" s="33"/>
      <c r="AV193" s="33"/>
      <c r="AW193" s="33"/>
      <c r="AX193" s="33"/>
      <c r="AY193" s="76"/>
    </row>
    <row r="194" spans="3:51">
      <c r="C194" s="165" t="s">
        <v>69</v>
      </c>
      <c r="D194" s="4">
        <v>0.42</v>
      </c>
      <c r="E194" s="187" t="s">
        <v>229</v>
      </c>
      <c r="F194" s="342">
        <f>IF(OR(Tableau145[[#This Row],[Type]]="Feuillus",Tableau145[[#This Row],[Type]]="Peupliers"),1.56,1.3)</f>
        <v>1.3</v>
      </c>
      <c r="I194" s="55">
        <v>189</v>
      </c>
      <c r="J194" s="33">
        <f t="shared" si="95"/>
        <v>0</v>
      </c>
      <c r="K194" s="33">
        <f t="shared" si="96"/>
        <v>0</v>
      </c>
      <c r="L194" s="33">
        <f t="shared" si="97"/>
        <v>0</v>
      </c>
      <c r="M194" s="33">
        <f t="shared" si="98"/>
        <v>0</v>
      </c>
      <c r="N194" s="33">
        <f t="shared" si="78"/>
        <v>0</v>
      </c>
      <c r="O194" s="34">
        <f t="shared" si="79"/>
        <v>0</v>
      </c>
      <c r="P194" s="55">
        <v>189</v>
      </c>
      <c r="Q194" s="33">
        <f t="shared" si="93"/>
        <v>0</v>
      </c>
      <c r="R194" s="33">
        <f t="shared" si="99"/>
        <v>0</v>
      </c>
      <c r="S194" s="33">
        <f t="shared" si="100"/>
        <v>0</v>
      </c>
      <c r="T194" s="33">
        <f t="shared" si="80"/>
        <v>0</v>
      </c>
      <c r="U194" s="33">
        <f t="shared" si="94"/>
        <v>0</v>
      </c>
      <c r="V194" s="33">
        <f t="shared" si="81"/>
        <v>0</v>
      </c>
      <c r="W194" s="33">
        <v>0</v>
      </c>
      <c r="X194" s="33">
        <f t="shared" si="82"/>
        <v>0</v>
      </c>
      <c r="Y194" s="38">
        <f t="shared" si="83"/>
        <v>0</v>
      </c>
      <c r="AA194" s="71">
        <v>189</v>
      </c>
      <c r="AB194" s="33">
        <f t="shared" si="84"/>
        <v>0</v>
      </c>
      <c r="AC194" s="304">
        <f t="shared" si="105"/>
        <v>0</v>
      </c>
      <c r="AD194" s="100">
        <f t="shared" si="85"/>
        <v>0</v>
      </c>
      <c r="AE194" s="100">
        <f t="shared" si="86"/>
        <v>0</v>
      </c>
      <c r="AF194" s="193">
        <f t="shared" si="101"/>
        <v>0</v>
      </c>
      <c r="AG194" s="193">
        <f t="shared" si="102"/>
        <v>0</v>
      </c>
      <c r="AH194" s="193">
        <f t="shared" si="103"/>
        <v>0</v>
      </c>
      <c r="AI194" s="198">
        <f t="shared" si="104"/>
        <v>0</v>
      </c>
      <c r="AK194" s="71">
        <v>189</v>
      </c>
      <c r="AL194" s="33">
        <f t="shared" si="87"/>
        <v>0</v>
      </c>
      <c r="AM194" s="33">
        <f t="shared" si="88"/>
        <v>0</v>
      </c>
      <c r="AN194" s="33">
        <f t="shared" si="89"/>
        <v>0</v>
      </c>
      <c r="AO194" s="33">
        <f t="shared" si="90"/>
        <v>0</v>
      </c>
      <c r="AP194" s="33">
        <f t="shared" si="91"/>
        <v>0</v>
      </c>
      <c r="AQ194" s="193">
        <f t="shared" si="92"/>
        <v>0</v>
      </c>
      <c r="AR194" s="193">
        <f t="shared" si="92"/>
        <v>0</v>
      </c>
      <c r="AS194" s="193">
        <f t="shared" si="92"/>
        <v>0</v>
      </c>
      <c r="AT194" s="193">
        <f t="shared" si="77"/>
        <v>0</v>
      </c>
      <c r="AU194" s="33"/>
      <c r="AV194" s="33"/>
      <c r="AW194" s="33"/>
      <c r="AX194" s="33"/>
      <c r="AY194" s="76"/>
    </row>
    <row r="195" spans="3:51">
      <c r="C195" s="165" t="s">
        <v>70</v>
      </c>
      <c r="D195" s="4">
        <v>0.56999999999999995</v>
      </c>
      <c r="E195" s="187" t="s">
        <v>228</v>
      </c>
      <c r="F195" s="342">
        <f>IF(OR(Tableau145[[#This Row],[Type]]="Feuillus",Tableau145[[#This Row],[Type]]="Peupliers"),1.56,1.3)</f>
        <v>1.56</v>
      </c>
      <c r="I195" s="55">
        <v>190</v>
      </c>
      <c r="J195" s="33">
        <f t="shared" si="95"/>
        <v>0</v>
      </c>
      <c r="K195" s="33">
        <f t="shared" si="96"/>
        <v>0</v>
      </c>
      <c r="L195" s="33">
        <f t="shared" si="97"/>
        <v>0</v>
      </c>
      <c r="M195" s="33">
        <f t="shared" si="98"/>
        <v>0</v>
      </c>
      <c r="N195" s="33">
        <f t="shared" si="78"/>
        <v>0</v>
      </c>
      <c r="O195" s="34">
        <f t="shared" si="79"/>
        <v>0</v>
      </c>
      <c r="P195" s="55">
        <v>190</v>
      </c>
      <c r="Q195" s="33">
        <f t="shared" si="93"/>
        <v>0</v>
      </c>
      <c r="R195" s="33">
        <f t="shared" si="99"/>
        <v>0</v>
      </c>
      <c r="S195" s="33">
        <f t="shared" si="100"/>
        <v>0</v>
      </c>
      <c r="T195" s="33">
        <f t="shared" si="80"/>
        <v>0</v>
      </c>
      <c r="U195" s="33">
        <f t="shared" si="94"/>
        <v>0</v>
      </c>
      <c r="V195" s="33">
        <f t="shared" si="81"/>
        <v>0</v>
      </c>
      <c r="W195" s="33">
        <v>0</v>
      </c>
      <c r="X195" s="33">
        <f t="shared" si="82"/>
        <v>0</v>
      </c>
      <c r="Y195" s="38">
        <f t="shared" si="83"/>
        <v>0</v>
      </c>
      <c r="AA195" s="71">
        <v>190</v>
      </c>
      <c r="AB195" s="33">
        <f t="shared" si="84"/>
        <v>0</v>
      </c>
      <c r="AC195" s="304">
        <f t="shared" si="105"/>
        <v>0</v>
      </c>
      <c r="AD195" s="100">
        <f t="shared" si="85"/>
        <v>0</v>
      </c>
      <c r="AE195" s="100">
        <f t="shared" si="86"/>
        <v>0</v>
      </c>
      <c r="AF195" s="193">
        <f t="shared" si="101"/>
        <v>0</v>
      </c>
      <c r="AG195" s="193">
        <f t="shared" si="102"/>
        <v>0</v>
      </c>
      <c r="AH195" s="193">
        <f t="shared" si="103"/>
        <v>0</v>
      </c>
      <c r="AI195" s="198">
        <f t="shared" si="104"/>
        <v>0</v>
      </c>
      <c r="AK195" s="71">
        <v>190</v>
      </c>
      <c r="AL195" s="33">
        <f t="shared" si="87"/>
        <v>0</v>
      </c>
      <c r="AM195" s="33">
        <f t="shared" si="88"/>
        <v>0</v>
      </c>
      <c r="AN195" s="33">
        <f t="shared" si="89"/>
        <v>0</v>
      </c>
      <c r="AO195" s="33">
        <f t="shared" si="90"/>
        <v>0</v>
      </c>
      <c r="AP195" s="33">
        <f t="shared" si="91"/>
        <v>0</v>
      </c>
      <c r="AQ195" s="193">
        <f t="shared" si="92"/>
        <v>0</v>
      </c>
      <c r="AR195" s="193">
        <f t="shared" si="92"/>
        <v>0</v>
      </c>
      <c r="AS195" s="193">
        <f t="shared" si="92"/>
        <v>0</v>
      </c>
      <c r="AT195" s="193">
        <f t="shared" si="77"/>
        <v>0</v>
      </c>
      <c r="AU195" s="33"/>
      <c r="AV195" s="33"/>
      <c r="AW195" s="33"/>
      <c r="AX195" s="33"/>
      <c r="AY195" s="76"/>
    </row>
    <row r="196" spans="3:51">
      <c r="C196" s="167" t="s">
        <v>71</v>
      </c>
      <c r="D196" s="3">
        <v>0.54</v>
      </c>
      <c r="E196" s="187"/>
      <c r="F196" s="342">
        <f>IF(OR(Tableau145[[#This Row],[Type]]="Feuillus",Tableau145[[#This Row],[Type]]="Peupliers"),1.56,1.3)</f>
        <v>1.3</v>
      </c>
      <c r="I196" s="55">
        <v>191</v>
      </c>
      <c r="J196" s="33">
        <f t="shared" si="95"/>
        <v>0</v>
      </c>
      <c r="K196" s="33">
        <f t="shared" si="96"/>
        <v>0</v>
      </c>
      <c r="L196" s="33">
        <f t="shared" si="97"/>
        <v>0</v>
      </c>
      <c r="M196" s="33">
        <f t="shared" si="98"/>
        <v>0</v>
      </c>
      <c r="N196" s="33">
        <f t="shared" si="78"/>
        <v>0</v>
      </c>
      <c r="O196" s="34">
        <f t="shared" si="79"/>
        <v>0</v>
      </c>
      <c r="P196" s="55">
        <v>191</v>
      </c>
      <c r="Q196" s="33">
        <f t="shared" si="93"/>
        <v>0</v>
      </c>
      <c r="R196" s="33">
        <f t="shared" si="99"/>
        <v>0</v>
      </c>
      <c r="S196" s="33">
        <f t="shared" si="100"/>
        <v>0</v>
      </c>
      <c r="T196" s="33">
        <f t="shared" si="80"/>
        <v>0</v>
      </c>
      <c r="U196" s="33">
        <f t="shared" si="94"/>
        <v>0</v>
      </c>
      <c r="V196" s="33">
        <f t="shared" si="81"/>
        <v>0</v>
      </c>
      <c r="W196" s="33">
        <v>0</v>
      </c>
      <c r="X196" s="33">
        <f t="shared" si="82"/>
        <v>0</v>
      </c>
      <c r="Y196" s="38">
        <f t="shared" si="83"/>
        <v>0</v>
      </c>
      <c r="AA196" s="71">
        <v>191</v>
      </c>
      <c r="AB196" s="33">
        <f t="shared" si="84"/>
        <v>0</v>
      </c>
      <c r="AC196" s="304">
        <f t="shared" si="105"/>
        <v>0</v>
      </c>
      <c r="AD196" s="100">
        <f t="shared" si="85"/>
        <v>0</v>
      </c>
      <c r="AE196" s="100">
        <f t="shared" si="86"/>
        <v>0</v>
      </c>
      <c r="AF196" s="193">
        <f t="shared" si="101"/>
        <v>0</v>
      </c>
      <c r="AG196" s="193">
        <f t="shared" si="102"/>
        <v>0</v>
      </c>
      <c r="AH196" s="193">
        <f t="shared" si="103"/>
        <v>0</v>
      </c>
      <c r="AI196" s="198">
        <f t="shared" si="104"/>
        <v>0</v>
      </c>
      <c r="AK196" s="71">
        <v>191</v>
      </c>
      <c r="AL196" s="33">
        <f t="shared" si="87"/>
        <v>0</v>
      </c>
      <c r="AM196" s="33">
        <f t="shared" si="88"/>
        <v>0</v>
      </c>
      <c r="AN196" s="33">
        <f t="shared" si="89"/>
        <v>0</v>
      </c>
      <c r="AO196" s="33">
        <f t="shared" si="90"/>
        <v>0</v>
      </c>
      <c r="AP196" s="33">
        <f t="shared" si="91"/>
        <v>0</v>
      </c>
      <c r="AQ196" s="193">
        <f t="shared" si="92"/>
        <v>0</v>
      </c>
      <c r="AR196" s="193">
        <f t="shared" si="92"/>
        <v>0</v>
      </c>
      <c r="AS196" s="193">
        <f t="shared" si="92"/>
        <v>0</v>
      </c>
      <c r="AT196" s="193">
        <f t="shared" si="92"/>
        <v>0</v>
      </c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95"/>
        <v>0</v>
      </c>
      <c r="K197" s="33">
        <f t="shared" si="96"/>
        <v>0</v>
      </c>
      <c r="L197" s="33">
        <f t="shared" si="97"/>
        <v>0</v>
      </c>
      <c r="M197" s="33">
        <f t="shared" si="98"/>
        <v>0</v>
      </c>
      <c r="N197" s="33">
        <f t="shared" ref="N197:N204" si="106">IF(P198&lt;=$F$18,0,)</f>
        <v>0</v>
      </c>
      <c r="O197" s="34">
        <f t="shared" ref="O197:O205" si="107">((J197+K197)*0.475+L197+M197+N197)*44/12</f>
        <v>0</v>
      </c>
      <c r="P197" s="55">
        <v>192</v>
      </c>
      <c r="Q197" s="33">
        <f t="shared" si="93"/>
        <v>0</v>
      </c>
      <c r="R197" s="33">
        <f t="shared" si="99"/>
        <v>0</v>
      </c>
      <c r="S197" s="33">
        <f t="shared" si="100"/>
        <v>0</v>
      </c>
      <c r="T197" s="33">
        <f t="shared" ref="T197:T205" si="108">IF(S197=0,0,EXP(-1.0587+0.8836*LN(S197)+0.284))</f>
        <v>0</v>
      </c>
      <c r="U197" s="33">
        <f t="shared" si="94"/>
        <v>0</v>
      </c>
      <c r="V197" s="33">
        <f t="shared" ref="V197:V205" si="109">IF(P197&lt;=$F$18,IF(P197&lt;=30,P197*($F$16-$F$6)/30,$F$16-$F$6),)</f>
        <v>0</v>
      </c>
      <c r="W197" s="33">
        <v>0</v>
      </c>
      <c r="X197" s="33">
        <f t="shared" ref="X197:X205" si="110">((S197+T197)*0.475+U197+V197+W197)*44/12</f>
        <v>0</v>
      </c>
      <c r="Y197" s="38">
        <f t="shared" ref="Y197:Y205" si="111">IF(P197&lt;=$F$18,X197-O197,)</f>
        <v>0</v>
      </c>
      <c r="AA197" s="71">
        <v>192</v>
      </c>
      <c r="AB197" s="33">
        <f t="shared" ref="AB197:AB205" si="112">IF(AA197&lt;=$F$18,IFERROR(VLOOKUP($AA197,$B$82:$G$94,2,FALSE),0),)</f>
        <v>0</v>
      </c>
      <c r="AC197" s="304">
        <f t="shared" si="105"/>
        <v>0</v>
      </c>
      <c r="AD197" s="100">
        <f t="shared" ref="AD197:AD205" si="113">IF(AA197&lt;=$F$18,IFERROR(VLOOKUP($AA197,$B$82:$G$94,4,FALSE),0),)</f>
        <v>0</v>
      </c>
      <c r="AE197" s="100">
        <f t="shared" ref="AE197:AE205" si="114">IF(AA197&lt;=$F$18,IFERROR(VLOOKUP($AA197,$B$82:$G$94,5,FALSE),0),)</f>
        <v>0</v>
      </c>
      <c r="AF197" s="193">
        <f t="shared" si="101"/>
        <v>0</v>
      </c>
      <c r="AG197" s="193">
        <f t="shared" si="102"/>
        <v>0</v>
      </c>
      <c r="AH197" s="193">
        <f t="shared" si="103"/>
        <v>0</v>
      </c>
      <c r="AI197" s="198">
        <f t="shared" si="104"/>
        <v>0</v>
      </c>
      <c r="AK197" s="71">
        <v>192</v>
      </c>
      <c r="AL197" s="33">
        <f t="shared" ref="AL197:AL205" si="115">IF(AK197&lt;=$F$18,IFERROR(VLOOKUP($AA197,$B$82:$G$94,2,FALSE),0),)</f>
        <v>0</v>
      </c>
      <c r="AM197" s="33">
        <f t="shared" ref="AM197:AM205" si="116">IF(AK197&lt;=$F$18,IFERROR(VLOOKUP($AA197,$B$82:$G$94,3,FALSE),0),)</f>
        <v>0</v>
      </c>
      <c r="AN197" s="33">
        <f t="shared" ref="AN197:AN205" si="117">IF(AK197&lt;=$F$18,IFERROR(VLOOKUP($AA197,$B$82:$G$94,4,FALSE),0),)</f>
        <v>0</v>
      </c>
      <c r="AO197" s="33">
        <f t="shared" ref="AO197:AO205" si="118">IF(AK197&lt;=$F$18,IFERROR(VLOOKUP($AA197,$B$82:$G$94,5,FALSE),0),)</f>
        <v>0</v>
      </c>
      <c r="AP197" s="33">
        <f t="shared" ref="AP197:AP205" si="119">IF(AK197&lt;=$F$18,IFERROR(VLOOKUP($AA197,$B$82:$G$94,6,FALSE),0),)</f>
        <v>0</v>
      </c>
      <c r="AQ197" s="193">
        <f t="shared" ref="AQ197:AT205" si="120">IF($AK197&lt;=$F$18,$AL197*AM197,)</f>
        <v>0</v>
      </c>
      <c r="AR197" s="193">
        <f t="shared" si="120"/>
        <v>0</v>
      </c>
      <c r="AS197" s="193">
        <f t="shared" si="120"/>
        <v>0</v>
      </c>
      <c r="AT197" s="193">
        <f t="shared" si="120"/>
        <v>0</v>
      </c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95"/>
        <v>0</v>
      </c>
      <c r="K198" s="33">
        <f t="shared" si="96"/>
        <v>0</v>
      </c>
      <c r="L198" s="33">
        <f t="shared" si="97"/>
        <v>0</v>
      </c>
      <c r="M198" s="33">
        <f t="shared" si="98"/>
        <v>0</v>
      </c>
      <c r="N198" s="33">
        <f t="shared" si="106"/>
        <v>0</v>
      </c>
      <c r="O198" s="34">
        <f t="shared" si="107"/>
        <v>0</v>
      </c>
      <c r="P198" s="55">
        <v>193</v>
      </c>
      <c r="Q198" s="33">
        <f t="shared" ref="Q198:Q205" si="121">IF(P198&lt;=$F$18,LOOKUP(P198-1,$B$25:$B$78,$G$25:$G$78),)</f>
        <v>0</v>
      </c>
      <c r="R198" s="33">
        <f t="shared" si="99"/>
        <v>0</v>
      </c>
      <c r="S198" s="33">
        <f t="shared" si="100"/>
        <v>0</v>
      </c>
      <c r="T198" s="33">
        <f t="shared" si="108"/>
        <v>0</v>
      </c>
      <c r="U198" s="33">
        <f t="shared" ref="U198:U205" si="122">IF(P198&lt;=$F$18,$F$5+($F$15-$F$5)*(1-EXP(-0.0175*P198)),)</f>
        <v>0</v>
      </c>
      <c r="V198" s="33">
        <f t="shared" si="109"/>
        <v>0</v>
      </c>
      <c r="W198" s="33">
        <v>0</v>
      </c>
      <c r="X198" s="33">
        <f t="shared" si="110"/>
        <v>0</v>
      </c>
      <c r="Y198" s="38">
        <f t="shared" si="111"/>
        <v>0</v>
      </c>
      <c r="AA198" s="71">
        <v>193</v>
      </c>
      <c r="AB198" s="33">
        <f t="shared" si="112"/>
        <v>0</v>
      </c>
      <c r="AC198" s="304">
        <f t="shared" si="105"/>
        <v>0</v>
      </c>
      <c r="AD198" s="100">
        <f t="shared" si="113"/>
        <v>0</v>
      </c>
      <c r="AE198" s="100">
        <f t="shared" si="114"/>
        <v>0</v>
      </c>
      <c r="AF198" s="193">
        <f t="shared" si="101"/>
        <v>0</v>
      </c>
      <c r="AG198" s="193">
        <f t="shared" si="102"/>
        <v>0</v>
      </c>
      <c r="AH198" s="193">
        <f t="shared" si="103"/>
        <v>0</v>
      </c>
      <c r="AI198" s="198">
        <f t="shared" si="104"/>
        <v>0</v>
      </c>
      <c r="AK198" s="71">
        <v>193</v>
      </c>
      <c r="AL198" s="33">
        <f t="shared" si="115"/>
        <v>0</v>
      </c>
      <c r="AM198" s="33">
        <f t="shared" si="116"/>
        <v>0</v>
      </c>
      <c r="AN198" s="33">
        <f t="shared" si="117"/>
        <v>0</v>
      </c>
      <c r="AO198" s="33">
        <f t="shared" si="118"/>
        <v>0</v>
      </c>
      <c r="AP198" s="33">
        <f t="shared" si="119"/>
        <v>0</v>
      </c>
      <c r="AQ198" s="193">
        <f t="shared" si="120"/>
        <v>0</v>
      </c>
      <c r="AR198" s="193">
        <f t="shared" si="120"/>
        <v>0</v>
      </c>
      <c r="AS198" s="193">
        <f t="shared" si="120"/>
        <v>0</v>
      </c>
      <c r="AT198" s="193">
        <f t="shared" si="120"/>
        <v>0</v>
      </c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123">IF($I199&lt;=$F$10,$F$11*$F$13+J198,)</f>
        <v>0</v>
      </c>
      <c r="K199" s="33">
        <f t="shared" ref="K199:K205" si="124">IF(J199=0,0,EXP(-1.0587+0.8836*LN(J199)+0.284))</f>
        <v>0</v>
      </c>
      <c r="L199" s="33">
        <f t="shared" ref="L199:L205" si="125">IF(I199&lt;=$F$10,$F$5+($F$8-$F$5)*(1-EXP(-0.0175*I199)),)</f>
        <v>0</v>
      </c>
      <c r="M199" s="33">
        <f t="shared" ref="M199:M205" si="126">IF(I199&lt;=$F$10,IF(I199&lt;=30,I199*($F$9-$F$6)/30,$F$9-$F$6),)</f>
        <v>0</v>
      </c>
      <c r="N199" s="33">
        <f t="shared" si="106"/>
        <v>0</v>
      </c>
      <c r="O199" s="34">
        <f t="shared" si="107"/>
        <v>0</v>
      </c>
      <c r="P199" s="55">
        <v>194</v>
      </c>
      <c r="Q199" s="33">
        <f t="shared" si="121"/>
        <v>0</v>
      </c>
      <c r="R199" s="33">
        <f t="shared" ref="R199:R205" si="127">IF(P199&lt;=$F$18,Q199+R198,)</f>
        <v>0</v>
      </c>
      <c r="S199" s="33">
        <f t="shared" ref="S199:S205" si="128">$F$19*R199</f>
        <v>0</v>
      </c>
      <c r="T199" s="33">
        <f t="shared" si="108"/>
        <v>0</v>
      </c>
      <c r="U199" s="33">
        <f t="shared" si="122"/>
        <v>0</v>
      </c>
      <c r="V199" s="33">
        <f t="shared" si="109"/>
        <v>0</v>
      </c>
      <c r="W199" s="33">
        <v>0</v>
      </c>
      <c r="X199" s="33">
        <f t="shared" si="110"/>
        <v>0</v>
      </c>
      <c r="Y199" s="38">
        <f t="shared" si="111"/>
        <v>0</v>
      </c>
      <c r="AA199" s="71">
        <v>194</v>
      </c>
      <c r="AB199" s="33">
        <f t="shared" si="112"/>
        <v>0</v>
      </c>
      <c r="AC199" s="304">
        <f t="shared" si="105"/>
        <v>0</v>
      </c>
      <c r="AD199" s="100">
        <f t="shared" si="113"/>
        <v>0</v>
      </c>
      <c r="AE199" s="100">
        <f t="shared" si="114"/>
        <v>0</v>
      </c>
      <c r="AF199" s="193">
        <f t="shared" si="101"/>
        <v>0</v>
      </c>
      <c r="AG199" s="193">
        <f t="shared" si="102"/>
        <v>0</v>
      </c>
      <c r="AH199" s="193">
        <f t="shared" si="103"/>
        <v>0</v>
      </c>
      <c r="AI199" s="198">
        <f t="shared" si="104"/>
        <v>0</v>
      </c>
      <c r="AK199" s="71">
        <v>194</v>
      </c>
      <c r="AL199" s="33">
        <f t="shared" si="115"/>
        <v>0</v>
      </c>
      <c r="AM199" s="33">
        <f t="shared" si="116"/>
        <v>0</v>
      </c>
      <c r="AN199" s="33">
        <f t="shared" si="117"/>
        <v>0</v>
      </c>
      <c r="AO199" s="33">
        <f t="shared" si="118"/>
        <v>0</v>
      </c>
      <c r="AP199" s="33">
        <f t="shared" si="119"/>
        <v>0</v>
      </c>
      <c r="AQ199" s="193">
        <f t="shared" si="120"/>
        <v>0</v>
      </c>
      <c r="AR199" s="193">
        <f t="shared" si="120"/>
        <v>0</v>
      </c>
      <c r="AS199" s="193">
        <f t="shared" si="120"/>
        <v>0</v>
      </c>
      <c r="AT199" s="193">
        <f t="shared" si="120"/>
        <v>0</v>
      </c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123"/>
        <v>0</v>
      </c>
      <c r="K200" s="33">
        <f t="shared" si="124"/>
        <v>0</v>
      </c>
      <c r="L200" s="33">
        <f t="shared" si="125"/>
        <v>0</v>
      </c>
      <c r="M200" s="33">
        <f t="shared" si="126"/>
        <v>0</v>
      </c>
      <c r="N200" s="33">
        <f t="shared" si="106"/>
        <v>0</v>
      </c>
      <c r="O200" s="34">
        <f t="shared" si="107"/>
        <v>0</v>
      </c>
      <c r="P200" s="55">
        <v>195</v>
      </c>
      <c r="Q200" s="33">
        <f t="shared" si="121"/>
        <v>0</v>
      </c>
      <c r="R200" s="33">
        <f t="shared" si="127"/>
        <v>0</v>
      </c>
      <c r="S200" s="33">
        <f t="shared" si="128"/>
        <v>0</v>
      </c>
      <c r="T200" s="33">
        <f t="shared" si="108"/>
        <v>0</v>
      </c>
      <c r="U200" s="33">
        <f t="shared" si="122"/>
        <v>0</v>
      </c>
      <c r="V200" s="33">
        <f t="shared" si="109"/>
        <v>0</v>
      </c>
      <c r="W200" s="33">
        <v>0</v>
      </c>
      <c r="X200" s="33">
        <f t="shared" si="110"/>
        <v>0</v>
      </c>
      <c r="Y200" s="38">
        <f t="shared" si="111"/>
        <v>0</v>
      </c>
      <c r="AA200" s="71">
        <v>195</v>
      </c>
      <c r="AB200" s="33">
        <f t="shared" si="112"/>
        <v>0</v>
      </c>
      <c r="AC200" s="304">
        <f t="shared" si="105"/>
        <v>0</v>
      </c>
      <c r="AD200" s="100">
        <f t="shared" si="113"/>
        <v>0</v>
      </c>
      <c r="AE200" s="100">
        <f t="shared" si="114"/>
        <v>0</v>
      </c>
      <c r="AF200" s="193">
        <f t="shared" si="101"/>
        <v>0</v>
      </c>
      <c r="AG200" s="193">
        <f t="shared" si="102"/>
        <v>0</v>
      </c>
      <c r="AH200" s="193">
        <f t="shared" si="103"/>
        <v>0</v>
      </c>
      <c r="AI200" s="198">
        <f t="shared" si="104"/>
        <v>0</v>
      </c>
      <c r="AK200" s="71">
        <v>195</v>
      </c>
      <c r="AL200" s="33">
        <f t="shared" si="115"/>
        <v>0</v>
      </c>
      <c r="AM200" s="33">
        <f t="shared" si="116"/>
        <v>0</v>
      </c>
      <c r="AN200" s="33">
        <f t="shared" si="117"/>
        <v>0</v>
      </c>
      <c r="AO200" s="33">
        <f t="shared" si="118"/>
        <v>0</v>
      </c>
      <c r="AP200" s="33">
        <f t="shared" si="119"/>
        <v>0</v>
      </c>
      <c r="AQ200" s="193">
        <f t="shared" si="120"/>
        <v>0</v>
      </c>
      <c r="AR200" s="193">
        <f t="shared" si="120"/>
        <v>0</v>
      </c>
      <c r="AS200" s="193">
        <f t="shared" si="120"/>
        <v>0</v>
      </c>
      <c r="AT200" s="193">
        <f t="shared" si="120"/>
        <v>0</v>
      </c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123"/>
        <v>0</v>
      </c>
      <c r="K201" s="33">
        <f t="shared" si="124"/>
        <v>0</v>
      </c>
      <c r="L201" s="33">
        <f t="shared" si="125"/>
        <v>0</v>
      </c>
      <c r="M201" s="33">
        <f t="shared" si="126"/>
        <v>0</v>
      </c>
      <c r="N201" s="33">
        <f t="shared" si="106"/>
        <v>0</v>
      </c>
      <c r="O201" s="34">
        <f t="shared" si="107"/>
        <v>0</v>
      </c>
      <c r="P201" s="55">
        <v>196</v>
      </c>
      <c r="Q201" s="33">
        <f t="shared" si="121"/>
        <v>0</v>
      </c>
      <c r="R201" s="33">
        <f t="shared" si="127"/>
        <v>0</v>
      </c>
      <c r="S201" s="33">
        <f t="shared" si="128"/>
        <v>0</v>
      </c>
      <c r="T201" s="33">
        <f t="shared" si="108"/>
        <v>0</v>
      </c>
      <c r="U201" s="33">
        <f t="shared" si="122"/>
        <v>0</v>
      </c>
      <c r="V201" s="33">
        <f t="shared" si="109"/>
        <v>0</v>
      </c>
      <c r="W201" s="33">
        <v>0</v>
      </c>
      <c r="X201" s="33">
        <f t="shared" si="110"/>
        <v>0</v>
      </c>
      <c r="Y201" s="38">
        <f t="shared" si="111"/>
        <v>0</v>
      </c>
      <c r="AA201" s="71">
        <v>196</v>
      </c>
      <c r="AB201" s="33">
        <f t="shared" si="112"/>
        <v>0</v>
      </c>
      <c r="AC201" s="304">
        <f t="shared" si="105"/>
        <v>0</v>
      </c>
      <c r="AD201" s="100">
        <f t="shared" si="113"/>
        <v>0</v>
      </c>
      <c r="AE201" s="100">
        <f t="shared" si="114"/>
        <v>0</v>
      </c>
      <c r="AF201" s="193">
        <f t="shared" si="101"/>
        <v>0</v>
      </c>
      <c r="AG201" s="193">
        <f t="shared" si="102"/>
        <v>0</v>
      </c>
      <c r="AH201" s="193">
        <f t="shared" si="103"/>
        <v>0</v>
      </c>
      <c r="AI201" s="198">
        <f t="shared" si="104"/>
        <v>0</v>
      </c>
      <c r="AK201" s="71">
        <v>196</v>
      </c>
      <c r="AL201" s="33">
        <f t="shared" si="115"/>
        <v>0</v>
      </c>
      <c r="AM201" s="33">
        <f t="shared" si="116"/>
        <v>0</v>
      </c>
      <c r="AN201" s="33">
        <f t="shared" si="117"/>
        <v>0</v>
      </c>
      <c r="AO201" s="33">
        <f t="shared" si="118"/>
        <v>0</v>
      </c>
      <c r="AP201" s="33">
        <f t="shared" si="119"/>
        <v>0</v>
      </c>
      <c r="AQ201" s="193">
        <f t="shared" si="120"/>
        <v>0</v>
      </c>
      <c r="AR201" s="193">
        <f t="shared" si="120"/>
        <v>0</v>
      </c>
      <c r="AS201" s="193">
        <f t="shared" si="120"/>
        <v>0</v>
      </c>
      <c r="AT201" s="193">
        <f t="shared" si="120"/>
        <v>0</v>
      </c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123"/>
        <v>0</v>
      </c>
      <c r="K202" s="33">
        <f t="shared" si="124"/>
        <v>0</v>
      </c>
      <c r="L202" s="33">
        <f t="shared" si="125"/>
        <v>0</v>
      </c>
      <c r="M202" s="33">
        <f t="shared" si="126"/>
        <v>0</v>
      </c>
      <c r="N202" s="33">
        <f t="shared" si="106"/>
        <v>0</v>
      </c>
      <c r="O202" s="34">
        <f t="shared" si="107"/>
        <v>0</v>
      </c>
      <c r="P202" s="55">
        <v>197</v>
      </c>
      <c r="Q202" s="33">
        <f t="shared" si="121"/>
        <v>0</v>
      </c>
      <c r="R202" s="33">
        <f t="shared" si="127"/>
        <v>0</v>
      </c>
      <c r="S202" s="33">
        <f t="shared" si="128"/>
        <v>0</v>
      </c>
      <c r="T202" s="33">
        <f t="shared" si="108"/>
        <v>0</v>
      </c>
      <c r="U202" s="33">
        <f t="shared" si="122"/>
        <v>0</v>
      </c>
      <c r="V202" s="33">
        <f t="shared" si="109"/>
        <v>0</v>
      </c>
      <c r="W202" s="33">
        <v>0</v>
      </c>
      <c r="X202" s="33">
        <f t="shared" si="110"/>
        <v>0</v>
      </c>
      <c r="Y202" s="38">
        <f t="shared" si="111"/>
        <v>0</v>
      </c>
      <c r="AA202" s="71">
        <v>197</v>
      </c>
      <c r="AB202" s="33">
        <f t="shared" si="112"/>
        <v>0</v>
      </c>
      <c r="AC202" s="304">
        <f t="shared" si="105"/>
        <v>0</v>
      </c>
      <c r="AD202" s="100">
        <f t="shared" si="113"/>
        <v>0</v>
      </c>
      <c r="AE202" s="100">
        <f t="shared" si="114"/>
        <v>0</v>
      </c>
      <c r="AF202" s="193">
        <f t="shared" si="101"/>
        <v>0</v>
      </c>
      <c r="AG202" s="193">
        <f t="shared" si="102"/>
        <v>0</v>
      </c>
      <c r="AH202" s="193">
        <f t="shared" si="103"/>
        <v>0</v>
      </c>
      <c r="AI202" s="198">
        <f t="shared" si="104"/>
        <v>0</v>
      </c>
      <c r="AK202" s="71">
        <v>197</v>
      </c>
      <c r="AL202" s="33">
        <f t="shared" si="115"/>
        <v>0</v>
      </c>
      <c r="AM202" s="33">
        <f t="shared" si="116"/>
        <v>0</v>
      </c>
      <c r="AN202" s="33">
        <f t="shared" si="117"/>
        <v>0</v>
      </c>
      <c r="AO202" s="33">
        <f t="shared" si="118"/>
        <v>0</v>
      </c>
      <c r="AP202" s="33">
        <f t="shared" si="119"/>
        <v>0</v>
      </c>
      <c r="AQ202" s="193">
        <f t="shared" si="120"/>
        <v>0</v>
      </c>
      <c r="AR202" s="193">
        <f t="shared" si="120"/>
        <v>0</v>
      </c>
      <c r="AS202" s="193">
        <f t="shared" si="120"/>
        <v>0</v>
      </c>
      <c r="AT202" s="193">
        <f t="shared" si="120"/>
        <v>0</v>
      </c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123"/>
        <v>0</v>
      </c>
      <c r="K203" s="33">
        <f t="shared" si="124"/>
        <v>0</v>
      </c>
      <c r="L203" s="33">
        <f t="shared" si="125"/>
        <v>0</v>
      </c>
      <c r="M203" s="33">
        <f t="shared" si="126"/>
        <v>0</v>
      </c>
      <c r="N203" s="33">
        <f t="shared" si="106"/>
        <v>0</v>
      </c>
      <c r="O203" s="34">
        <f t="shared" si="107"/>
        <v>0</v>
      </c>
      <c r="P203" s="55">
        <v>198</v>
      </c>
      <c r="Q203" s="33">
        <f t="shared" si="121"/>
        <v>0</v>
      </c>
      <c r="R203" s="33">
        <f t="shared" si="127"/>
        <v>0</v>
      </c>
      <c r="S203" s="33">
        <f t="shared" si="128"/>
        <v>0</v>
      </c>
      <c r="T203" s="33">
        <f t="shared" si="108"/>
        <v>0</v>
      </c>
      <c r="U203" s="33">
        <f t="shared" si="122"/>
        <v>0</v>
      </c>
      <c r="V203" s="33">
        <f t="shared" si="109"/>
        <v>0</v>
      </c>
      <c r="W203" s="33">
        <v>0</v>
      </c>
      <c r="X203" s="33">
        <f t="shared" si="110"/>
        <v>0</v>
      </c>
      <c r="Y203" s="38">
        <f t="shared" si="111"/>
        <v>0</v>
      </c>
      <c r="AA203" s="71">
        <v>198</v>
      </c>
      <c r="AB203" s="33">
        <f t="shared" si="112"/>
        <v>0</v>
      </c>
      <c r="AC203" s="304">
        <f t="shared" si="105"/>
        <v>0</v>
      </c>
      <c r="AD203" s="100">
        <f t="shared" si="113"/>
        <v>0</v>
      </c>
      <c r="AE203" s="100">
        <f t="shared" si="114"/>
        <v>0</v>
      </c>
      <c r="AF203" s="193">
        <f t="shared" si="101"/>
        <v>0</v>
      </c>
      <c r="AG203" s="193">
        <f t="shared" si="102"/>
        <v>0</v>
      </c>
      <c r="AH203" s="193">
        <f t="shared" si="103"/>
        <v>0</v>
      </c>
      <c r="AI203" s="198">
        <f t="shared" si="104"/>
        <v>0</v>
      </c>
      <c r="AK203" s="71">
        <v>198</v>
      </c>
      <c r="AL203" s="33">
        <f t="shared" si="115"/>
        <v>0</v>
      </c>
      <c r="AM203" s="33">
        <f t="shared" si="116"/>
        <v>0</v>
      </c>
      <c r="AN203" s="33">
        <f t="shared" si="117"/>
        <v>0</v>
      </c>
      <c r="AO203" s="33">
        <f t="shared" si="118"/>
        <v>0</v>
      </c>
      <c r="AP203" s="33">
        <f t="shared" si="119"/>
        <v>0</v>
      </c>
      <c r="AQ203" s="193">
        <f t="shared" si="120"/>
        <v>0</v>
      </c>
      <c r="AR203" s="193">
        <f t="shared" si="120"/>
        <v>0</v>
      </c>
      <c r="AS203" s="193">
        <f t="shared" si="120"/>
        <v>0</v>
      </c>
      <c r="AT203" s="193">
        <f t="shared" si="120"/>
        <v>0</v>
      </c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123"/>
        <v>0</v>
      </c>
      <c r="K204" s="33">
        <f t="shared" si="124"/>
        <v>0</v>
      </c>
      <c r="L204" s="33">
        <f t="shared" si="125"/>
        <v>0</v>
      </c>
      <c r="M204" s="33">
        <f t="shared" si="126"/>
        <v>0</v>
      </c>
      <c r="N204" s="33">
        <f t="shared" si="106"/>
        <v>0</v>
      </c>
      <c r="O204" s="34">
        <f t="shared" si="107"/>
        <v>0</v>
      </c>
      <c r="P204" s="55">
        <v>199</v>
      </c>
      <c r="Q204" s="33">
        <f t="shared" si="121"/>
        <v>0</v>
      </c>
      <c r="R204" s="33">
        <f t="shared" si="127"/>
        <v>0</v>
      </c>
      <c r="S204" s="33">
        <f t="shared" si="128"/>
        <v>0</v>
      </c>
      <c r="T204" s="33">
        <f t="shared" si="108"/>
        <v>0</v>
      </c>
      <c r="U204" s="33">
        <f t="shared" si="122"/>
        <v>0</v>
      </c>
      <c r="V204" s="33">
        <f t="shared" si="109"/>
        <v>0</v>
      </c>
      <c r="W204" s="33">
        <v>0</v>
      </c>
      <c r="X204" s="33">
        <f t="shared" si="110"/>
        <v>0</v>
      </c>
      <c r="Y204" s="38">
        <f t="shared" si="111"/>
        <v>0</v>
      </c>
      <c r="AA204" s="71">
        <v>199</v>
      </c>
      <c r="AB204" s="33">
        <f t="shared" si="112"/>
        <v>0</v>
      </c>
      <c r="AC204" s="304">
        <f t="shared" si="105"/>
        <v>0</v>
      </c>
      <c r="AD204" s="100">
        <f t="shared" si="113"/>
        <v>0</v>
      </c>
      <c r="AE204" s="100">
        <f t="shared" si="114"/>
        <v>0</v>
      </c>
      <c r="AF204" s="193">
        <f t="shared" si="101"/>
        <v>0</v>
      </c>
      <c r="AG204" s="193">
        <f t="shared" si="102"/>
        <v>0</v>
      </c>
      <c r="AH204" s="193">
        <f t="shared" si="103"/>
        <v>0</v>
      </c>
      <c r="AI204" s="198">
        <f t="shared" si="104"/>
        <v>0</v>
      </c>
      <c r="AK204" s="71">
        <v>199</v>
      </c>
      <c r="AL204" s="33">
        <f t="shared" si="115"/>
        <v>0</v>
      </c>
      <c r="AM204" s="33">
        <f t="shared" si="116"/>
        <v>0</v>
      </c>
      <c r="AN204" s="33">
        <f t="shared" si="117"/>
        <v>0</v>
      </c>
      <c r="AO204" s="33">
        <f t="shared" si="118"/>
        <v>0</v>
      </c>
      <c r="AP204" s="33">
        <f t="shared" si="119"/>
        <v>0</v>
      </c>
      <c r="AQ204" s="193">
        <f t="shared" si="120"/>
        <v>0</v>
      </c>
      <c r="AR204" s="193">
        <f t="shared" si="120"/>
        <v>0</v>
      </c>
      <c r="AS204" s="193">
        <f t="shared" si="120"/>
        <v>0</v>
      </c>
      <c r="AT204" s="193">
        <f t="shared" si="120"/>
        <v>0</v>
      </c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123"/>
        <v>0</v>
      </c>
      <c r="K205" s="33">
        <f t="shared" si="124"/>
        <v>0</v>
      </c>
      <c r="L205" s="33">
        <f t="shared" si="125"/>
        <v>0</v>
      </c>
      <c r="M205" s="33">
        <f t="shared" si="126"/>
        <v>0</v>
      </c>
      <c r="N205" s="35">
        <f>IF(F208&lt;=$F$18,0,)</f>
        <v>0</v>
      </c>
      <c r="O205" s="34">
        <f t="shared" si="107"/>
        <v>0</v>
      </c>
      <c r="P205" s="56">
        <v>200</v>
      </c>
      <c r="Q205" s="35">
        <f t="shared" si="121"/>
        <v>0</v>
      </c>
      <c r="R205" s="35">
        <f t="shared" si="127"/>
        <v>0</v>
      </c>
      <c r="S205" s="35">
        <f t="shared" si="128"/>
        <v>0</v>
      </c>
      <c r="T205" s="35">
        <f t="shared" si="108"/>
        <v>0</v>
      </c>
      <c r="U205" s="35">
        <f t="shared" si="122"/>
        <v>0</v>
      </c>
      <c r="V205" s="35">
        <f t="shared" si="109"/>
        <v>0</v>
      </c>
      <c r="W205" s="35">
        <v>0</v>
      </c>
      <c r="X205" s="154">
        <f t="shared" si="110"/>
        <v>0</v>
      </c>
      <c r="Y205" s="39">
        <f t="shared" si="111"/>
        <v>0</v>
      </c>
      <c r="AA205" s="72">
        <v>200</v>
      </c>
      <c r="AB205" s="142">
        <f t="shared" si="112"/>
        <v>0</v>
      </c>
      <c r="AC205" s="304">
        <f t="shared" si="105"/>
        <v>0</v>
      </c>
      <c r="AD205" s="101">
        <f t="shared" si="113"/>
        <v>0</v>
      </c>
      <c r="AE205" s="101">
        <f t="shared" si="114"/>
        <v>0</v>
      </c>
      <c r="AF205" s="195">
        <f t="shared" si="101"/>
        <v>0</v>
      </c>
      <c r="AG205" s="195">
        <f t="shared" si="102"/>
        <v>0</v>
      </c>
      <c r="AH205" s="195">
        <f t="shared" si="103"/>
        <v>0</v>
      </c>
      <c r="AI205" s="202">
        <f t="shared" si="104"/>
        <v>0</v>
      </c>
      <c r="AK205" s="72">
        <v>200</v>
      </c>
      <c r="AL205" s="142">
        <f t="shared" si="115"/>
        <v>0</v>
      </c>
      <c r="AM205" s="35">
        <f t="shared" si="116"/>
        <v>0</v>
      </c>
      <c r="AN205" s="35">
        <f t="shared" si="117"/>
        <v>0</v>
      </c>
      <c r="AO205" s="35">
        <f t="shared" si="118"/>
        <v>0</v>
      </c>
      <c r="AP205" s="35">
        <f t="shared" si="119"/>
        <v>0</v>
      </c>
      <c r="AQ205" s="195">
        <f t="shared" si="120"/>
        <v>0</v>
      </c>
      <c r="AR205" s="195">
        <f t="shared" si="120"/>
        <v>0</v>
      </c>
      <c r="AS205" s="195">
        <f t="shared" si="120"/>
        <v>0</v>
      </c>
      <c r="AT205" s="195">
        <f t="shared" si="120"/>
        <v>0</v>
      </c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P3:X3"/>
    <mergeCell ref="AA3:AI3"/>
    <mergeCell ref="AK3:AY3"/>
    <mergeCell ref="B5:B6"/>
    <mergeCell ref="D5:E5"/>
    <mergeCell ref="D6:E6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4">
    <dataValidation type="list" allowBlank="1" showInputMessage="1" showErrorMessage="1" sqref="D81:G81" xr:uid="{00000000-0002-0000-0300-000000000000}">
      <formula1>$B$104:$B$108</formula1>
    </dataValidation>
    <dataValidation type="list" allowBlank="1" showInputMessage="1" showErrorMessage="1" sqref="D8:E8 D5:E5 D15" xr:uid="{00000000-0002-0000-0300-000001000000}">
      <formula1>$B$97:$B$100</formula1>
    </dataValidation>
    <dataValidation type="list" allowBlank="1" showInputMessage="1" showErrorMessage="1" sqref="F12" xr:uid="{00000000-0002-0000-0300-000002000000}">
      <formula1>$C$194:$C$195</formula1>
    </dataValidation>
    <dataValidation type="list" allowBlank="1" showInputMessage="1" showErrorMessage="1" sqref="F17" xr:uid="{00000000-0002-0000-0300-000003000000}">
      <formula1>$C$130:$C$195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A3:BC207"/>
  <sheetViews>
    <sheetView topLeftCell="A5" zoomScale="85" zoomScaleNormal="85" workbookViewId="0">
      <selection activeCell="F22" sqref="F22"/>
    </sheetView>
  </sheetViews>
  <sheetFormatPr baseColWidth="10" defaultRowHeight="15"/>
  <cols>
    <col min="3" max="5" width="13.664062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2" customWidth="1"/>
    <col min="47" max="51" width="10.5" customWidth="1"/>
    <col min="52" max="52" width="11.5" style="159"/>
    <col min="54" max="54" width="19.33203125" customWidth="1"/>
  </cols>
  <sheetData>
    <row r="3" spans="2:52" ht="16">
      <c r="I3" s="380" t="s">
        <v>172</v>
      </c>
      <c r="J3" s="381"/>
      <c r="K3" s="381"/>
      <c r="L3" s="381"/>
      <c r="M3" s="381"/>
      <c r="N3" s="381"/>
      <c r="O3" s="382"/>
      <c r="P3" s="383" t="s">
        <v>144</v>
      </c>
      <c r="Q3" s="384"/>
      <c r="R3" s="384"/>
      <c r="S3" s="384"/>
      <c r="T3" s="384"/>
      <c r="U3" s="384"/>
      <c r="V3" s="384"/>
      <c r="W3" s="384"/>
      <c r="X3" s="385"/>
      <c r="Y3" s="90"/>
      <c r="Z3" s="90"/>
      <c r="AA3" s="371" t="s">
        <v>159</v>
      </c>
      <c r="AB3" s="372"/>
      <c r="AC3" s="372"/>
      <c r="AD3" s="372"/>
      <c r="AE3" s="372"/>
      <c r="AF3" s="372"/>
      <c r="AG3" s="372"/>
      <c r="AH3" s="372"/>
      <c r="AI3" s="373"/>
      <c r="AJ3" s="90"/>
      <c r="AK3" s="371" t="s">
        <v>171</v>
      </c>
      <c r="AL3" s="372"/>
      <c r="AM3" s="372"/>
      <c r="AN3" s="372"/>
      <c r="AO3" s="372"/>
      <c r="AP3" s="372"/>
      <c r="AQ3" s="372"/>
      <c r="AR3" s="372"/>
      <c r="AS3" s="372"/>
      <c r="AT3" s="372"/>
      <c r="AU3" s="372"/>
      <c r="AV3" s="372"/>
      <c r="AW3" s="372"/>
      <c r="AX3" s="372"/>
      <c r="AY3" s="373"/>
    </row>
    <row r="4" spans="2:52" ht="45" customHeight="1">
      <c r="B4" s="375" t="s">
        <v>173</v>
      </c>
      <c r="C4" s="375"/>
      <c r="D4" s="375"/>
      <c r="E4" s="375"/>
      <c r="F4" s="375"/>
      <c r="I4" s="59" t="s">
        <v>76</v>
      </c>
      <c r="J4" s="60" t="s">
        <v>108</v>
      </c>
      <c r="K4" s="60" t="s">
        <v>109</v>
      </c>
      <c r="L4" s="60" t="s">
        <v>72</v>
      </c>
      <c r="M4" s="60" t="s">
        <v>110</v>
      </c>
      <c r="N4" s="60" t="s">
        <v>111</v>
      </c>
      <c r="O4" s="88" t="s">
        <v>113</v>
      </c>
      <c r="P4" s="59" t="s">
        <v>76</v>
      </c>
      <c r="Q4" s="61" t="s">
        <v>118</v>
      </c>
      <c r="R4" s="61" t="s">
        <v>119</v>
      </c>
      <c r="S4" s="62" t="s">
        <v>105</v>
      </c>
      <c r="T4" s="63" t="s">
        <v>104</v>
      </c>
      <c r="U4" s="60" t="s">
        <v>3</v>
      </c>
      <c r="V4" s="60" t="s">
        <v>106</v>
      </c>
      <c r="W4" s="60" t="s">
        <v>107</v>
      </c>
      <c r="X4" s="89" t="s">
        <v>112</v>
      </c>
      <c r="Y4" s="66" t="s">
        <v>120</v>
      </c>
      <c r="AA4" s="70" t="s">
        <v>76</v>
      </c>
      <c r="AB4" s="61" t="s">
        <v>146</v>
      </c>
      <c r="AC4" s="62" t="s">
        <v>147</v>
      </c>
      <c r="AD4" s="68" t="s">
        <v>148</v>
      </c>
      <c r="AE4" s="64" t="s">
        <v>149</v>
      </c>
      <c r="AF4" s="64" t="s">
        <v>150</v>
      </c>
      <c r="AG4" s="64" t="s">
        <v>151</v>
      </c>
      <c r="AH4" s="64" t="s">
        <v>152</v>
      </c>
      <c r="AI4" s="75" t="s">
        <v>153</v>
      </c>
      <c r="AK4" s="70" t="s">
        <v>76</v>
      </c>
      <c r="AL4" s="61" t="s">
        <v>146</v>
      </c>
      <c r="AM4" s="62" t="s">
        <v>147</v>
      </c>
      <c r="AN4" s="68" t="s">
        <v>148</v>
      </c>
      <c r="AO4" s="64" t="s">
        <v>149</v>
      </c>
      <c r="AP4" s="64" t="s">
        <v>161</v>
      </c>
      <c r="AQ4" s="192" t="s">
        <v>187</v>
      </c>
      <c r="AR4" s="192" t="s">
        <v>188</v>
      </c>
      <c r="AS4" s="192" t="s">
        <v>189</v>
      </c>
      <c r="AT4" s="192" t="s">
        <v>190</v>
      </c>
      <c r="AU4" s="64" t="s">
        <v>162</v>
      </c>
      <c r="AV4" s="64" t="s">
        <v>163</v>
      </c>
      <c r="AW4" s="64" t="s">
        <v>164</v>
      </c>
      <c r="AX4" s="64" t="s">
        <v>165</v>
      </c>
      <c r="AY4" s="75" t="s">
        <v>153</v>
      </c>
      <c r="AZ4" s="196"/>
    </row>
    <row r="5" spans="2:52">
      <c r="B5" s="364" t="s">
        <v>133</v>
      </c>
      <c r="C5" s="91" t="s">
        <v>73</v>
      </c>
      <c r="D5" s="376" t="s">
        <v>135</v>
      </c>
      <c r="E5" s="376"/>
      <c r="F5" s="92">
        <f>IF(D5="","",VLOOKUP(D5,$B$97:$C$100,2,0))</f>
        <v>70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IF(AA5&lt;=$F$18,IFERROR(VLOOKUP($AA5,$B$82:$G$94,2,FALSE),0),)</f>
        <v>0</v>
      </c>
      <c r="AC5" s="304">
        <f t="shared" ref="AC5:AC29" si="7">IF(AA5&lt;=$F$18,IFERROR(VLOOKUP($AA5,$B$82:$G$94,3,FALSE),0),)*50%</f>
        <v>0</v>
      </c>
      <c r="AD5" s="100">
        <f t="shared" ref="AD5:AD68" si="8">IF(AA5&lt;=$F$18,IFERROR(VLOOKUP($AA5,$B$82:$G$94,4,FALSE),0),)</f>
        <v>0</v>
      </c>
      <c r="AE5" s="100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68" si="10">IF(AK5&lt;=$F$18,IFERROR(VLOOKUP($AA5,$B$82:$G$94,2,FALSE),0),)</f>
        <v>0</v>
      </c>
      <c r="AM5" s="33">
        <f t="shared" ref="AM5:AM68" si="11">IF(AK5&lt;=$F$18,IFERROR(VLOOKUP($AA5,$B$82:$G$94,3,FALSE),0),)</f>
        <v>0</v>
      </c>
      <c r="AN5" s="33">
        <f t="shared" ref="AN5:AN68" si="12">IF(AK5&lt;=$F$18,IFERROR(VLOOKUP($AA5,$B$82:$G$94,4,FALSE),0),)</f>
        <v>0</v>
      </c>
      <c r="AO5" s="33">
        <f t="shared" ref="AO5:AO68" si="13">IF(AK5&lt;=$F$18,IFERROR(VLOOKUP($AA5,$B$82:$G$94,5,FALSE),0),)</f>
        <v>0</v>
      </c>
      <c r="AP5" s="33">
        <f t="shared" ref="AP5:AP68" si="14">IF(AK5&lt;=$F$18,IFERROR(VLOOKUP($AA5,$B$82:$G$94,6,FALSE),0),)</f>
        <v>0</v>
      </c>
      <c r="AQ5" s="193">
        <v>0</v>
      </c>
      <c r="AR5" s="193">
        <v>0</v>
      </c>
      <c r="AS5" s="193">
        <v>0</v>
      </c>
      <c r="AT5" s="193">
        <v>0</v>
      </c>
      <c r="AU5" s="33"/>
      <c r="AV5" s="33"/>
      <c r="AW5" s="33"/>
      <c r="AX5" s="33"/>
      <c r="AY5" s="163">
        <v>0</v>
      </c>
    </row>
    <row r="6" spans="2:52">
      <c r="B6" s="365"/>
      <c r="C6" s="98" t="s">
        <v>74</v>
      </c>
      <c r="D6" s="367" t="s">
        <v>260</v>
      </c>
      <c r="E6" s="367"/>
      <c r="F6" s="99">
        <f>VLOOKUP(D5,$B$97:$D$100,3,FALSE)</f>
        <v>0</v>
      </c>
      <c r="I6" s="55">
        <v>1</v>
      </c>
      <c r="J6" s="33">
        <f>IF(D8&lt;&gt;"Cultures",IF($I6&lt;=$F$10,$F$11*$F$13+J5,),5)</f>
        <v>0.42</v>
      </c>
      <c r="K6" s="33">
        <f>IF(J6=0,0,EXP(-1.0587+0.8836*LN(J6)+0.284))</f>
        <v>0.2141189661953912</v>
      </c>
      <c r="L6" s="33">
        <f>IF(I6&lt;=$F$10,$F$5+($F$8-$F$5)*(1-EXP(-0.0175*I6)),)</f>
        <v>70</v>
      </c>
      <c r="M6" s="33">
        <f>IF(I6&lt;=$F$10,IF(I6&lt;=30,I6*($F$9-$F$6)/30,$F$9-$F$6),)</f>
        <v>0.33333333333333331</v>
      </c>
      <c r="N6" s="33">
        <f t="shared" si="0"/>
        <v>0</v>
      </c>
      <c r="O6" s="34">
        <f t="shared" si="1"/>
        <v>258.99331275501248</v>
      </c>
      <c r="P6" s="55">
        <v>1</v>
      </c>
      <c r="Q6" s="33">
        <f t="shared" ref="Q6:Q69" si="15">IF(P6&lt;=$F$18,LOOKUP(P6-1,$B$25:$B$78,$G$25:$G$78),)</f>
        <v>3.5533333333333337</v>
      </c>
      <c r="R6" s="33">
        <f>IF(P6&lt;=$F$18,Q6+R5,)</f>
        <v>3.5533333333333337</v>
      </c>
      <c r="S6" s="33">
        <f>$F$19*R6</f>
        <v>1.6345333333333336</v>
      </c>
      <c r="T6" s="33">
        <f t="shared" si="2"/>
        <v>0.71138845093871073</v>
      </c>
      <c r="U6" s="33">
        <f t="shared" ref="U6:U69" si="16">IF(P6&lt;=$F$18,$F$5+($F$15-$F$5)*(1-EXP(-0.0175*P6)),)</f>
        <v>70</v>
      </c>
      <c r="V6" s="33">
        <f t="shared" si="3"/>
        <v>0.33333333333333331</v>
      </c>
      <c r="W6" s="33">
        <v>0</v>
      </c>
      <c r="X6" s="33">
        <f t="shared" si="4"/>
        <v>261.97470266316265</v>
      </c>
      <c r="Y6" s="38">
        <f t="shared" si="5"/>
        <v>2.9813899081501631</v>
      </c>
      <c r="AA6" s="71">
        <v>1</v>
      </c>
      <c r="AB6" s="33">
        <f t="shared" si="6"/>
        <v>0</v>
      </c>
      <c r="AC6" s="304">
        <f t="shared" si="7"/>
        <v>0</v>
      </c>
      <c r="AD6" s="100">
        <f t="shared" si="8"/>
        <v>0</v>
      </c>
      <c r="AE6" s="100">
        <f t="shared" si="9"/>
        <v>0</v>
      </c>
      <c r="AF6" s="193">
        <f>IF(OR(AA6&lt;=$F$18,AA6&lt;=30),EXP(-LN(2)/$D$104)*AF5+((1-EXP(-LN(2)/$D$104))/(LN(2)/$D$104))*$AB6*AC6*0.475*$F$19*44/12,)</f>
        <v>0</v>
      </c>
      <c r="AG6" s="193">
        <f>IF(OR(AA6&lt;=$F$18,AA6&lt;=30),EXP(-LN(2)/$D$106)*AG5+((1-EXP(-LN(2)/$D$106))/(LN(2)/$D$106))*$AB6*AD6*0.475*$F$19*44/12,)</f>
        <v>0</v>
      </c>
      <c r="AH6" s="193">
        <f>IF(OR(AA6&lt;=$F$18,AA6&lt;=30),EXP(-LN(2)/$D$105)*AH5+((1-EXP(-LN(2)/$D$105))/(LN(2)/$D$105))*$AB6*AE6*0.475*$F$19*44/12,)</f>
        <v>0</v>
      </c>
      <c r="AI6" s="198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3">
        <f t="shared" ref="AQ6:AT24" si="17">IF($AK6&lt;=$F$18,$AL6*AM6,)</f>
        <v>0</v>
      </c>
      <c r="AR6" s="193">
        <f t="shared" si="17"/>
        <v>0</v>
      </c>
      <c r="AS6" s="193">
        <f t="shared" si="17"/>
        <v>0</v>
      </c>
      <c r="AT6" s="193">
        <f t="shared" si="17"/>
        <v>0</v>
      </c>
      <c r="AU6" s="33"/>
      <c r="AV6" s="33"/>
      <c r="AW6" s="33"/>
      <c r="AX6" s="33"/>
      <c r="AY6" s="163">
        <f>IF(AK6&lt;=$F$18,AL6*$G$108+AY5,)</f>
        <v>0</v>
      </c>
      <c r="AZ6" s="197"/>
    </row>
    <row r="7" spans="2:52">
      <c r="B7" s="364" t="s">
        <v>134</v>
      </c>
      <c r="C7" s="377"/>
      <c r="D7" s="378"/>
      <c r="E7" s="378"/>
      <c r="F7" s="379"/>
      <c r="I7" s="55">
        <v>2</v>
      </c>
      <c r="J7" s="33">
        <f t="shared" ref="J7:J70" si="18">IF($I7&lt;=$F$10,$F$11*$F$13+J6,)</f>
        <v>0.84</v>
      </c>
      <c r="K7" s="33">
        <f t="shared" ref="K7:K70" si="19">IF(J7=0,0,EXP(-1.0587+0.8836*LN(J7)+0.284))</f>
        <v>0.39504379260136169</v>
      </c>
      <c r="L7" s="33">
        <f t="shared" ref="L7:L70" si="20">IF(I7&lt;=$F$10,$F$5+($F$8-$F$5)*(1-EXP(-0.0175*I7)),)</f>
        <v>70</v>
      </c>
      <c r="M7" s="33">
        <f t="shared" ref="M7:M70" si="21">IF(I7&lt;=$F$10,IF(I7&lt;=30,I7*($F$9-$F$6)/30,$F$9-$F$6),)</f>
        <v>0.66666666666666663</v>
      </c>
      <c r="N7" s="33">
        <f t="shared" si="0"/>
        <v>0</v>
      </c>
      <c r="O7" s="34">
        <f t="shared" si="1"/>
        <v>261.26214571655851</v>
      </c>
      <c r="P7" s="55">
        <v>2</v>
      </c>
      <c r="Q7" s="33">
        <f t="shared" si="15"/>
        <v>3.5533333333333337</v>
      </c>
      <c r="R7" s="33">
        <f t="shared" ref="R7:R70" si="22">IF(P7&lt;=$F$18,Q7+R6,)</f>
        <v>7.1066666666666674</v>
      </c>
      <c r="S7" s="33">
        <f t="shared" ref="S7:S70" si="23">$F$19*R7</f>
        <v>3.2690666666666672</v>
      </c>
      <c r="T7" s="33">
        <f t="shared" si="2"/>
        <v>1.3124927542158338</v>
      </c>
      <c r="U7" s="33">
        <f t="shared" si="16"/>
        <v>70</v>
      </c>
      <c r="V7" s="33">
        <f t="shared" si="3"/>
        <v>0.66666666666666663</v>
      </c>
      <c r="W7" s="33">
        <v>0</v>
      </c>
      <c r="X7" s="33">
        <f t="shared" si="4"/>
        <v>267.09066043581481</v>
      </c>
      <c r="Y7" s="38">
        <f t="shared" si="5"/>
        <v>5.8285147192563045</v>
      </c>
      <c r="AA7" s="71">
        <v>2</v>
      </c>
      <c r="AB7" s="33">
        <f t="shared" si="6"/>
        <v>0</v>
      </c>
      <c r="AC7" s="304">
        <f t="shared" si="7"/>
        <v>0</v>
      </c>
      <c r="AD7" s="100">
        <f t="shared" si="8"/>
        <v>0</v>
      </c>
      <c r="AE7" s="100">
        <f t="shared" si="9"/>
        <v>0</v>
      </c>
      <c r="AF7" s="193">
        <f>IF(OR(AA7&lt;=$F$18,AA7&lt;=30),EXP(-LN(2)/$D$104)*AF6+((1-EXP(-LN(2)/$D$104))/(LN(2)/$D$104))*$AB7*AC7*0.475*$F$19*44/12,)</f>
        <v>0</v>
      </c>
      <c r="AG7" s="193">
        <f>IF(OR(AA7&lt;=$F$18,AA7&lt;=30),EXP(-LN(2)/$D$106)*AG6+((1-EXP(-LN(2)/$D$106))/(LN(2)/$D$106))*$AB7*AD7*0.475*$F$19*44/12,)</f>
        <v>0</v>
      </c>
      <c r="AH7" s="193">
        <f>IF(OR(AA7&lt;=$F$18,AA7&lt;=30),EXP(-LN(2)/$D$105)*AH6+((1-EXP(-LN(2)/$D$105))/(LN(2)/$D$105))*$AB7*AE7*0.475*$F$19*44/12,)</f>
        <v>0</v>
      </c>
      <c r="AI7" s="198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3">
        <f t="shared" si="17"/>
        <v>0</v>
      </c>
      <c r="AR7" s="193">
        <f t="shared" si="17"/>
        <v>0</v>
      </c>
      <c r="AS7" s="193">
        <f t="shared" si="17"/>
        <v>0</v>
      </c>
      <c r="AT7" s="193">
        <f t="shared" si="17"/>
        <v>0</v>
      </c>
      <c r="AU7" s="33"/>
      <c r="AV7" s="33"/>
      <c r="AW7" s="33"/>
      <c r="AX7" s="33"/>
      <c r="AY7" s="163">
        <f t="shared" ref="AY7:AY35" si="24">IF(AK7&lt;=$F$18,AL7*$G$108+AY6,)</f>
        <v>0</v>
      </c>
      <c r="AZ7" s="197"/>
    </row>
    <row r="8" spans="2:52">
      <c r="B8" s="374"/>
      <c r="C8" s="93" t="s">
        <v>73</v>
      </c>
      <c r="D8" s="370" t="s">
        <v>135</v>
      </c>
      <c r="E8" s="370"/>
      <c r="F8" s="94">
        <f>IF(D8="","",VLOOKUP(D8,$B$97:$C$100,2,0))</f>
        <v>70</v>
      </c>
      <c r="I8" s="55">
        <v>3</v>
      </c>
      <c r="J8" s="33">
        <f t="shared" si="18"/>
        <v>1.26</v>
      </c>
      <c r="K8" s="33">
        <f t="shared" si="19"/>
        <v>0.56524857809693341</v>
      </c>
      <c r="L8" s="33">
        <f t="shared" si="20"/>
        <v>70</v>
      </c>
      <c r="M8" s="33">
        <f t="shared" si="21"/>
        <v>1</v>
      </c>
      <c r="N8" s="33">
        <f t="shared" si="0"/>
        <v>0</v>
      </c>
      <c r="O8" s="34">
        <f t="shared" si="1"/>
        <v>263.51230794018551</v>
      </c>
      <c r="P8" s="55">
        <v>3</v>
      </c>
      <c r="Q8" s="33">
        <f t="shared" si="15"/>
        <v>3.5533333333333337</v>
      </c>
      <c r="R8" s="33">
        <f t="shared" si="22"/>
        <v>10.66</v>
      </c>
      <c r="S8" s="33">
        <f t="shared" si="23"/>
        <v>4.9036</v>
      </c>
      <c r="T8" s="33">
        <f t="shared" si="2"/>
        <v>1.8779808137161715</v>
      </c>
      <c r="U8" s="33">
        <f t="shared" si="16"/>
        <v>70</v>
      </c>
      <c r="V8" s="33">
        <f t="shared" si="3"/>
        <v>1</v>
      </c>
      <c r="W8" s="33">
        <v>0</v>
      </c>
      <c r="X8" s="33">
        <f t="shared" si="4"/>
        <v>272.14458658388895</v>
      </c>
      <c r="Y8" s="38">
        <f t="shared" si="5"/>
        <v>8.6322786437034438</v>
      </c>
      <c r="AA8" s="71">
        <v>3</v>
      </c>
      <c r="AB8" s="33">
        <f t="shared" si="6"/>
        <v>0</v>
      </c>
      <c r="AC8" s="304">
        <f t="shared" si="7"/>
        <v>0</v>
      </c>
      <c r="AD8" s="100">
        <f t="shared" si="8"/>
        <v>0</v>
      </c>
      <c r="AE8" s="100">
        <f t="shared" si="9"/>
        <v>0</v>
      </c>
      <c r="AF8" s="193">
        <f>IF(OR(AA8&lt;=$F$18,AA8&lt;=30),EXP(-LN(2)/$D$104)*AF7+((1-EXP(-LN(2)/$D$104))/(LN(2)/$D$104))*$AB8*AC8*0.475*$F$19*44/12,)</f>
        <v>0</v>
      </c>
      <c r="AG8" s="193">
        <f>IF(OR(AA8&lt;=$F$18,AA8&lt;=30),EXP(-LN(2)/$D$106)*AG7+((1-EXP(-LN(2)/$D$106))/(LN(2)/$D$106))*$AB8*AD8*0.475*$F$19*44/12,)</f>
        <v>0</v>
      </c>
      <c r="AH8" s="193">
        <f>IF(OR(AA8&lt;=$F$18,AA8&lt;=30),EXP(-LN(2)/$D$105)*AH7+((1-EXP(-LN(2)/$D$105))/(LN(2)/$D$105))*$AB8*AE8*0.475*$F$19*44/12,)</f>
        <v>0</v>
      </c>
      <c r="AI8" s="198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3">
        <f t="shared" si="17"/>
        <v>0</v>
      </c>
      <c r="AR8" s="193">
        <f t="shared" si="17"/>
        <v>0</v>
      </c>
      <c r="AS8" s="193">
        <f t="shared" si="17"/>
        <v>0</v>
      </c>
      <c r="AT8" s="193">
        <f t="shared" si="17"/>
        <v>0</v>
      </c>
      <c r="AU8" s="33"/>
      <c r="AV8" s="33"/>
      <c r="AW8" s="33"/>
      <c r="AX8" s="33"/>
      <c r="AY8" s="163">
        <f t="shared" si="24"/>
        <v>0</v>
      </c>
      <c r="AZ8" s="197"/>
    </row>
    <row r="9" spans="2:52">
      <c r="B9" s="374"/>
      <c r="C9" s="93" t="s">
        <v>74</v>
      </c>
      <c r="D9" s="366" t="str">
        <f>IF(D8=$B$100,"totale","néant")</f>
        <v>totale</v>
      </c>
      <c r="E9" s="366"/>
      <c r="F9" s="94">
        <f>IF(D8=B100,10,VLOOKUP(D8,$B$97:$D$100,3,FALSE))</f>
        <v>10</v>
      </c>
      <c r="I9" s="55">
        <v>4</v>
      </c>
      <c r="J9" s="33">
        <f t="shared" si="18"/>
        <v>1.68</v>
      </c>
      <c r="K9" s="33">
        <f t="shared" si="19"/>
        <v>0.72884528094749779</v>
      </c>
      <c r="L9" s="33">
        <f t="shared" si="20"/>
        <v>70</v>
      </c>
      <c r="M9" s="33">
        <f t="shared" si="21"/>
        <v>1.3333333333333333</v>
      </c>
      <c r="N9" s="33">
        <f t="shared" si="0"/>
        <v>0</v>
      </c>
      <c r="O9" s="34">
        <f t="shared" si="1"/>
        <v>265.75096108653912</v>
      </c>
      <c r="P9" s="55">
        <v>4</v>
      </c>
      <c r="Q9" s="33">
        <f t="shared" si="15"/>
        <v>3.5533333333333337</v>
      </c>
      <c r="R9" s="33">
        <f t="shared" si="22"/>
        <v>14.213333333333335</v>
      </c>
      <c r="S9" s="33">
        <f t="shared" si="23"/>
        <v>6.5381333333333345</v>
      </c>
      <c r="T9" s="33">
        <f t="shared" si="2"/>
        <v>2.4215141918539218</v>
      </c>
      <c r="U9" s="33">
        <f t="shared" si="16"/>
        <v>70</v>
      </c>
      <c r="V9" s="33">
        <f t="shared" si="3"/>
        <v>1.3333333333333333</v>
      </c>
      <c r="W9" s="33">
        <v>0</v>
      </c>
      <c r="X9" s="33">
        <f t="shared" si="4"/>
        <v>277.16027499525671</v>
      </c>
      <c r="Y9" s="38">
        <f t="shared" si="5"/>
        <v>11.409313908717593</v>
      </c>
      <c r="AA9" s="71">
        <v>4</v>
      </c>
      <c r="AB9" s="33">
        <f t="shared" si="6"/>
        <v>0</v>
      </c>
      <c r="AC9" s="304">
        <f t="shared" si="7"/>
        <v>0</v>
      </c>
      <c r="AD9" s="100">
        <f t="shared" si="8"/>
        <v>0</v>
      </c>
      <c r="AE9" s="100">
        <f t="shared" si="9"/>
        <v>0</v>
      </c>
      <c r="AF9" s="193">
        <f>IF(OR(AA9&lt;=$F$18,AA9&lt;=30),EXP(-LN(2)/$D$104)*AF8+((1-EXP(-LN(2)/$D$104))/(LN(2)/$D$104))*$AB9*AC9*0.475*$F$19*44/12,)</f>
        <v>0</v>
      </c>
      <c r="AG9" s="193">
        <f>IF(OR(AA9&lt;=$F$18,AA9&lt;=30),EXP(-LN(2)/$D$106)*AG8+((1-EXP(-LN(2)/$D$106))/(LN(2)/$D$106))*$AB9*AD9*0.475*$F$19*44/12,)</f>
        <v>0</v>
      </c>
      <c r="AH9" s="193">
        <f>IF(OR(AA9&lt;=$F$18,AA9&lt;=30),EXP(-LN(2)/$D$105)*AH8+((1-EXP(-LN(2)/$D$105))/(LN(2)/$D$105))*$AB9*AE9*0.475*$F$19*44/12,)</f>
        <v>0</v>
      </c>
      <c r="AI9" s="198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3">
        <f t="shared" si="17"/>
        <v>0</v>
      </c>
      <c r="AR9" s="193">
        <f t="shared" si="17"/>
        <v>0</v>
      </c>
      <c r="AS9" s="193">
        <f t="shared" si="17"/>
        <v>0</v>
      </c>
      <c r="AT9" s="193">
        <f t="shared" si="17"/>
        <v>0</v>
      </c>
      <c r="AU9" s="33"/>
      <c r="AV9" s="33"/>
      <c r="AW9" s="33"/>
      <c r="AX9" s="33"/>
      <c r="AY9" s="163">
        <f t="shared" si="24"/>
        <v>0</v>
      </c>
      <c r="AZ9" s="197"/>
    </row>
    <row r="10" spans="2:52">
      <c r="B10" s="374"/>
      <c r="C10" s="368" t="s">
        <v>124</v>
      </c>
      <c r="D10" s="363" t="s">
        <v>136</v>
      </c>
      <c r="E10" s="363"/>
      <c r="F10" s="95">
        <f>F18</f>
        <v>80</v>
      </c>
      <c r="I10" s="55">
        <v>5</v>
      </c>
      <c r="J10" s="33">
        <f t="shared" si="18"/>
        <v>2.1</v>
      </c>
      <c r="K10" s="33">
        <f t="shared" si="19"/>
        <v>0.88769757543783612</v>
      </c>
      <c r="L10" s="33">
        <f t="shared" si="20"/>
        <v>70</v>
      </c>
      <c r="M10" s="33">
        <f t="shared" si="21"/>
        <v>1.6666666666666667</v>
      </c>
      <c r="N10" s="33">
        <f t="shared" si="0"/>
        <v>0</v>
      </c>
      <c r="O10" s="34">
        <f t="shared" si="1"/>
        <v>267.9813510549987</v>
      </c>
      <c r="P10" s="55">
        <v>5</v>
      </c>
      <c r="Q10" s="33">
        <f t="shared" si="15"/>
        <v>3.5533333333333337</v>
      </c>
      <c r="R10" s="33">
        <f t="shared" si="22"/>
        <v>17.766666666666669</v>
      </c>
      <c r="S10" s="33">
        <f t="shared" si="23"/>
        <v>8.1726666666666681</v>
      </c>
      <c r="T10" s="33">
        <f t="shared" si="2"/>
        <v>2.9492847565708278</v>
      </c>
      <c r="U10" s="33">
        <f t="shared" si="16"/>
        <v>70</v>
      </c>
      <c r="V10" s="33">
        <f t="shared" si="3"/>
        <v>1.6666666666666667</v>
      </c>
      <c r="W10" s="33">
        <v>0</v>
      </c>
      <c r="X10" s="33">
        <f t="shared" si="4"/>
        <v>282.14850983991647</v>
      </c>
      <c r="Y10" s="38">
        <f t="shared" si="5"/>
        <v>14.167158784917774</v>
      </c>
      <c r="AA10" s="71">
        <v>5</v>
      </c>
      <c r="AB10" s="33">
        <f t="shared" si="6"/>
        <v>0</v>
      </c>
      <c r="AC10" s="304">
        <f t="shared" si="7"/>
        <v>0</v>
      </c>
      <c r="AD10" s="100">
        <f t="shared" si="8"/>
        <v>0</v>
      </c>
      <c r="AE10" s="100">
        <f t="shared" si="9"/>
        <v>0</v>
      </c>
      <c r="AF10" s="193">
        <f t="shared" ref="AF10:AF24" si="25">IF(OR(AA10&lt;=$F$18,AA10&lt;=30),EXP(-LN(2)/$D$104)*AF9+((1-EXP(-LN(2)/$D$104))/(LN(2)/$D$104))*$AB10*AC10*0.475*$F$19*44/12,)</f>
        <v>0</v>
      </c>
      <c r="AG10" s="193">
        <f t="shared" ref="AG10:AG24" si="26">IF(OR(AA10&lt;=$F$18,AA10&lt;=30),EXP(-LN(2)/$D$106)*AG9+((1-EXP(-LN(2)/$D$106))/(LN(2)/$D$106))*$AB10*AD10*0.475*$F$19*44/12,)</f>
        <v>0</v>
      </c>
      <c r="AH10" s="193">
        <f t="shared" ref="AH10:AH24" si="27">IF(OR(AA10&lt;=$F$18,AA10&lt;=30),EXP(-LN(2)/$D$105)*AH9+((1-EXP(-LN(2)/$D$105))/(LN(2)/$D$105))*$AB10*AE10*0.475*$F$19*44/12,)</f>
        <v>0</v>
      </c>
      <c r="AI10" s="198">
        <f t="shared" ref="AI10:AI24" si="28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3">
        <f t="shared" si="17"/>
        <v>0</v>
      </c>
      <c r="AR10" s="193">
        <f t="shared" si="17"/>
        <v>0</v>
      </c>
      <c r="AS10" s="193">
        <f t="shared" si="17"/>
        <v>0</v>
      </c>
      <c r="AT10" s="193">
        <f t="shared" si="17"/>
        <v>0</v>
      </c>
      <c r="AU10" s="33"/>
      <c r="AV10" s="33"/>
      <c r="AW10" s="33"/>
      <c r="AX10" s="33"/>
      <c r="AY10" s="163">
        <f t="shared" si="24"/>
        <v>0</v>
      </c>
      <c r="AZ10" s="197"/>
    </row>
    <row r="11" spans="2:52">
      <c r="B11" s="374"/>
      <c r="C11" s="368"/>
      <c r="D11" s="366" t="s">
        <v>139</v>
      </c>
      <c r="E11" s="366"/>
      <c r="F11" s="36">
        <f>IF(D8=$B$100,1,0)</f>
        <v>1</v>
      </c>
      <c r="I11" s="55">
        <v>6</v>
      </c>
      <c r="J11" s="33">
        <f t="shared" si="18"/>
        <v>2.52</v>
      </c>
      <c r="K11" s="33">
        <f t="shared" si="19"/>
        <v>1.0428685791905616</v>
      </c>
      <c r="L11" s="33">
        <f t="shared" si="20"/>
        <v>70</v>
      </c>
      <c r="M11" s="33">
        <f t="shared" si="21"/>
        <v>2</v>
      </c>
      <c r="N11" s="33">
        <f t="shared" si="0"/>
        <v>0</v>
      </c>
      <c r="O11" s="34">
        <f t="shared" si="1"/>
        <v>270.2053294420902</v>
      </c>
      <c r="P11" s="55">
        <v>6</v>
      </c>
      <c r="Q11" s="33">
        <f t="shared" si="15"/>
        <v>3.5533333333333337</v>
      </c>
      <c r="R11" s="33">
        <f t="shared" si="22"/>
        <v>21.320000000000004</v>
      </c>
      <c r="S11" s="33">
        <f t="shared" si="23"/>
        <v>9.8072000000000017</v>
      </c>
      <c r="T11" s="33">
        <f t="shared" si="2"/>
        <v>3.4648246078585667</v>
      </c>
      <c r="U11" s="33">
        <f t="shared" si="16"/>
        <v>70</v>
      </c>
      <c r="V11" s="33">
        <f t="shared" si="3"/>
        <v>2</v>
      </c>
      <c r="W11" s="33">
        <v>0</v>
      </c>
      <c r="X11" s="33">
        <f t="shared" si="4"/>
        <v>287.115442858687</v>
      </c>
      <c r="Y11" s="38">
        <f t="shared" si="5"/>
        <v>16.910113416596801</v>
      </c>
      <c r="AA11" s="71">
        <v>6</v>
      </c>
      <c r="AB11" s="33">
        <f t="shared" si="6"/>
        <v>0</v>
      </c>
      <c r="AC11" s="304">
        <f t="shared" si="7"/>
        <v>0</v>
      </c>
      <c r="AD11" s="100">
        <f t="shared" si="8"/>
        <v>0</v>
      </c>
      <c r="AE11" s="100">
        <f t="shared" si="9"/>
        <v>0</v>
      </c>
      <c r="AF11" s="193">
        <f t="shared" si="25"/>
        <v>0</v>
      </c>
      <c r="AG11" s="193">
        <f t="shared" si="26"/>
        <v>0</v>
      </c>
      <c r="AH11" s="193">
        <f t="shared" si="27"/>
        <v>0</v>
      </c>
      <c r="AI11" s="198">
        <f t="shared" si="28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3">
        <f t="shared" si="17"/>
        <v>0</v>
      </c>
      <c r="AR11" s="193">
        <f t="shared" si="17"/>
        <v>0</v>
      </c>
      <c r="AS11" s="193">
        <f t="shared" si="17"/>
        <v>0</v>
      </c>
      <c r="AT11" s="193">
        <f t="shared" si="17"/>
        <v>0</v>
      </c>
      <c r="AU11" s="33"/>
      <c r="AV11" s="33"/>
      <c r="AW11" s="33"/>
      <c r="AX11" s="33"/>
      <c r="AY11" s="163">
        <f t="shared" si="24"/>
        <v>0</v>
      </c>
      <c r="AZ11" s="197"/>
    </row>
    <row r="12" spans="2:52" ht="32">
      <c r="B12" s="374"/>
      <c r="C12" s="368"/>
      <c r="D12" s="363" t="s">
        <v>131</v>
      </c>
      <c r="E12" s="363"/>
      <c r="F12" s="96" t="s">
        <v>69</v>
      </c>
      <c r="I12" s="55">
        <v>7</v>
      </c>
      <c r="J12" s="33">
        <f t="shared" si="18"/>
        <v>2.94</v>
      </c>
      <c r="K12" s="33">
        <f t="shared" si="19"/>
        <v>1.1950436430309317</v>
      </c>
      <c r="L12" s="33">
        <f t="shared" si="20"/>
        <v>70</v>
      </c>
      <c r="M12" s="33">
        <f t="shared" si="21"/>
        <v>2.3333333333333335</v>
      </c>
      <c r="N12" s="33">
        <f t="shared" si="0"/>
        <v>0</v>
      </c>
      <c r="O12" s="34">
        <f t="shared" si="1"/>
        <v>272.42408990050109</v>
      </c>
      <c r="P12" s="55">
        <v>7</v>
      </c>
      <c r="Q12" s="33">
        <f t="shared" si="15"/>
        <v>3.5533333333333337</v>
      </c>
      <c r="R12" s="33">
        <f t="shared" si="22"/>
        <v>24.873333333333338</v>
      </c>
      <c r="S12" s="33">
        <f t="shared" si="23"/>
        <v>11.441733333333335</v>
      </c>
      <c r="T12" s="33">
        <f t="shared" si="2"/>
        <v>3.9704107540111373</v>
      </c>
      <c r="U12" s="33">
        <f t="shared" si="16"/>
        <v>70</v>
      </c>
      <c r="V12" s="33">
        <f t="shared" si="3"/>
        <v>2.3333333333333335</v>
      </c>
      <c r="W12" s="33">
        <v>0</v>
      </c>
      <c r="X12" s="33">
        <f t="shared" si="4"/>
        <v>292.06503984101386</v>
      </c>
      <c r="Y12" s="38">
        <f t="shared" si="5"/>
        <v>19.640949940512769</v>
      </c>
      <c r="AA12" s="71">
        <v>7</v>
      </c>
      <c r="AB12" s="33">
        <f t="shared" si="6"/>
        <v>0</v>
      </c>
      <c r="AC12" s="304">
        <f t="shared" si="7"/>
        <v>0</v>
      </c>
      <c r="AD12" s="100">
        <f t="shared" si="8"/>
        <v>0</v>
      </c>
      <c r="AE12" s="100">
        <f t="shared" si="9"/>
        <v>0</v>
      </c>
      <c r="AF12" s="193">
        <f t="shared" si="25"/>
        <v>0</v>
      </c>
      <c r="AG12" s="193">
        <f t="shared" si="26"/>
        <v>0</v>
      </c>
      <c r="AH12" s="193">
        <f t="shared" si="27"/>
        <v>0</v>
      </c>
      <c r="AI12" s="198">
        <f t="shared" si="28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3">
        <f t="shared" si="17"/>
        <v>0</v>
      </c>
      <c r="AR12" s="193">
        <f t="shared" si="17"/>
        <v>0</v>
      </c>
      <c r="AS12" s="193">
        <f t="shared" si="17"/>
        <v>0</v>
      </c>
      <c r="AT12" s="193">
        <f t="shared" si="17"/>
        <v>0</v>
      </c>
      <c r="AU12" s="33"/>
      <c r="AV12" s="33"/>
      <c r="AW12" s="33"/>
      <c r="AX12" s="33"/>
      <c r="AY12" s="163">
        <f t="shared" si="24"/>
        <v>0</v>
      </c>
      <c r="AZ12" s="197"/>
    </row>
    <row r="13" spans="2:52">
      <c r="B13" s="365"/>
      <c r="C13" s="369"/>
      <c r="D13" s="367" t="s">
        <v>155</v>
      </c>
      <c r="E13" s="367"/>
      <c r="F13" s="37">
        <f>IF(ISBLANK(F$12),,VLOOKUP(F$12,C131:D195,2,FALSE))</f>
        <v>0.42</v>
      </c>
      <c r="I13" s="55">
        <v>8</v>
      </c>
      <c r="J13" s="33">
        <f t="shared" si="18"/>
        <v>3.36</v>
      </c>
      <c r="K13" s="33">
        <f t="shared" si="19"/>
        <v>1.3447001408663719</v>
      </c>
      <c r="L13" s="33">
        <f t="shared" si="20"/>
        <v>70</v>
      </c>
      <c r="M13" s="33">
        <f t="shared" si="21"/>
        <v>2.6666666666666665</v>
      </c>
      <c r="N13" s="33">
        <f t="shared" si="0"/>
        <v>0</v>
      </c>
      <c r="O13" s="34">
        <f t="shared" si="1"/>
        <v>274.63846385645343</v>
      </c>
      <c r="P13" s="55">
        <v>8</v>
      </c>
      <c r="Q13" s="33">
        <f t="shared" si="15"/>
        <v>3.5533333333333337</v>
      </c>
      <c r="R13" s="33">
        <f t="shared" si="22"/>
        <v>28.426666666666673</v>
      </c>
      <c r="S13" s="33">
        <f t="shared" si="23"/>
        <v>13.076266666666671</v>
      </c>
      <c r="T13" s="33">
        <f t="shared" si="2"/>
        <v>4.4676292212015429</v>
      </c>
      <c r="U13" s="33">
        <f t="shared" si="16"/>
        <v>70</v>
      </c>
      <c r="V13" s="33">
        <f t="shared" si="3"/>
        <v>2.6666666666666665</v>
      </c>
      <c r="W13" s="33">
        <v>0</v>
      </c>
      <c r="X13" s="33">
        <f t="shared" si="4"/>
        <v>297.00006311581495</v>
      </c>
      <c r="Y13" s="38">
        <f t="shared" si="5"/>
        <v>22.361599259361526</v>
      </c>
      <c r="AA13" s="71">
        <v>8</v>
      </c>
      <c r="AB13" s="33">
        <f t="shared" si="6"/>
        <v>0</v>
      </c>
      <c r="AC13" s="304">
        <f t="shared" si="7"/>
        <v>0</v>
      </c>
      <c r="AD13" s="100">
        <f t="shared" si="8"/>
        <v>0</v>
      </c>
      <c r="AE13" s="100">
        <f t="shared" si="9"/>
        <v>0</v>
      </c>
      <c r="AF13" s="193">
        <f t="shared" si="25"/>
        <v>0</v>
      </c>
      <c r="AG13" s="193">
        <f t="shared" si="26"/>
        <v>0</v>
      </c>
      <c r="AH13" s="193">
        <f t="shared" si="27"/>
        <v>0</v>
      </c>
      <c r="AI13" s="198">
        <f t="shared" si="28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3">
        <f t="shared" si="17"/>
        <v>0</v>
      </c>
      <c r="AR13" s="193">
        <f t="shared" si="17"/>
        <v>0</v>
      </c>
      <c r="AS13" s="193">
        <f t="shared" si="17"/>
        <v>0</v>
      </c>
      <c r="AT13" s="193">
        <f t="shared" si="17"/>
        <v>0</v>
      </c>
      <c r="AU13" s="33"/>
      <c r="AV13" s="33"/>
      <c r="AW13" s="33"/>
      <c r="AX13" s="33"/>
      <c r="AY13" s="163">
        <f t="shared" si="24"/>
        <v>0</v>
      </c>
      <c r="AZ13" s="197"/>
    </row>
    <row r="14" spans="2:52">
      <c r="B14" s="364" t="s">
        <v>132</v>
      </c>
      <c r="C14" s="360"/>
      <c r="D14" s="361"/>
      <c r="E14" s="361"/>
      <c r="F14" s="362"/>
      <c r="I14" s="55">
        <v>9</v>
      </c>
      <c r="J14" s="33">
        <f t="shared" si="18"/>
        <v>3.78</v>
      </c>
      <c r="K14" s="33">
        <f t="shared" si="19"/>
        <v>1.4921889485915243</v>
      </c>
      <c r="L14" s="33">
        <f t="shared" si="20"/>
        <v>70</v>
      </c>
      <c r="M14" s="33">
        <f t="shared" si="21"/>
        <v>3</v>
      </c>
      <c r="N14" s="33">
        <f t="shared" si="0"/>
        <v>0</v>
      </c>
      <c r="O14" s="34">
        <f t="shared" si="1"/>
        <v>276.8490624187969</v>
      </c>
      <c r="P14" s="55">
        <v>9</v>
      </c>
      <c r="Q14" s="33">
        <f t="shared" si="15"/>
        <v>3.5533333333333337</v>
      </c>
      <c r="R14" s="33">
        <f t="shared" si="22"/>
        <v>31.980000000000008</v>
      </c>
      <c r="S14" s="33">
        <f t="shared" si="23"/>
        <v>14.710800000000004</v>
      </c>
      <c r="T14" s="33">
        <f t="shared" si="2"/>
        <v>4.9576457588428093</v>
      </c>
      <c r="U14" s="33">
        <f t="shared" si="16"/>
        <v>70</v>
      </c>
      <c r="V14" s="33">
        <f t="shared" si="3"/>
        <v>3</v>
      </c>
      <c r="W14" s="33">
        <v>0</v>
      </c>
      <c r="X14" s="33">
        <f t="shared" si="4"/>
        <v>301.92254302998452</v>
      </c>
      <c r="Y14" s="38">
        <f t="shared" si="5"/>
        <v>25.07348061118762</v>
      </c>
      <c r="AA14" s="71">
        <v>9</v>
      </c>
      <c r="AB14" s="33">
        <f t="shared" si="6"/>
        <v>0</v>
      </c>
      <c r="AC14" s="304">
        <f t="shared" si="7"/>
        <v>0</v>
      </c>
      <c r="AD14" s="100">
        <f t="shared" si="8"/>
        <v>0</v>
      </c>
      <c r="AE14" s="100">
        <f t="shared" si="9"/>
        <v>0</v>
      </c>
      <c r="AF14" s="193">
        <f t="shared" si="25"/>
        <v>0</v>
      </c>
      <c r="AG14" s="193">
        <f t="shared" si="26"/>
        <v>0</v>
      </c>
      <c r="AH14" s="193">
        <f t="shared" si="27"/>
        <v>0</v>
      </c>
      <c r="AI14" s="198">
        <f t="shared" si="28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3">
        <f t="shared" si="17"/>
        <v>0</v>
      </c>
      <c r="AR14" s="193">
        <f t="shared" si="17"/>
        <v>0</v>
      </c>
      <c r="AS14" s="193">
        <f t="shared" si="17"/>
        <v>0</v>
      </c>
      <c r="AT14" s="193">
        <f t="shared" si="17"/>
        <v>0</v>
      </c>
      <c r="AU14" s="33"/>
      <c r="AV14" s="33"/>
      <c r="AW14" s="33"/>
      <c r="AX14" s="33"/>
      <c r="AY14" s="163">
        <f t="shared" si="24"/>
        <v>0</v>
      </c>
      <c r="AZ14" s="197"/>
    </row>
    <row r="15" spans="2:52">
      <c r="B15" s="374"/>
      <c r="C15" s="93" t="s">
        <v>73</v>
      </c>
      <c r="D15" s="370" t="s">
        <v>135</v>
      </c>
      <c r="E15" s="370"/>
      <c r="F15" s="94">
        <f>IF(D15="","",VLOOKUP(D15,$B$97:$C$100,2,0))</f>
        <v>70</v>
      </c>
      <c r="I15" s="55">
        <v>10</v>
      </c>
      <c r="J15" s="33">
        <f t="shared" si="18"/>
        <v>4.2</v>
      </c>
      <c r="K15" s="33">
        <f t="shared" si="19"/>
        <v>1.6377783954177545</v>
      </c>
      <c r="L15" s="33">
        <f t="shared" si="20"/>
        <v>70</v>
      </c>
      <c r="M15" s="33">
        <f t="shared" si="21"/>
        <v>3.3333333333333335</v>
      </c>
      <c r="N15" s="33">
        <f t="shared" si="0"/>
        <v>0</v>
      </c>
      <c r="O15" s="34">
        <f t="shared" si="1"/>
        <v>279.05635292757478</v>
      </c>
      <c r="P15" s="55">
        <v>10</v>
      </c>
      <c r="Q15" s="33">
        <f t="shared" si="15"/>
        <v>3.5533333333333337</v>
      </c>
      <c r="R15" s="33">
        <f t="shared" si="22"/>
        <v>35.533333333333339</v>
      </c>
      <c r="S15" s="33">
        <f t="shared" si="23"/>
        <v>16.345333333333336</v>
      </c>
      <c r="T15" s="33">
        <f t="shared" si="2"/>
        <v>5.441351863402569</v>
      </c>
      <c r="U15" s="33">
        <f t="shared" si="16"/>
        <v>70</v>
      </c>
      <c r="V15" s="33">
        <f t="shared" si="3"/>
        <v>3.3333333333333335</v>
      </c>
      <c r="W15" s="33">
        <v>0</v>
      </c>
      <c r="X15" s="33">
        <f t="shared" si="4"/>
        <v>306.83403227320395</v>
      </c>
      <c r="Y15" s="38">
        <f t="shared" si="5"/>
        <v>27.777679345629167</v>
      </c>
      <c r="AA15" s="71">
        <v>10</v>
      </c>
      <c r="AB15" s="33">
        <f t="shared" si="6"/>
        <v>0</v>
      </c>
      <c r="AC15" s="304">
        <f t="shared" si="7"/>
        <v>0</v>
      </c>
      <c r="AD15" s="100">
        <f t="shared" si="8"/>
        <v>0</v>
      </c>
      <c r="AE15" s="100">
        <f t="shared" si="9"/>
        <v>0</v>
      </c>
      <c r="AF15" s="193">
        <f t="shared" si="25"/>
        <v>0</v>
      </c>
      <c r="AG15" s="193">
        <f t="shared" si="26"/>
        <v>0</v>
      </c>
      <c r="AH15" s="193">
        <f t="shared" si="27"/>
        <v>0</v>
      </c>
      <c r="AI15" s="198">
        <f t="shared" si="28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3">
        <f t="shared" si="17"/>
        <v>0</v>
      </c>
      <c r="AR15" s="193">
        <f t="shared" si="17"/>
        <v>0</v>
      </c>
      <c r="AS15" s="193">
        <f t="shared" si="17"/>
        <v>0</v>
      </c>
      <c r="AT15" s="193">
        <f t="shared" si="17"/>
        <v>0</v>
      </c>
      <c r="AU15" s="33"/>
      <c r="AV15" s="33"/>
      <c r="AW15" s="33"/>
      <c r="AX15" s="33"/>
      <c r="AY15" s="163">
        <f t="shared" si="24"/>
        <v>0</v>
      </c>
      <c r="AZ15" s="197"/>
    </row>
    <row r="16" spans="2:52">
      <c r="B16" s="374"/>
      <c r="C16" s="93" t="s">
        <v>74</v>
      </c>
      <c r="D16" s="366" t="s">
        <v>138</v>
      </c>
      <c r="E16" s="366"/>
      <c r="F16" s="94">
        <v>10</v>
      </c>
      <c r="I16" s="55">
        <v>11</v>
      </c>
      <c r="J16" s="33">
        <f t="shared" si="18"/>
        <v>4.62</v>
      </c>
      <c r="K16" s="33">
        <f t="shared" si="19"/>
        <v>1.7816800392152941</v>
      </c>
      <c r="L16" s="33">
        <f t="shared" si="20"/>
        <v>70</v>
      </c>
      <c r="M16" s="33">
        <f t="shared" si="21"/>
        <v>3.6666666666666665</v>
      </c>
      <c r="N16" s="33">
        <f t="shared" si="0"/>
        <v>0</v>
      </c>
      <c r="O16" s="34">
        <f t="shared" si="1"/>
        <v>281.26070384607777</v>
      </c>
      <c r="P16" s="55">
        <v>11</v>
      </c>
      <c r="Q16" s="33">
        <f t="shared" si="15"/>
        <v>3.5533333333333337</v>
      </c>
      <c r="R16" s="33">
        <f t="shared" si="22"/>
        <v>39.086666666666673</v>
      </c>
      <c r="S16" s="33">
        <f t="shared" si="23"/>
        <v>17.97986666666667</v>
      </c>
      <c r="T16" s="33">
        <f t="shared" si="2"/>
        <v>5.9194504143513438</v>
      </c>
      <c r="U16" s="33">
        <f t="shared" si="16"/>
        <v>70</v>
      </c>
      <c r="V16" s="33">
        <f t="shared" si="3"/>
        <v>3.6666666666666665</v>
      </c>
      <c r="W16" s="33">
        <v>0</v>
      </c>
      <c r="X16" s="33">
        <f t="shared" si="4"/>
        <v>311.73575502721752</v>
      </c>
      <c r="Y16" s="38">
        <f t="shared" si="5"/>
        <v>30.475051181139747</v>
      </c>
      <c r="AA16" s="71">
        <v>11</v>
      </c>
      <c r="AB16" s="33">
        <f t="shared" si="6"/>
        <v>0</v>
      </c>
      <c r="AC16" s="304">
        <f t="shared" si="7"/>
        <v>0</v>
      </c>
      <c r="AD16" s="100">
        <f t="shared" si="8"/>
        <v>0</v>
      </c>
      <c r="AE16" s="100">
        <f t="shared" si="9"/>
        <v>0</v>
      </c>
      <c r="AF16" s="193">
        <f t="shared" si="25"/>
        <v>0</v>
      </c>
      <c r="AG16" s="193">
        <f t="shared" si="26"/>
        <v>0</v>
      </c>
      <c r="AH16" s="193">
        <f t="shared" si="27"/>
        <v>0</v>
      </c>
      <c r="AI16" s="198">
        <f t="shared" si="28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193">
        <f t="shared" si="17"/>
        <v>0</v>
      </c>
      <c r="AR16" s="193">
        <f t="shared" si="17"/>
        <v>0</v>
      </c>
      <c r="AS16" s="193">
        <f t="shared" si="17"/>
        <v>0</v>
      </c>
      <c r="AT16" s="193">
        <f t="shared" si="17"/>
        <v>0</v>
      </c>
      <c r="AU16" s="33"/>
      <c r="AV16" s="33"/>
      <c r="AW16" s="33"/>
      <c r="AX16" s="33"/>
      <c r="AY16" s="163">
        <f t="shared" si="24"/>
        <v>0</v>
      </c>
      <c r="AZ16" s="197"/>
    </row>
    <row r="17" spans="2:55" ht="16">
      <c r="B17" s="374"/>
      <c r="C17" s="368" t="s">
        <v>124</v>
      </c>
      <c r="D17" s="363" t="s">
        <v>131</v>
      </c>
      <c r="E17" s="363"/>
      <c r="F17" s="96" t="s">
        <v>53</v>
      </c>
      <c r="I17" s="55">
        <v>12</v>
      </c>
      <c r="J17" s="33">
        <f t="shared" si="18"/>
        <v>5.04</v>
      </c>
      <c r="K17" s="33">
        <f t="shared" si="19"/>
        <v>1.9240647665573338</v>
      </c>
      <c r="L17" s="33">
        <f t="shared" si="20"/>
        <v>70</v>
      </c>
      <c r="M17" s="33">
        <f t="shared" si="21"/>
        <v>4</v>
      </c>
      <c r="N17" s="33">
        <f t="shared" si="0"/>
        <v>0</v>
      </c>
      <c r="O17" s="34">
        <f t="shared" si="1"/>
        <v>283.462412801754</v>
      </c>
      <c r="P17" s="55">
        <v>12</v>
      </c>
      <c r="Q17" s="33">
        <f t="shared" si="15"/>
        <v>3.5533333333333337</v>
      </c>
      <c r="R17" s="33">
        <f t="shared" si="22"/>
        <v>42.640000000000008</v>
      </c>
      <c r="S17" s="33">
        <f t="shared" si="23"/>
        <v>19.614400000000003</v>
      </c>
      <c r="T17" s="33">
        <f t="shared" si="2"/>
        <v>6.3925091649187866</v>
      </c>
      <c r="U17" s="33">
        <f t="shared" si="16"/>
        <v>70</v>
      </c>
      <c r="V17" s="33">
        <f t="shared" si="3"/>
        <v>4</v>
      </c>
      <c r="W17" s="33">
        <v>0</v>
      </c>
      <c r="X17" s="33">
        <f t="shared" si="4"/>
        <v>316.62870012890022</v>
      </c>
      <c r="Y17" s="38">
        <f t="shared" si="5"/>
        <v>33.166287327146222</v>
      </c>
      <c r="AA17" s="71">
        <v>12</v>
      </c>
      <c r="AB17" s="33">
        <f t="shared" si="6"/>
        <v>0</v>
      </c>
      <c r="AC17" s="304">
        <f t="shared" si="7"/>
        <v>0</v>
      </c>
      <c r="AD17" s="100">
        <f t="shared" si="8"/>
        <v>0</v>
      </c>
      <c r="AE17" s="100">
        <f t="shared" si="9"/>
        <v>0</v>
      </c>
      <c r="AF17" s="193">
        <f t="shared" si="25"/>
        <v>0</v>
      </c>
      <c r="AG17" s="193">
        <f t="shared" si="26"/>
        <v>0</v>
      </c>
      <c r="AH17" s="193">
        <f t="shared" si="27"/>
        <v>0</v>
      </c>
      <c r="AI17" s="198">
        <f t="shared" si="28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3">
        <f t="shared" si="17"/>
        <v>0</v>
      </c>
      <c r="AR17" s="193">
        <f t="shared" si="17"/>
        <v>0</v>
      </c>
      <c r="AS17" s="193">
        <f t="shared" si="17"/>
        <v>0</v>
      </c>
      <c r="AT17" s="193">
        <f t="shared" si="17"/>
        <v>0</v>
      </c>
      <c r="AU17" s="33"/>
      <c r="AV17" s="33"/>
      <c r="AW17" s="33"/>
      <c r="AX17" s="33"/>
      <c r="AY17" s="163">
        <f t="shared" si="24"/>
        <v>0</v>
      </c>
      <c r="AZ17" s="197"/>
    </row>
    <row r="18" spans="2:55">
      <c r="B18" s="374"/>
      <c r="C18" s="368"/>
      <c r="D18" s="363" t="s">
        <v>136</v>
      </c>
      <c r="E18" s="363"/>
      <c r="F18" s="97">
        <v>80</v>
      </c>
      <c r="I18" s="55">
        <v>13</v>
      </c>
      <c r="J18" s="33">
        <f t="shared" si="18"/>
        <v>5.46</v>
      </c>
      <c r="K18" s="33">
        <f t="shared" si="19"/>
        <v>2.0650733588092969</v>
      </c>
      <c r="L18" s="33">
        <f t="shared" si="20"/>
        <v>70</v>
      </c>
      <c r="M18" s="33">
        <f t="shared" si="21"/>
        <v>4.333333333333333</v>
      </c>
      <c r="N18" s="33">
        <f t="shared" si="0"/>
        <v>0</v>
      </c>
      <c r="O18" s="34">
        <f t="shared" si="1"/>
        <v>285.66172498881508</v>
      </c>
      <c r="P18" s="55">
        <v>13</v>
      </c>
      <c r="Q18" s="33">
        <f t="shared" si="15"/>
        <v>3.5533333333333337</v>
      </c>
      <c r="R18" s="33">
        <f t="shared" si="22"/>
        <v>46.193333333333342</v>
      </c>
      <c r="S18" s="33">
        <f t="shared" si="23"/>
        <v>21.248933333333337</v>
      </c>
      <c r="T18" s="33">
        <f t="shared" si="2"/>
        <v>6.860995846848839</v>
      </c>
      <c r="U18" s="33">
        <f t="shared" si="16"/>
        <v>70</v>
      </c>
      <c r="V18" s="33">
        <f t="shared" si="3"/>
        <v>4.333333333333333</v>
      </c>
      <c r="W18" s="33">
        <v>0</v>
      </c>
      <c r="X18" s="33">
        <f t="shared" si="4"/>
        <v>321.51368221103951</v>
      </c>
      <c r="Y18" s="38">
        <f t="shared" si="5"/>
        <v>35.851957222224428</v>
      </c>
      <c r="AA18" s="71">
        <v>13</v>
      </c>
      <c r="AB18" s="33">
        <f t="shared" si="6"/>
        <v>0</v>
      </c>
      <c r="AC18" s="304">
        <f t="shared" si="7"/>
        <v>0</v>
      </c>
      <c r="AD18" s="100">
        <f t="shared" si="8"/>
        <v>0</v>
      </c>
      <c r="AE18" s="100">
        <f t="shared" si="9"/>
        <v>0</v>
      </c>
      <c r="AF18" s="193">
        <f t="shared" si="25"/>
        <v>0</v>
      </c>
      <c r="AG18" s="193">
        <f t="shared" si="26"/>
        <v>0</v>
      </c>
      <c r="AH18" s="193">
        <f t="shared" si="27"/>
        <v>0</v>
      </c>
      <c r="AI18" s="198">
        <f t="shared" si="28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3">
        <f t="shared" si="17"/>
        <v>0</v>
      </c>
      <c r="AR18" s="193">
        <f t="shared" si="17"/>
        <v>0</v>
      </c>
      <c r="AS18" s="193">
        <f t="shared" si="17"/>
        <v>0</v>
      </c>
      <c r="AT18" s="193">
        <f t="shared" si="17"/>
        <v>0</v>
      </c>
      <c r="AU18" s="33"/>
      <c r="AV18" s="33"/>
      <c r="AW18" s="33"/>
      <c r="AX18" s="33"/>
      <c r="AY18" s="163">
        <f t="shared" si="24"/>
        <v>0</v>
      </c>
      <c r="AZ18" s="197"/>
    </row>
    <row r="19" spans="2:55">
      <c r="B19" s="374"/>
      <c r="C19" s="368"/>
      <c r="D19" s="366" t="s">
        <v>155</v>
      </c>
      <c r="E19" s="366"/>
      <c r="F19" s="36">
        <f>IF(ISBLANK(F$17),,VLOOKUP(F$17,C131:D195,2,FALSE))</f>
        <v>0.46</v>
      </c>
      <c r="I19" s="55">
        <v>14</v>
      </c>
      <c r="J19" s="33">
        <f t="shared" si="18"/>
        <v>5.88</v>
      </c>
      <c r="K19" s="33">
        <f t="shared" si="19"/>
        <v>2.2048237083130879</v>
      </c>
      <c r="L19" s="33">
        <f t="shared" si="20"/>
        <v>70</v>
      </c>
      <c r="M19" s="33">
        <f t="shared" si="21"/>
        <v>4.666666666666667</v>
      </c>
      <c r="N19" s="33">
        <f t="shared" si="0"/>
        <v>0</v>
      </c>
      <c r="O19" s="34">
        <f t="shared" si="1"/>
        <v>287.85884573642306</v>
      </c>
      <c r="P19" s="55">
        <v>14</v>
      </c>
      <c r="Q19" s="33">
        <f t="shared" si="15"/>
        <v>3.5533333333333337</v>
      </c>
      <c r="R19" s="33">
        <f t="shared" si="22"/>
        <v>49.746666666666677</v>
      </c>
      <c r="S19" s="33">
        <f t="shared" si="23"/>
        <v>22.883466666666671</v>
      </c>
      <c r="T19" s="33">
        <f t="shared" si="2"/>
        <v>7.3253021454367211</v>
      </c>
      <c r="U19" s="33">
        <f t="shared" si="16"/>
        <v>70</v>
      </c>
      <c r="V19" s="33">
        <f t="shared" si="3"/>
        <v>4.666666666666667</v>
      </c>
      <c r="W19" s="33">
        <v>0</v>
      </c>
      <c r="X19" s="33">
        <f t="shared" si="4"/>
        <v>326.39138345885789</v>
      </c>
      <c r="Y19" s="38">
        <f t="shared" si="5"/>
        <v>38.532537722434824</v>
      </c>
      <c r="AA19" s="71">
        <v>14</v>
      </c>
      <c r="AB19" s="33">
        <f t="shared" si="6"/>
        <v>0</v>
      </c>
      <c r="AC19" s="304">
        <f t="shared" si="7"/>
        <v>0</v>
      </c>
      <c r="AD19" s="100">
        <f t="shared" si="8"/>
        <v>0</v>
      </c>
      <c r="AE19" s="100">
        <f t="shared" si="9"/>
        <v>0</v>
      </c>
      <c r="AF19" s="193">
        <f t="shared" si="25"/>
        <v>0</v>
      </c>
      <c r="AG19" s="193">
        <f t="shared" si="26"/>
        <v>0</v>
      </c>
      <c r="AH19" s="193">
        <f t="shared" si="27"/>
        <v>0</v>
      </c>
      <c r="AI19" s="198">
        <f t="shared" si="28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3">
        <f t="shared" si="17"/>
        <v>0</v>
      </c>
      <c r="AR19" s="193">
        <f t="shared" si="17"/>
        <v>0</v>
      </c>
      <c r="AS19" s="193">
        <f t="shared" si="17"/>
        <v>0</v>
      </c>
      <c r="AT19" s="193">
        <f t="shared" si="17"/>
        <v>0</v>
      </c>
      <c r="AU19" s="33"/>
      <c r="AV19" s="33"/>
      <c r="AW19" s="33"/>
      <c r="AX19" s="33"/>
      <c r="AY19" s="163">
        <f t="shared" si="24"/>
        <v>0</v>
      </c>
      <c r="AZ19" s="197"/>
    </row>
    <row r="20" spans="2:55">
      <c r="B20" s="374"/>
      <c r="C20" s="368"/>
      <c r="D20" s="366" t="s">
        <v>140</v>
      </c>
      <c r="E20" s="366"/>
      <c r="F20" s="36">
        <f>IF(ISBLANK(F$17),,VLOOKUP(F17,Tableau1457[#All],4,FALSE))</f>
        <v>1.3</v>
      </c>
      <c r="I20" s="55">
        <v>15</v>
      </c>
      <c r="J20" s="33">
        <f t="shared" si="18"/>
        <v>6.3</v>
      </c>
      <c r="K20" s="33">
        <f t="shared" si="19"/>
        <v>2.3434159113137563</v>
      </c>
      <c r="L20" s="33">
        <f t="shared" si="20"/>
        <v>70</v>
      </c>
      <c r="M20" s="33">
        <f t="shared" si="21"/>
        <v>5</v>
      </c>
      <c r="N20" s="33">
        <f t="shared" si="0"/>
        <v>0</v>
      </c>
      <c r="O20" s="34">
        <f t="shared" si="1"/>
        <v>290.05394937887144</v>
      </c>
      <c r="P20" s="55">
        <v>15</v>
      </c>
      <c r="Q20" s="33">
        <f t="shared" si="15"/>
        <v>3.5533333333333337</v>
      </c>
      <c r="R20" s="33">
        <f t="shared" si="22"/>
        <v>53.300000000000011</v>
      </c>
      <c r="S20" s="33">
        <f t="shared" si="23"/>
        <v>24.518000000000008</v>
      </c>
      <c r="T20" s="33">
        <f t="shared" si="2"/>
        <v>7.7857606202588867</v>
      </c>
      <c r="U20" s="33">
        <f t="shared" si="16"/>
        <v>70</v>
      </c>
      <c r="V20" s="33">
        <f t="shared" si="3"/>
        <v>5</v>
      </c>
      <c r="W20" s="33">
        <v>0</v>
      </c>
      <c r="X20" s="33">
        <f t="shared" si="4"/>
        <v>331.26238308028422</v>
      </c>
      <c r="Y20" s="38">
        <f t="shared" si="5"/>
        <v>41.208433701412787</v>
      </c>
      <c r="AA20" s="71">
        <v>15</v>
      </c>
      <c r="AB20" s="33">
        <f t="shared" si="6"/>
        <v>0</v>
      </c>
      <c r="AC20" s="304">
        <f t="shared" si="7"/>
        <v>0</v>
      </c>
      <c r="AD20" s="100">
        <f t="shared" si="8"/>
        <v>0</v>
      </c>
      <c r="AE20" s="100">
        <f t="shared" si="9"/>
        <v>0</v>
      </c>
      <c r="AF20" s="193">
        <f t="shared" si="25"/>
        <v>0</v>
      </c>
      <c r="AG20" s="193">
        <f t="shared" si="26"/>
        <v>0</v>
      </c>
      <c r="AH20" s="193">
        <f t="shared" si="27"/>
        <v>0</v>
      </c>
      <c r="AI20" s="198">
        <f t="shared" si="28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3">
        <f t="shared" si="17"/>
        <v>0</v>
      </c>
      <c r="AR20" s="193">
        <f t="shared" si="17"/>
        <v>0</v>
      </c>
      <c r="AS20" s="193">
        <f t="shared" si="17"/>
        <v>0</v>
      </c>
      <c r="AT20" s="193">
        <f t="shared" si="17"/>
        <v>0</v>
      </c>
      <c r="AU20" s="33"/>
      <c r="AV20" s="33"/>
      <c r="AW20" s="33"/>
      <c r="AX20" s="33"/>
      <c r="AY20" s="163">
        <f t="shared" si="24"/>
        <v>0</v>
      </c>
      <c r="AZ20" s="197"/>
    </row>
    <row r="21" spans="2:55">
      <c r="B21" s="365"/>
      <c r="C21" s="369"/>
      <c r="D21" s="367" t="s">
        <v>143</v>
      </c>
      <c r="E21" s="367"/>
      <c r="F21" s="102">
        <v>0.16669999999999999</v>
      </c>
      <c r="I21" s="55">
        <v>16</v>
      </c>
      <c r="J21" s="33">
        <f t="shared" si="18"/>
        <v>6.72</v>
      </c>
      <c r="K21" s="33">
        <f t="shared" si="19"/>
        <v>2.4809359628361181</v>
      </c>
      <c r="L21" s="33">
        <f t="shared" si="20"/>
        <v>70</v>
      </c>
      <c r="M21" s="33">
        <f t="shared" si="21"/>
        <v>5.333333333333333</v>
      </c>
      <c r="N21" s="33">
        <f t="shared" si="0"/>
        <v>0</v>
      </c>
      <c r="O21" s="34">
        <f t="shared" si="1"/>
        <v>292.24718569082847</v>
      </c>
      <c r="P21" s="55">
        <v>16</v>
      </c>
      <c r="Q21" s="33">
        <f t="shared" si="15"/>
        <v>0</v>
      </c>
      <c r="R21" s="33">
        <f t="shared" si="22"/>
        <v>53.300000000000011</v>
      </c>
      <c r="S21" s="33">
        <f t="shared" si="23"/>
        <v>24.518000000000008</v>
      </c>
      <c r="T21" s="33">
        <f t="shared" si="2"/>
        <v>7.7857606202588867</v>
      </c>
      <c r="U21" s="33">
        <f t="shared" si="16"/>
        <v>70</v>
      </c>
      <c r="V21" s="33">
        <f t="shared" si="3"/>
        <v>5.333333333333333</v>
      </c>
      <c r="W21" s="33">
        <v>0</v>
      </c>
      <c r="X21" s="33">
        <f t="shared" si="4"/>
        <v>332.48460530250645</v>
      </c>
      <c r="Y21" s="38">
        <f t="shared" si="5"/>
        <v>40.237419611677979</v>
      </c>
      <c r="AA21" s="71">
        <v>16</v>
      </c>
      <c r="AB21" s="33">
        <f t="shared" si="6"/>
        <v>0</v>
      </c>
      <c r="AC21" s="304">
        <f t="shared" si="7"/>
        <v>0</v>
      </c>
      <c r="AD21" s="100">
        <f t="shared" si="8"/>
        <v>0.56000000000000005</v>
      </c>
      <c r="AE21" s="100">
        <f t="shared" si="9"/>
        <v>0.44</v>
      </c>
      <c r="AF21" s="193">
        <f t="shared" si="25"/>
        <v>0</v>
      </c>
      <c r="AG21" s="193">
        <f t="shared" si="26"/>
        <v>0</v>
      </c>
      <c r="AH21" s="193">
        <f t="shared" si="27"/>
        <v>0</v>
      </c>
      <c r="AI21" s="198">
        <f t="shared" si="28"/>
        <v>0</v>
      </c>
      <c r="AK21" s="71">
        <v>16</v>
      </c>
      <c r="AL21" s="33">
        <f t="shared" si="10"/>
        <v>0</v>
      </c>
      <c r="AM21" s="33">
        <f t="shared" si="11"/>
        <v>0</v>
      </c>
      <c r="AN21" s="33">
        <f t="shared" si="12"/>
        <v>0.56000000000000005</v>
      </c>
      <c r="AO21" s="33">
        <f t="shared" si="13"/>
        <v>0.44</v>
      </c>
      <c r="AP21" s="33">
        <f t="shared" si="14"/>
        <v>0</v>
      </c>
      <c r="AQ21" s="193">
        <f t="shared" si="17"/>
        <v>0</v>
      </c>
      <c r="AR21" s="193">
        <f t="shared" si="17"/>
        <v>0</v>
      </c>
      <c r="AS21" s="193">
        <f t="shared" si="17"/>
        <v>0</v>
      </c>
      <c r="AT21" s="193">
        <f t="shared" si="17"/>
        <v>0</v>
      </c>
      <c r="AU21" s="33"/>
      <c r="AV21" s="33"/>
      <c r="AW21" s="33"/>
      <c r="AX21" s="33"/>
      <c r="AY21" s="163">
        <f t="shared" si="24"/>
        <v>0</v>
      </c>
      <c r="AZ21" s="197"/>
    </row>
    <row r="22" spans="2:55">
      <c r="E22" s="6"/>
      <c r="I22" s="55">
        <v>17</v>
      </c>
      <c r="J22" s="33">
        <f t="shared" si="18"/>
        <v>7.14</v>
      </c>
      <c r="K22" s="33">
        <f t="shared" si="19"/>
        <v>2.6174585009700779</v>
      </c>
      <c r="L22" s="33">
        <f t="shared" si="20"/>
        <v>70</v>
      </c>
      <c r="M22" s="33">
        <f t="shared" si="21"/>
        <v>5.666666666666667</v>
      </c>
      <c r="N22" s="33">
        <f t="shared" si="0"/>
        <v>0</v>
      </c>
      <c r="O22" s="34">
        <f t="shared" si="1"/>
        <v>294.43868466696739</v>
      </c>
      <c r="P22" s="55">
        <v>17</v>
      </c>
      <c r="Q22" s="33">
        <f t="shared" si="15"/>
        <v>18.524999999999999</v>
      </c>
      <c r="R22" s="33">
        <f t="shared" si="22"/>
        <v>71.825000000000017</v>
      </c>
      <c r="S22" s="33">
        <f t="shared" si="23"/>
        <v>33.039500000000011</v>
      </c>
      <c r="T22" s="33">
        <f t="shared" si="2"/>
        <v>10.133746493094137</v>
      </c>
      <c r="U22" s="33">
        <f t="shared" si="16"/>
        <v>70</v>
      </c>
      <c r="V22" s="33">
        <f t="shared" si="3"/>
        <v>5.666666666666667</v>
      </c>
      <c r="W22" s="33">
        <v>0</v>
      </c>
      <c r="X22" s="33">
        <f t="shared" si="4"/>
        <v>352.63784875325013</v>
      </c>
      <c r="Y22" s="38">
        <f t="shared" si="5"/>
        <v>58.199164086282735</v>
      </c>
      <c r="AA22" s="71">
        <v>17</v>
      </c>
      <c r="AB22" s="33">
        <f t="shared" si="6"/>
        <v>0</v>
      </c>
      <c r="AC22" s="304">
        <f t="shared" si="7"/>
        <v>0</v>
      </c>
      <c r="AD22" s="100">
        <f t="shared" si="8"/>
        <v>0</v>
      </c>
      <c r="AE22" s="100">
        <f t="shared" si="9"/>
        <v>0</v>
      </c>
      <c r="AF22" s="193">
        <f t="shared" si="25"/>
        <v>0</v>
      </c>
      <c r="AG22" s="193">
        <f t="shared" si="26"/>
        <v>0</v>
      </c>
      <c r="AH22" s="193">
        <f t="shared" si="27"/>
        <v>0</v>
      </c>
      <c r="AI22" s="198">
        <f t="shared" si="28"/>
        <v>0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3">
        <f t="shared" si="17"/>
        <v>0</v>
      </c>
      <c r="AR22" s="193">
        <f t="shared" si="17"/>
        <v>0</v>
      </c>
      <c r="AS22" s="193">
        <f t="shared" si="17"/>
        <v>0</v>
      </c>
      <c r="AT22" s="193">
        <f t="shared" si="17"/>
        <v>0</v>
      </c>
      <c r="AU22" s="33"/>
      <c r="AV22" s="33"/>
      <c r="AW22" s="33"/>
      <c r="AX22" s="33"/>
      <c r="AY22" s="163">
        <f t="shared" si="24"/>
        <v>0</v>
      </c>
      <c r="AZ22" s="197"/>
    </row>
    <row r="23" spans="2:55">
      <c r="B23" s="386" t="s">
        <v>142</v>
      </c>
      <c r="C23" s="387"/>
      <c r="D23" s="387"/>
      <c r="E23" s="387"/>
      <c r="F23" s="387"/>
      <c r="G23" s="388"/>
      <c r="I23" s="55">
        <v>18</v>
      </c>
      <c r="J23" s="33">
        <f t="shared" si="18"/>
        <v>7.56</v>
      </c>
      <c r="K23" s="33">
        <f t="shared" si="19"/>
        <v>2.7530488868114218</v>
      </c>
      <c r="L23" s="33">
        <f t="shared" si="20"/>
        <v>70</v>
      </c>
      <c r="M23" s="33">
        <f t="shared" si="21"/>
        <v>6</v>
      </c>
      <c r="N23" s="33">
        <f t="shared" si="0"/>
        <v>0</v>
      </c>
      <c r="O23" s="34">
        <f t="shared" si="1"/>
        <v>296.6285601445299</v>
      </c>
      <c r="P23" s="55">
        <v>18</v>
      </c>
      <c r="Q23" s="33">
        <f t="shared" si="15"/>
        <v>18.524999999999999</v>
      </c>
      <c r="R23" s="33">
        <f t="shared" si="22"/>
        <v>90.350000000000023</v>
      </c>
      <c r="S23" s="33">
        <f t="shared" si="23"/>
        <v>41.561000000000014</v>
      </c>
      <c r="T23" s="33">
        <f t="shared" si="2"/>
        <v>12.411463784232479</v>
      </c>
      <c r="U23" s="33">
        <f t="shared" si="16"/>
        <v>70</v>
      </c>
      <c r="V23" s="33">
        <f t="shared" si="3"/>
        <v>6</v>
      </c>
      <c r="W23" s="33">
        <v>0</v>
      </c>
      <c r="X23" s="33">
        <f t="shared" si="4"/>
        <v>372.66870775753824</v>
      </c>
      <c r="Y23" s="38">
        <f t="shared" si="5"/>
        <v>76.040147613008344</v>
      </c>
      <c r="AA23" s="71">
        <v>18</v>
      </c>
      <c r="AB23" s="33">
        <f t="shared" si="6"/>
        <v>0</v>
      </c>
      <c r="AC23" s="304">
        <f t="shared" si="7"/>
        <v>0</v>
      </c>
      <c r="AD23" s="100">
        <f t="shared" si="8"/>
        <v>0</v>
      </c>
      <c r="AE23" s="100">
        <f t="shared" si="9"/>
        <v>0</v>
      </c>
      <c r="AF23" s="193">
        <f t="shared" si="25"/>
        <v>0</v>
      </c>
      <c r="AG23" s="193">
        <f t="shared" si="26"/>
        <v>0</v>
      </c>
      <c r="AH23" s="193">
        <f t="shared" si="27"/>
        <v>0</v>
      </c>
      <c r="AI23" s="198">
        <f t="shared" si="28"/>
        <v>0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3">
        <f t="shared" si="17"/>
        <v>0</v>
      </c>
      <c r="AR23" s="193">
        <f t="shared" si="17"/>
        <v>0</v>
      </c>
      <c r="AS23" s="193">
        <f t="shared" si="17"/>
        <v>0</v>
      </c>
      <c r="AT23" s="193">
        <f t="shared" si="17"/>
        <v>0</v>
      </c>
      <c r="AU23" s="33"/>
      <c r="AV23" s="33"/>
      <c r="AW23" s="33"/>
      <c r="AX23" s="33"/>
      <c r="AY23" s="163">
        <f t="shared" si="24"/>
        <v>0</v>
      </c>
      <c r="AZ23" s="197"/>
    </row>
    <row r="24" spans="2:55">
      <c r="B24" s="47" t="s">
        <v>114</v>
      </c>
      <c r="C24" s="48" t="s">
        <v>115</v>
      </c>
      <c r="D24" s="48" t="s">
        <v>83</v>
      </c>
      <c r="E24" s="48" t="s">
        <v>117</v>
      </c>
      <c r="F24" s="48" t="s">
        <v>116</v>
      </c>
      <c r="G24" s="49" t="s">
        <v>141</v>
      </c>
      <c r="I24" s="55">
        <v>19</v>
      </c>
      <c r="J24" s="33">
        <f t="shared" si="18"/>
        <v>7.9799999999999995</v>
      </c>
      <c r="K24" s="33">
        <f t="shared" si="19"/>
        <v>2.8877648089424257</v>
      </c>
      <c r="L24" s="33">
        <f t="shared" si="20"/>
        <v>70</v>
      </c>
      <c r="M24" s="33">
        <f t="shared" si="21"/>
        <v>6.333333333333333</v>
      </c>
      <c r="N24" s="33">
        <f t="shared" si="0"/>
        <v>0</v>
      </c>
      <c r="O24" s="34">
        <f t="shared" si="1"/>
        <v>298.81691259779694</v>
      </c>
      <c r="P24" s="55">
        <v>19</v>
      </c>
      <c r="Q24" s="33">
        <f t="shared" si="15"/>
        <v>18.524999999999999</v>
      </c>
      <c r="R24" s="33">
        <f t="shared" si="22"/>
        <v>108.87500000000003</v>
      </c>
      <c r="S24" s="33">
        <f t="shared" si="23"/>
        <v>50.082500000000017</v>
      </c>
      <c r="T24" s="33">
        <f t="shared" si="2"/>
        <v>14.635063603459013</v>
      </c>
      <c r="U24" s="33">
        <f t="shared" si="16"/>
        <v>70</v>
      </c>
      <c r="V24" s="33">
        <f t="shared" si="3"/>
        <v>6.333333333333333</v>
      </c>
      <c r="W24" s="33">
        <v>0</v>
      </c>
      <c r="X24" s="33">
        <f t="shared" si="4"/>
        <v>392.60531216491336</v>
      </c>
      <c r="Y24" s="38">
        <f t="shared" si="5"/>
        <v>93.788399567116414</v>
      </c>
      <c r="AA24" s="71">
        <v>19</v>
      </c>
      <c r="AB24" s="33">
        <f t="shared" si="6"/>
        <v>0</v>
      </c>
      <c r="AC24" s="304">
        <f t="shared" si="7"/>
        <v>0</v>
      </c>
      <c r="AD24" s="100">
        <f t="shared" si="8"/>
        <v>0</v>
      </c>
      <c r="AE24" s="100">
        <f t="shared" si="9"/>
        <v>0</v>
      </c>
      <c r="AF24" s="193">
        <f t="shared" si="25"/>
        <v>0</v>
      </c>
      <c r="AG24" s="193">
        <f t="shared" si="26"/>
        <v>0</v>
      </c>
      <c r="AH24" s="193">
        <f t="shared" si="27"/>
        <v>0</v>
      </c>
      <c r="AI24" s="198">
        <f t="shared" si="28"/>
        <v>0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3">
        <f t="shared" si="17"/>
        <v>0</v>
      </c>
      <c r="AR24" s="193">
        <f t="shared" si="17"/>
        <v>0</v>
      </c>
      <c r="AS24" s="193">
        <f t="shared" si="17"/>
        <v>0</v>
      </c>
      <c r="AT24" s="193">
        <f t="shared" si="17"/>
        <v>0</v>
      </c>
      <c r="AU24" s="33"/>
      <c r="AV24" s="33"/>
      <c r="AW24" s="33"/>
      <c r="AX24" s="33"/>
      <c r="AY24" s="163">
        <f t="shared" si="24"/>
        <v>0</v>
      </c>
      <c r="AZ24" s="197"/>
      <c r="BA24" s="5"/>
      <c r="BB24" s="5"/>
      <c r="BC24" s="5"/>
    </row>
    <row r="25" spans="2:55">
      <c r="B25" s="45">
        <v>0</v>
      </c>
      <c r="C25" s="333">
        <v>15</v>
      </c>
      <c r="D25" s="135">
        <f>D26+0</f>
        <v>41</v>
      </c>
      <c r="E25" s="139">
        <f t="shared" ref="E25:E52" si="29">$F$20</f>
        <v>1.3</v>
      </c>
      <c r="F25" s="46">
        <f t="shared" ref="F25:F32" si="30">D25*E25</f>
        <v>53.300000000000004</v>
      </c>
      <c r="G25" s="50">
        <f>F25/(C25-B25)</f>
        <v>3.5533333333333337</v>
      </c>
      <c r="I25" s="55">
        <v>20</v>
      </c>
      <c r="J25" s="33">
        <f t="shared" si="18"/>
        <v>8.4</v>
      </c>
      <c r="K25" s="33">
        <f t="shared" si="19"/>
        <v>3.0216575404908177</v>
      </c>
      <c r="L25" s="33">
        <f t="shared" si="20"/>
        <v>70</v>
      </c>
      <c r="M25" s="33">
        <f t="shared" si="21"/>
        <v>6.666666666666667</v>
      </c>
      <c r="N25" s="33">
        <f t="shared" si="0"/>
        <v>0</v>
      </c>
      <c r="O25" s="34">
        <f t="shared" si="1"/>
        <v>301.003831327466</v>
      </c>
      <c r="P25" s="55">
        <v>20</v>
      </c>
      <c r="Q25" s="33">
        <f t="shared" si="15"/>
        <v>18.524999999999999</v>
      </c>
      <c r="R25" s="33">
        <f t="shared" si="22"/>
        <v>127.40000000000003</v>
      </c>
      <c r="S25" s="33">
        <f t="shared" si="23"/>
        <v>58.604000000000021</v>
      </c>
      <c r="T25" s="33">
        <f t="shared" si="2"/>
        <v>16.814834282992791</v>
      </c>
      <c r="U25" s="33">
        <f t="shared" si="16"/>
        <v>70</v>
      </c>
      <c r="V25" s="33">
        <f t="shared" si="3"/>
        <v>6.666666666666667</v>
      </c>
      <c r="W25" s="33">
        <v>0</v>
      </c>
      <c r="X25" s="33">
        <f t="shared" si="4"/>
        <v>412.4655808206569</v>
      </c>
      <c r="Y25" s="38">
        <f t="shared" si="5"/>
        <v>111.46174949319089</v>
      </c>
      <c r="AA25" s="71">
        <v>20</v>
      </c>
      <c r="AB25" s="33">
        <f t="shared" si="6"/>
        <v>0</v>
      </c>
      <c r="AC25" s="304">
        <f t="shared" si="7"/>
        <v>0</v>
      </c>
      <c r="AD25" s="100">
        <f t="shared" si="8"/>
        <v>0</v>
      </c>
      <c r="AE25" s="100">
        <f t="shared" si="9"/>
        <v>0</v>
      </c>
      <c r="AF25" s="193">
        <f>IF(OR(AA25&lt;=$F$18,AA25&lt;=30),EXP(-LN(2)/$D$104)*AF24+((1-EXP(-LN(2)/$D$104))/(LN(2)/$D$104))*$AB25*AC25*0.475*$F$19*44/12,)</f>
        <v>0</v>
      </c>
      <c r="AG25" s="193">
        <f>IF(OR(AA25&lt;=$F$18,AA25&lt;=30),EXP(-LN(2)/$D$106)*AG24+((1-EXP(-LN(2)/$D$106))/(LN(2)/$D$106))*$AB25*AD25*0.475*$F$19*44/12,)</f>
        <v>0</v>
      </c>
      <c r="AH25" s="193">
        <f>IF(OR(AA25&lt;=$F$18,AA25&lt;=30),EXP(-LN(2)/$D$105)*AH24+((1-EXP(-LN(2)/$D$105))/(LN(2)/$D$105))*$AB25*AE25*0.475*$F$19*44/12,)</f>
        <v>0</v>
      </c>
      <c r="AI25" s="198">
        <f>IF(OR(AA25&lt;=$F$18,AA25&lt;=30),SUM(AF25:AH25),)</f>
        <v>0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3">
        <f>IF($AK25&lt;=$F$18,$AL25*AM25,)</f>
        <v>0</v>
      </c>
      <c r="AR25" s="193">
        <f>IF($AK25&lt;=$F$18,$AL25*AN25,)</f>
        <v>0</v>
      </c>
      <c r="AS25" s="193">
        <f>IF($AK25&lt;=$F$18,$AL25*AO25,)</f>
        <v>0</v>
      </c>
      <c r="AT25" s="193">
        <f>IF($AK25&lt;=$F$18,$AL25*AP25,)</f>
        <v>0</v>
      </c>
      <c r="AU25" s="33"/>
      <c r="AV25" s="33"/>
      <c r="AW25" s="33"/>
      <c r="AX25" s="33"/>
      <c r="AY25" s="163">
        <f t="shared" si="24"/>
        <v>0</v>
      </c>
      <c r="AZ25" s="197"/>
      <c r="BA25" s="5"/>
      <c r="BB25" s="5"/>
      <c r="BC25" s="5"/>
    </row>
    <row r="26" spans="2:55">
      <c r="B26" s="40">
        <f t="shared" ref="B26:B52" si="31">C25</f>
        <v>15</v>
      </c>
      <c r="C26" s="41">
        <f>B26+1</f>
        <v>16</v>
      </c>
      <c r="D26" s="136">
        <v>41</v>
      </c>
      <c r="E26" s="140">
        <f t="shared" si="29"/>
        <v>1.3</v>
      </c>
      <c r="F26" s="42">
        <f t="shared" si="30"/>
        <v>53.300000000000004</v>
      </c>
      <c r="G26" s="141">
        <f>(F26-F25)/(C26-B26)</f>
        <v>0</v>
      </c>
      <c r="I26" s="55">
        <v>21</v>
      </c>
      <c r="J26" s="33">
        <f t="shared" si="18"/>
        <v>8.82</v>
      </c>
      <c r="K26" s="33">
        <f t="shared" si="19"/>
        <v>3.1547729376322442</v>
      </c>
      <c r="L26" s="33">
        <f t="shared" si="20"/>
        <v>70</v>
      </c>
      <c r="M26" s="33">
        <f t="shared" si="21"/>
        <v>7</v>
      </c>
      <c r="N26" s="33">
        <f t="shared" si="0"/>
        <v>0</v>
      </c>
      <c r="O26" s="34">
        <f t="shared" si="1"/>
        <v>303.18939619970951</v>
      </c>
      <c r="P26" s="55">
        <v>21</v>
      </c>
      <c r="Q26" s="33">
        <f t="shared" si="15"/>
        <v>-19.5</v>
      </c>
      <c r="R26" s="33">
        <f t="shared" si="22"/>
        <v>107.90000000000003</v>
      </c>
      <c r="S26" s="33">
        <f t="shared" si="23"/>
        <v>49.634000000000015</v>
      </c>
      <c r="T26" s="33">
        <f t="shared" si="2"/>
        <v>14.519198189037462</v>
      </c>
      <c r="U26" s="33">
        <f t="shared" si="16"/>
        <v>70</v>
      </c>
      <c r="V26" s="33">
        <f t="shared" si="3"/>
        <v>7</v>
      </c>
      <c r="W26" s="33">
        <v>0</v>
      </c>
      <c r="X26" s="33">
        <f t="shared" si="4"/>
        <v>394.06682017924027</v>
      </c>
      <c r="Y26" s="38">
        <f t="shared" si="5"/>
        <v>90.877423979530761</v>
      </c>
      <c r="AA26" s="71">
        <v>21</v>
      </c>
      <c r="AB26" s="33">
        <f t="shared" si="6"/>
        <v>15</v>
      </c>
      <c r="AC26" s="304">
        <f t="shared" si="7"/>
        <v>0</v>
      </c>
      <c r="AD26" s="100">
        <f t="shared" si="8"/>
        <v>0.56000000000000005</v>
      </c>
      <c r="AE26" s="100">
        <f t="shared" si="9"/>
        <v>0.44</v>
      </c>
      <c r="AF26" s="193">
        <f>IF(OR(AA26&lt;=$F$18,AA26&lt;=30),EXP(-LN(2)/$D$104)*AF25+((1-EXP(-LN(2)/$D$104))/(LN(2)/$D$104))*$AB26*AC26*0.475*$F$19*44/12,)</f>
        <v>0</v>
      </c>
      <c r="AG26" s="193">
        <f>IF(OR(AA26&lt;=$F$18,AA26&lt;=30),EXP(-LN(2)/$D$106)*AG25+((1-EXP(-LN(2)/$D$106))/(LN(2)/$D$106))*$AB26*AD26*0.475*$F$19*44/12,)</f>
        <v>6.6373614459536014</v>
      </c>
      <c r="AH26" s="193">
        <f>IF(OR(AA26&lt;=$F$18,AA26&lt;=30),EXP(-LN(2)/$D$105)*AH25+((1-EXP(-LN(2)/$D$105))/(LN(2)/$D$105))*$AB26*AE26*0.475*$F$19*44/12,)</f>
        <v>4.4686944318774557</v>
      </c>
      <c r="AI26" s="198">
        <f>IF(OR(AA26&lt;=$F$18,AA26&lt;=30),SUM(AF26:AH26),)</f>
        <v>11.106055877831057</v>
      </c>
      <c r="AK26" s="71">
        <v>21</v>
      </c>
      <c r="AL26" s="33">
        <f t="shared" si="10"/>
        <v>15</v>
      </c>
      <c r="AM26" s="33">
        <f t="shared" si="11"/>
        <v>0</v>
      </c>
      <c r="AN26" s="33">
        <f t="shared" si="12"/>
        <v>0.56000000000000005</v>
      </c>
      <c r="AO26" s="33">
        <f t="shared" si="13"/>
        <v>0.44</v>
      </c>
      <c r="AP26" s="33">
        <f t="shared" si="14"/>
        <v>0</v>
      </c>
      <c r="AQ26" s="193">
        <f t="shared" ref="AQ26:AT41" si="32">IF($AK26&lt;=$F$18,$AL26*AM26,)</f>
        <v>0</v>
      </c>
      <c r="AR26" s="193">
        <f t="shared" si="32"/>
        <v>8.4</v>
      </c>
      <c r="AS26" s="193">
        <f t="shared" si="32"/>
        <v>6.6</v>
      </c>
      <c r="AT26" s="193">
        <f t="shared" si="32"/>
        <v>0</v>
      </c>
      <c r="AU26" s="33"/>
      <c r="AV26" s="33"/>
      <c r="AW26" s="33"/>
      <c r="AX26" s="33"/>
      <c r="AY26" s="163">
        <f t="shared" si="24"/>
        <v>8.85</v>
      </c>
      <c r="AZ26" s="197"/>
      <c r="BA26" s="5"/>
      <c r="BB26" s="5"/>
      <c r="BC26" s="157"/>
    </row>
    <row r="27" spans="2:55">
      <c r="B27" s="40">
        <f t="shared" si="31"/>
        <v>16</v>
      </c>
      <c r="C27" s="151">
        <f>C25+5</f>
        <v>20</v>
      </c>
      <c r="D27" s="136">
        <f>D28+15</f>
        <v>98</v>
      </c>
      <c r="E27" s="140">
        <f t="shared" si="29"/>
        <v>1.3</v>
      </c>
      <c r="F27" s="42">
        <f t="shared" si="30"/>
        <v>127.4</v>
      </c>
      <c r="G27" s="51">
        <f t="shared" ref="G27:G32" si="33">(F27-F26)/(C27-B27)</f>
        <v>18.524999999999999</v>
      </c>
      <c r="I27" s="55">
        <v>22</v>
      </c>
      <c r="J27" s="33">
        <f t="shared" si="18"/>
        <v>9.24</v>
      </c>
      <c r="K27" s="33">
        <f t="shared" si="19"/>
        <v>3.2871522425130331</v>
      </c>
      <c r="L27" s="33">
        <f t="shared" si="20"/>
        <v>70</v>
      </c>
      <c r="M27" s="33">
        <f t="shared" si="21"/>
        <v>7.333333333333333</v>
      </c>
      <c r="N27" s="33">
        <f t="shared" si="0"/>
        <v>0</v>
      </c>
      <c r="O27" s="34">
        <f t="shared" si="1"/>
        <v>305.3736790445991</v>
      </c>
      <c r="P27" s="55">
        <v>22</v>
      </c>
      <c r="Q27" s="33">
        <f t="shared" si="15"/>
        <v>22.424999999999997</v>
      </c>
      <c r="R27" s="33">
        <f t="shared" si="22"/>
        <v>130.32500000000005</v>
      </c>
      <c r="S27" s="33">
        <f t="shared" si="23"/>
        <v>59.949500000000022</v>
      </c>
      <c r="T27" s="33">
        <f t="shared" si="2"/>
        <v>17.15550040242459</v>
      </c>
      <c r="U27" s="33">
        <f t="shared" si="16"/>
        <v>70</v>
      </c>
      <c r="V27" s="33">
        <f t="shared" si="3"/>
        <v>7.333333333333333</v>
      </c>
      <c r="W27" s="33">
        <v>0</v>
      </c>
      <c r="X27" s="33">
        <f t="shared" si="4"/>
        <v>417.84676458977839</v>
      </c>
      <c r="Y27" s="38">
        <f t="shared" si="5"/>
        <v>112.47308554517929</v>
      </c>
      <c r="AA27" s="71">
        <v>22</v>
      </c>
      <c r="AB27" s="33">
        <f t="shared" si="6"/>
        <v>0</v>
      </c>
      <c r="AC27" s="304">
        <f t="shared" si="7"/>
        <v>0</v>
      </c>
      <c r="AD27" s="100">
        <f t="shared" si="8"/>
        <v>0</v>
      </c>
      <c r="AE27" s="100">
        <f t="shared" si="9"/>
        <v>0</v>
      </c>
      <c r="AF27" s="193">
        <f t="shared" ref="AF27:AF90" si="34">IF(OR(AA27&lt;=$F$18,AA27&lt;=30),EXP(-LN(2)/$D$104)*AF26+((1-EXP(-LN(2)/$D$104))/(LN(2)/$D$104))*$AB27*AC27*0.475*$F$19*44/12,)</f>
        <v>0</v>
      </c>
      <c r="AG27" s="193">
        <f t="shared" ref="AG27:AG90" si="35">IF(OR(AA27&lt;=$F$18,AA27&lt;=30),EXP(-LN(2)/$D$106)*AG26+((1-EXP(-LN(2)/$D$106))/(LN(2)/$D$106))*$AB27*AD27*0.475*$F$19*44/12,)</f>
        <v>6.4558624481703317</v>
      </c>
      <c r="AH27" s="193">
        <f t="shared" ref="AH27:AH90" si="36">IF(OR(AA27&lt;=$F$18,AA27&lt;=30),EXP(-LN(2)/$D$105)*AH26+((1-EXP(-LN(2)/$D$105))/(LN(2)/$D$105))*$AB27*AE27*0.475*$F$19*44/12,)</f>
        <v>3.1598441358311158</v>
      </c>
      <c r="AI27" s="198">
        <f t="shared" ref="AI27:AI90" si="37">IF(OR(AA27&lt;=$F$18,AA27&lt;=30),SUM(AF27:AH27),)</f>
        <v>9.6157065840014475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3">
        <f t="shared" si="32"/>
        <v>0</v>
      </c>
      <c r="AR27" s="193">
        <f t="shared" si="32"/>
        <v>0</v>
      </c>
      <c r="AS27" s="193">
        <f t="shared" si="32"/>
        <v>0</v>
      </c>
      <c r="AT27" s="193">
        <f t="shared" si="32"/>
        <v>0</v>
      </c>
      <c r="AU27" s="33"/>
      <c r="AV27" s="33"/>
      <c r="AW27" s="33"/>
      <c r="AX27" s="33"/>
      <c r="AY27" s="163">
        <f t="shared" si="24"/>
        <v>8.85</v>
      </c>
      <c r="AZ27" s="197"/>
    </row>
    <row r="28" spans="2:55">
      <c r="B28" s="40">
        <f t="shared" si="31"/>
        <v>20</v>
      </c>
      <c r="C28" s="151">
        <f>C26+5</f>
        <v>21</v>
      </c>
      <c r="D28" s="136">
        <v>83</v>
      </c>
      <c r="E28" s="140">
        <f t="shared" si="29"/>
        <v>1.3</v>
      </c>
      <c r="F28" s="42">
        <f t="shared" si="30"/>
        <v>107.9</v>
      </c>
      <c r="G28" s="51">
        <f t="shared" si="33"/>
        <v>-19.5</v>
      </c>
      <c r="I28" s="55">
        <v>23</v>
      </c>
      <c r="J28" s="33">
        <f t="shared" si="18"/>
        <v>9.66</v>
      </c>
      <c r="K28" s="33">
        <f t="shared" si="19"/>
        <v>3.4188327360603257</v>
      </c>
      <c r="L28" s="33">
        <f t="shared" si="20"/>
        <v>70</v>
      </c>
      <c r="M28" s="33">
        <f t="shared" si="21"/>
        <v>7.666666666666667</v>
      </c>
      <c r="N28" s="33">
        <f t="shared" si="0"/>
        <v>0</v>
      </c>
      <c r="O28" s="34">
        <f t="shared" si="1"/>
        <v>307.55674479308283</v>
      </c>
      <c r="P28" s="55">
        <v>23</v>
      </c>
      <c r="Q28" s="33">
        <f t="shared" si="15"/>
        <v>22.424999999999997</v>
      </c>
      <c r="R28" s="33">
        <f t="shared" si="22"/>
        <v>152.75000000000006</v>
      </c>
      <c r="S28" s="33">
        <f t="shared" si="23"/>
        <v>70.265000000000029</v>
      </c>
      <c r="T28" s="33">
        <f t="shared" si="2"/>
        <v>19.739251931971257</v>
      </c>
      <c r="U28" s="33">
        <f t="shared" si="16"/>
        <v>70</v>
      </c>
      <c r="V28" s="33">
        <f t="shared" si="3"/>
        <v>7.666666666666667</v>
      </c>
      <c r="W28" s="33">
        <v>0</v>
      </c>
      <c r="X28" s="33">
        <f t="shared" si="4"/>
        <v>441.53518322596113</v>
      </c>
      <c r="Y28" s="38">
        <f t="shared" si="5"/>
        <v>133.97843843287831</v>
      </c>
      <c r="AA28" s="71">
        <v>23</v>
      </c>
      <c r="AB28" s="33">
        <f t="shared" si="6"/>
        <v>0</v>
      </c>
      <c r="AC28" s="304">
        <f t="shared" si="7"/>
        <v>0</v>
      </c>
      <c r="AD28" s="100">
        <f t="shared" si="8"/>
        <v>0</v>
      </c>
      <c r="AE28" s="100">
        <f t="shared" si="9"/>
        <v>0</v>
      </c>
      <c r="AF28" s="193">
        <f t="shared" si="34"/>
        <v>0</v>
      </c>
      <c r="AG28" s="193">
        <f t="shared" si="35"/>
        <v>6.2793265500260631</v>
      </c>
      <c r="AH28" s="193">
        <f t="shared" si="36"/>
        <v>2.2343472159387283</v>
      </c>
      <c r="AI28" s="198">
        <f t="shared" si="37"/>
        <v>8.513673765964791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3">
        <f t="shared" si="32"/>
        <v>0</v>
      </c>
      <c r="AR28" s="193">
        <f t="shared" si="32"/>
        <v>0</v>
      </c>
      <c r="AS28" s="193">
        <f t="shared" si="32"/>
        <v>0</v>
      </c>
      <c r="AT28" s="193">
        <f t="shared" si="32"/>
        <v>0</v>
      </c>
      <c r="AU28" s="33"/>
      <c r="AV28" s="33"/>
      <c r="AW28" s="33"/>
      <c r="AX28" s="33"/>
      <c r="AY28" s="163">
        <f t="shared" si="24"/>
        <v>8.85</v>
      </c>
      <c r="AZ28" s="197"/>
    </row>
    <row r="29" spans="2:55">
      <c r="B29" s="40">
        <f t="shared" si="31"/>
        <v>21</v>
      </c>
      <c r="C29" s="151">
        <f t="shared" ref="C29:C52" si="38">C27+5</f>
        <v>25</v>
      </c>
      <c r="D29" s="136">
        <f>D30+35</f>
        <v>152</v>
      </c>
      <c r="E29" s="140">
        <f t="shared" si="29"/>
        <v>1.3</v>
      </c>
      <c r="F29" s="42">
        <f t="shared" si="30"/>
        <v>197.6</v>
      </c>
      <c r="G29" s="51">
        <f t="shared" si="33"/>
        <v>22.424999999999997</v>
      </c>
      <c r="I29" s="55">
        <v>24</v>
      </c>
      <c r="J29" s="33">
        <f t="shared" si="18"/>
        <v>10.08</v>
      </c>
      <c r="K29" s="33">
        <f t="shared" si="19"/>
        <v>3.5498482740564596</v>
      </c>
      <c r="L29" s="33">
        <f t="shared" si="20"/>
        <v>70</v>
      </c>
      <c r="M29" s="33">
        <f t="shared" si="21"/>
        <v>8</v>
      </c>
      <c r="N29" s="33">
        <f t="shared" si="0"/>
        <v>0</v>
      </c>
      <c r="O29" s="34">
        <f t="shared" si="1"/>
        <v>309.73865241064834</v>
      </c>
      <c r="P29" s="55">
        <v>24</v>
      </c>
      <c r="Q29" s="33">
        <f t="shared" si="15"/>
        <v>22.424999999999997</v>
      </c>
      <c r="R29" s="33">
        <f t="shared" si="22"/>
        <v>175.17500000000007</v>
      </c>
      <c r="S29" s="33">
        <f t="shared" si="23"/>
        <v>80.580500000000029</v>
      </c>
      <c r="T29" s="33">
        <f t="shared" si="2"/>
        <v>22.279059616532283</v>
      </c>
      <c r="U29" s="33">
        <f t="shared" si="16"/>
        <v>70</v>
      </c>
      <c r="V29" s="33">
        <f t="shared" si="3"/>
        <v>8</v>
      </c>
      <c r="W29" s="33">
        <v>0</v>
      </c>
      <c r="X29" s="33">
        <f t="shared" si="4"/>
        <v>465.14706633212705</v>
      </c>
      <c r="Y29" s="38">
        <f t="shared" si="5"/>
        <v>155.40841392147871</v>
      </c>
      <c r="AA29" s="71">
        <v>24</v>
      </c>
      <c r="AB29" s="33">
        <f t="shared" si="6"/>
        <v>0</v>
      </c>
      <c r="AC29" s="304">
        <f t="shared" si="7"/>
        <v>0</v>
      </c>
      <c r="AD29" s="100">
        <f t="shared" si="8"/>
        <v>0</v>
      </c>
      <c r="AE29" s="100">
        <f t="shared" si="9"/>
        <v>0</v>
      </c>
      <c r="AF29" s="193">
        <f t="shared" si="34"/>
        <v>0</v>
      </c>
      <c r="AG29" s="193">
        <f t="shared" si="35"/>
        <v>6.1076180353001686</v>
      </c>
      <c r="AH29" s="193">
        <f t="shared" si="36"/>
        <v>1.5799220679155581</v>
      </c>
      <c r="AI29" s="198">
        <f t="shared" si="37"/>
        <v>7.6875401032157269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3">
        <f t="shared" si="32"/>
        <v>0</v>
      </c>
      <c r="AR29" s="193">
        <f t="shared" si="32"/>
        <v>0</v>
      </c>
      <c r="AS29" s="193">
        <f t="shared" si="32"/>
        <v>0</v>
      </c>
      <c r="AT29" s="193">
        <f t="shared" si="32"/>
        <v>0</v>
      </c>
      <c r="AU29" s="33"/>
      <c r="AV29" s="33"/>
      <c r="AW29" s="33"/>
      <c r="AX29" s="33"/>
      <c r="AY29" s="163">
        <f t="shared" si="24"/>
        <v>8.85</v>
      </c>
      <c r="AZ29" s="197"/>
    </row>
    <row r="30" spans="2:55">
      <c r="B30" s="40">
        <f t="shared" si="31"/>
        <v>25</v>
      </c>
      <c r="C30" s="151">
        <f t="shared" si="38"/>
        <v>26</v>
      </c>
      <c r="D30" s="136">
        <v>117</v>
      </c>
      <c r="E30" s="140">
        <f t="shared" si="29"/>
        <v>1.3</v>
      </c>
      <c r="F30" s="42">
        <f t="shared" si="30"/>
        <v>152.1</v>
      </c>
      <c r="G30" s="51">
        <f t="shared" si="33"/>
        <v>-45.5</v>
      </c>
      <c r="I30" s="55">
        <v>25</v>
      </c>
      <c r="J30" s="33">
        <f t="shared" si="18"/>
        <v>10.5</v>
      </c>
      <c r="K30" s="33">
        <f t="shared" si="19"/>
        <v>3.6802297313500394</v>
      </c>
      <c r="L30" s="33">
        <f t="shared" si="20"/>
        <v>70</v>
      </c>
      <c r="M30" s="33">
        <f t="shared" si="21"/>
        <v>8.3333333333333339</v>
      </c>
      <c r="N30" s="33">
        <f t="shared" si="0"/>
        <v>0</v>
      </c>
      <c r="O30" s="34">
        <f t="shared" si="1"/>
        <v>311.9194556709902</v>
      </c>
      <c r="P30" s="55">
        <v>25</v>
      </c>
      <c r="Q30" s="33">
        <f t="shared" si="15"/>
        <v>22.424999999999997</v>
      </c>
      <c r="R30" s="33">
        <f t="shared" si="22"/>
        <v>197.60000000000008</v>
      </c>
      <c r="S30" s="33">
        <f t="shared" si="23"/>
        <v>90.896000000000043</v>
      </c>
      <c r="T30" s="33">
        <f t="shared" si="2"/>
        <v>24.781193872187977</v>
      </c>
      <c r="U30" s="33">
        <f t="shared" si="16"/>
        <v>70</v>
      </c>
      <c r="V30" s="33">
        <f t="shared" si="3"/>
        <v>8.3333333333333339</v>
      </c>
      <c r="W30" s="33">
        <v>0</v>
      </c>
      <c r="X30" s="33">
        <f t="shared" si="4"/>
        <v>488.69333488294961</v>
      </c>
      <c r="Y30" s="38">
        <f t="shared" si="5"/>
        <v>176.77387921195941</v>
      </c>
      <c r="AA30" s="71">
        <v>25</v>
      </c>
      <c r="AB30" s="33">
        <f t="shared" si="6"/>
        <v>0</v>
      </c>
      <c r="AC30" s="304">
        <f>IF(AA30&lt;=$F$18,IFERROR(VLOOKUP($AA30,$B$82:$G$94,3,FALSE),0),)*50%</f>
        <v>0</v>
      </c>
      <c r="AD30" s="100">
        <f t="shared" si="8"/>
        <v>0</v>
      </c>
      <c r="AE30" s="100">
        <f t="shared" si="9"/>
        <v>0</v>
      </c>
      <c r="AF30" s="193">
        <f t="shared" si="34"/>
        <v>0</v>
      </c>
      <c r="AG30" s="193">
        <f t="shared" si="35"/>
        <v>5.9406048989392124</v>
      </c>
      <c r="AH30" s="193">
        <f t="shared" si="36"/>
        <v>1.1171736079693644</v>
      </c>
      <c r="AI30" s="198">
        <f t="shared" si="37"/>
        <v>7.0577785069085763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3">
        <f t="shared" si="32"/>
        <v>0</v>
      </c>
      <c r="AR30" s="193">
        <f t="shared" si="32"/>
        <v>0</v>
      </c>
      <c r="AS30" s="193">
        <f t="shared" si="32"/>
        <v>0</v>
      </c>
      <c r="AT30" s="193">
        <f t="shared" si="32"/>
        <v>0</v>
      </c>
      <c r="AU30" s="33"/>
      <c r="AV30" s="33"/>
      <c r="AW30" s="33"/>
      <c r="AX30" s="33"/>
      <c r="AY30" s="163">
        <f t="shared" si="24"/>
        <v>8.85</v>
      </c>
      <c r="AZ30" s="197"/>
    </row>
    <row r="31" spans="2:55">
      <c r="B31" s="40">
        <f t="shared" si="31"/>
        <v>26</v>
      </c>
      <c r="C31" s="151">
        <f t="shared" si="38"/>
        <v>30</v>
      </c>
      <c r="D31" s="136">
        <f>D32+35</f>
        <v>190</v>
      </c>
      <c r="E31" s="140">
        <f t="shared" si="29"/>
        <v>1.3</v>
      </c>
      <c r="F31" s="42">
        <f t="shared" si="30"/>
        <v>247</v>
      </c>
      <c r="G31" s="51">
        <f t="shared" si="33"/>
        <v>23.725000000000001</v>
      </c>
      <c r="I31" s="55">
        <v>26</v>
      </c>
      <c r="J31" s="33">
        <f t="shared" si="18"/>
        <v>10.92</v>
      </c>
      <c r="K31" s="33">
        <f t="shared" si="19"/>
        <v>3.810005372992582</v>
      </c>
      <c r="L31" s="33">
        <f t="shared" si="20"/>
        <v>70</v>
      </c>
      <c r="M31" s="33">
        <f t="shared" si="21"/>
        <v>8.6666666666666661</v>
      </c>
      <c r="N31" s="33">
        <f t="shared" si="0"/>
        <v>0</v>
      </c>
      <c r="O31" s="34">
        <f t="shared" si="1"/>
        <v>314.09920380240652</v>
      </c>
      <c r="P31" s="55">
        <v>26</v>
      </c>
      <c r="Q31" s="33">
        <f t="shared" si="15"/>
        <v>-45.5</v>
      </c>
      <c r="R31" s="33">
        <f t="shared" si="22"/>
        <v>152.10000000000008</v>
      </c>
      <c r="S31" s="33">
        <f t="shared" si="23"/>
        <v>69.966000000000037</v>
      </c>
      <c r="T31" s="33">
        <f t="shared" si="2"/>
        <v>19.665013934342479</v>
      </c>
      <c r="U31" s="33">
        <f t="shared" si="16"/>
        <v>70</v>
      </c>
      <c r="V31" s="33">
        <f t="shared" si="3"/>
        <v>8.6666666666666661</v>
      </c>
      <c r="W31" s="33">
        <v>0</v>
      </c>
      <c r="X31" s="33">
        <f t="shared" si="4"/>
        <v>444.55179371342433</v>
      </c>
      <c r="Y31" s="38">
        <f t="shared" si="5"/>
        <v>130.45258991101781</v>
      </c>
      <c r="AA31" s="71">
        <v>26</v>
      </c>
      <c r="AB31" s="33">
        <f t="shared" si="6"/>
        <v>35</v>
      </c>
      <c r="AC31" s="304">
        <f t="shared" ref="AC31:AC94" si="39">IF(AA31&lt;=$F$18,IFERROR(VLOOKUP($AA31,$B$82:$G$94,3,FALSE),0),)*50%</f>
        <v>0</v>
      </c>
      <c r="AD31" s="100">
        <f t="shared" si="8"/>
        <v>0.56000000000000005</v>
      </c>
      <c r="AE31" s="100">
        <f t="shared" si="9"/>
        <v>0.44</v>
      </c>
      <c r="AF31" s="193">
        <f t="shared" si="34"/>
        <v>0</v>
      </c>
      <c r="AG31" s="193">
        <f t="shared" si="35"/>
        <v>21.265335452799956</v>
      </c>
      <c r="AH31" s="193">
        <f t="shared" si="36"/>
        <v>11.216914708338507</v>
      </c>
      <c r="AI31" s="198">
        <f t="shared" si="37"/>
        <v>32.482250161138467</v>
      </c>
      <c r="AK31" s="71">
        <v>26</v>
      </c>
      <c r="AL31" s="33">
        <f t="shared" si="10"/>
        <v>35</v>
      </c>
      <c r="AM31" s="33">
        <f t="shared" si="11"/>
        <v>0</v>
      </c>
      <c r="AN31" s="33">
        <f t="shared" si="12"/>
        <v>0.56000000000000005</v>
      </c>
      <c r="AO31" s="33">
        <f t="shared" si="13"/>
        <v>0.44</v>
      </c>
      <c r="AP31" s="33">
        <f t="shared" si="14"/>
        <v>0</v>
      </c>
      <c r="AQ31" s="193">
        <f t="shared" si="32"/>
        <v>0</v>
      </c>
      <c r="AR31" s="193">
        <f t="shared" si="32"/>
        <v>19.600000000000001</v>
      </c>
      <c r="AS31" s="193">
        <f t="shared" si="32"/>
        <v>15.4</v>
      </c>
      <c r="AT31" s="193">
        <f t="shared" si="32"/>
        <v>0</v>
      </c>
      <c r="AU31" s="33"/>
      <c r="AV31" s="33"/>
      <c r="AW31" s="33"/>
      <c r="AX31" s="33"/>
      <c r="AY31" s="163">
        <f t="shared" si="24"/>
        <v>29.5</v>
      </c>
      <c r="AZ31" s="197"/>
    </row>
    <row r="32" spans="2:55">
      <c r="B32" s="40">
        <f t="shared" si="31"/>
        <v>30</v>
      </c>
      <c r="C32" s="151">
        <f t="shared" si="38"/>
        <v>31</v>
      </c>
      <c r="D32" s="136">
        <v>155</v>
      </c>
      <c r="E32" s="140">
        <f t="shared" si="29"/>
        <v>1.3</v>
      </c>
      <c r="F32" s="42">
        <f t="shared" si="30"/>
        <v>201.5</v>
      </c>
      <c r="G32" s="51">
        <f t="shared" si="33"/>
        <v>-45.5</v>
      </c>
      <c r="I32" s="55">
        <v>27</v>
      </c>
      <c r="J32" s="33">
        <f t="shared" si="18"/>
        <v>11.34</v>
      </c>
      <c r="K32" s="33">
        <f t="shared" si="19"/>
        <v>3.9392011666712041</v>
      </c>
      <c r="L32" s="33">
        <f t="shared" si="20"/>
        <v>70</v>
      </c>
      <c r="M32" s="33">
        <f t="shared" si="21"/>
        <v>9</v>
      </c>
      <c r="N32" s="33">
        <f t="shared" si="0"/>
        <v>0</v>
      </c>
      <c r="O32" s="34">
        <f t="shared" si="1"/>
        <v>316.27794203195236</v>
      </c>
      <c r="P32" s="55">
        <v>27</v>
      </c>
      <c r="Q32" s="33">
        <f t="shared" si="15"/>
        <v>23.725000000000001</v>
      </c>
      <c r="R32" s="33">
        <f t="shared" si="22"/>
        <v>175.82500000000007</v>
      </c>
      <c r="S32" s="33">
        <f t="shared" si="23"/>
        <v>80.879500000000036</v>
      </c>
      <c r="T32" s="33">
        <f t="shared" si="2"/>
        <v>22.352089418701549</v>
      </c>
      <c r="U32" s="33">
        <f t="shared" si="16"/>
        <v>70</v>
      </c>
      <c r="V32" s="33">
        <f t="shared" si="3"/>
        <v>9</v>
      </c>
      <c r="W32" s="33">
        <v>0</v>
      </c>
      <c r="X32" s="33">
        <f t="shared" si="4"/>
        <v>469.46168490423861</v>
      </c>
      <c r="Y32" s="38">
        <f t="shared" si="5"/>
        <v>153.18374287228625</v>
      </c>
      <c r="AA32" s="71">
        <v>27</v>
      </c>
      <c r="AB32" s="33">
        <f t="shared" si="6"/>
        <v>0</v>
      </c>
      <c r="AC32" s="304">
        <f t="shared" si="39"/>
        <v>0</v>
      </c>
      <c r="AD32" s="100">
        <f t="shared" si="8"/>
        <v>0</v>
      </c>
      <c r="AE32" s="100">
        <f t="shared" si="9"/>
        <v>0</v>
      </c>
      <c r="AF32" s="193">
        <f t="shared" si="34"/>
        <v>0</v>
      </c>
      <c r="AG32" s="193">
        <f t="shared" si="35"/>
        <v>20.683833736547751</v>
      </c>
      <c r="AH32" s="193">
        <f t="shared" si="36"/>
        <v>7.9315564542572838</v>
      </c>
      <c r="AI32" s="198">
        <f t="shared" si="37"/>
        <v>28.615390190805034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3">
        <f t="shared" si="32"/>
        <v>0</v>
      </c>
      <c r="AR32" s="193">
        <f t="shared" si="32"/>
        <v>0</v>
      </c>
      <c r="AS32" s="193">
        <f t="shared" si="32"/>
        <v>0</v>
      </c>
      <c r="AT32" s="193">
        <f t="shared" si="32"/>
        <v>0</v>
      </c>
      <c r="AU32" s="33"/>
      <c r="AV32" s="33"/>
      <c r="AW32" s="33"/>
      <c r="AX32" s="33"/>
      <c r="AY32" s="163">
        <f t="shared" si="24"/>
        <v>29.5</v>
      </c>
      <c r="AZ32" s="197"/>
    </row>
    <row r="33" spans="2:52">
      <c r="B33" s="40">
        <f t="shared" si="31"/>
        <v>31</v>
      </c>
      <c r="C33" s="151">
        <f t="shared" si="38"/>
        <v>35</v>
      </c>
      <c r="D33" s="136">
        <f>D34+35</f>
        <v>226</v>
      </c>
      <c r="E33" s="140">
        <f t="shared" si="29"/>
        <v>1.3</v>
      </c>
      <c r="F33" s="42">
        <f t="shared" ref="F33:F52" si="40">D33*E33</f>
        <v>293.8</v>
      </c>
      <c r="G33" s="51">
        <f t="shared" ref="G33:G52" si="41">(F33-F32)/(C33-B33)</f>
        <v>23.075000000000003</v>
      </c>
      <c r="I33" s="55">
        <v>28</v>
      </c>
      <c r="J33" s="33">
        <f t="shared" si="18"/>
        <v>11.76</v>
      </c>
      <c r="K33" s="33">
        <f t="shared" si="19"/>
        <v>4.0678410475538191</v>
      </c>
      <c r="L33" s="33">
        <f t="shared" si="20"/>
        <v>70</v>
      </c>
      <c r="M33" s="33">
        <f t="shared" si="21"/>
        <v>9.3333333333333339</v>
      </c>
      <c r="N33" s="33">
        <f t="shared" si="0"/>
        <v>0</v>
      </c>
      <c r="O33" s="34">
        <f t="shared" si="1"/>
        <v>318.45571204671177</v>
      </c>
      <c r="P33" s="55">
        <v>28</v>
      </c>
      <c r="Q33" s="33">
        <f t="shared" si="15"/>
        <v>23.725000000000001</v>
      </c>
      <c r="R33" s="33">
        <f t="shared" si="22"/>
        <v>199.55000000000007</v>
      </c>
      <c r="S33" s="33">
        <f t="shared" si="23"/>
        <v>91.793000000000035</v>
      </c>
      <c r="T33" s="33">
        <f t="shared" si="2"/>
        <v>24.997155707793262</v>
      </c>
      <c r="U33" s="33">
        <f t="shared" si="16"/>
        <v>70</v>
      </c>
      <c r="V33" s="33">
        <f t="shared" si="3"/>
        <v>9.3333333333333339</v>
      </c>
      <c r="W33" s="33">
        <v>0</v>
      </c>
      <c r="X33" s="33">
        <f t="shared" si="4"/>
        <v>494.2984100799622</v>
      </c>
      <c r="Y33" s="38">
        <f t="shared" si="5"/>
        <v>175.84269803325043</v>
      </c>
      <c r="AA33" s="71">
        <v>28</v>
      </c>
      <c r="AB33" s="33">
        <f t="shared" si="6"/>
        <v>0</v>
      </c>
      <c r="AC33" s="304">
        <f t="shared" si="39"/>
        <v>0</v>
      </c>
      <c r="AD33" s="100">
        <f t="shared" si="8"/>
        <v>0</v>
      </c>
      <c r="AE33" s="100">
        <f t="shared" si="9"/>
        <v>0</v>
      </c>
      <c r="AF33" s="193">
        <f t="shared" si="34"/>
        <v>0</v>
      </c>
      <c r="AG33" s="193">
        <f t="shared" si="35"/>
        <v>20.118233215306311</v>
      </c>
      <c r="AH33" s="193">
        <f t="shared" si="36"/>
        <v>5.6084573541692544</v>
      </c>
      <c r="AI33" s="198">
        <f t="shared" si="37"/>
        <v>25.726690569475565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3">
        <f t="shared" si="32"/>
        <v>0</v>
      </c>
      <c r="AR33" s="193">
        <f t="shared" si="32"/>
        <v>0</v>
      </c>
      <c r="AS33" s="193">
        <f t="shared" si="32"/>
        <v>0</v>
      </c>
      <c r="AT33" s="193">
        <f t="shared" si="32"/>
        <v>0</v>
      </c>
      <c r="AU33" s="33"/>
      <c r="AV33" s="33"/>
      <c r="AW33" s="33"/>
      <c r="AX33" s="33"/>
      <c r="AY33" s="163">
        <f t="shared" si="24"/>
        <v>29.5</v>
      </c>
      <c r="AZ33" s="197"/>
    </row>
    <row r="34" spans="2:52" ht="16" thickBot="1">
      <c r="B34" s="40">
        <f t="shared" si="31"/>
        <v>35</v>
      </c>
      <c r="C34" s="151">
        <f t="shared" si="38"/>
        <v>36</v>
      </c>
      <c r="D34" s="136">
        <v>191</v>
      </c>
      <c r="E34" s="140">
        <f t="shared" si="29"/>
        <v>1.3</v>
      </c>
      <c r="F34" s="42">
        <f t="shared" si="40"/>
        <v>248.3</v>
      </c>
      <c r="G34" s="51">
        <f t="shared" si="41"/>
        <v>-45.5</v>
      </c>
      <c r="I34" s="55">
        <v>29</v>
      </c>
      <c r="J34" s="33">
        <f t="shared" si="18"/>
        <v>12.18</v>
      </c>
      <c r="K34" s="33">
        <f t="shared" si="19"/>
        <v>4.1959471442360723</v>
      </c>
      <c r="L34" s="33">
        <f t="shared" si="20"/>
        <v>70</v>
      </c>
      <c r="M34" s="33">
        <f t="shared" si="21"/>
        <v>9.6666666666666661</v>
      </c>
      <c r="N34" s="33">
        <f t="shared" si="0"/>
        <v>0</v>
      </c>
      <c r="O34" s="34">
        <f t="shared" si="1"/>
        <v>320.63255238732228</v>
      </c>
      <c r="P34" s="55">
        <v>29</v>
      </c>
      <c r="Q34" s="35">
        <f t="shared" si="15"/>
        <v>23.725000000000001</v>
      </c>
      <c r="R34" s="33">
        <f t="shared" si="22"/>
        <v>223.27500000000006</v>
      </c>
      <c r="S34" s="33">
        <f t="shared" si="23"/>
        <v>102.70650000000003</v>
      </c>
      <c r="T34" s="33">
        <f t="shared" si="2"/>
        <v>27.60577828062107</v>
      </c>
      <c r="U34" s="33">
        <f t="shared" si="16"/>
        <v>70</v>
      </c>
      <c r="V34" s="33">
        <f t="shared" si="3"/>
        <v>9.6666666666666661</v>
      </c>
      <c r="W34" s="33">
        <v>0</v>
      </c>
      <c r="X34" s="33">
        <f t="shared" si="4"/>
        <v>519.07166244985945</v>
      </c>
      <c r="Y34" s="38">
        <f t="shared" si="5"/>
        <v>198.43911006253717</v>
      </c>
      <c r="AA34" s="71">
        <v>29</v>
      </c>
      <c r="AB34" s="142">
        <f t="shared" si="6"/>
        <v>0</v>
      </c>
      <c r="AC34" s="304">
        <f t="shared" si="39"/>
        <v>0</v>
      </c>
      <c r="AD34" s="101">
        <f t="shared" si="8"/>
        <v>0</v>
      </c>
      <c r="AE34" s="101">
        <f t="shared" si="9"/>
        <v>0</v>
      </c>
      <c r="AF34" s="195">
        <f t="shared" si="34"/>
        <v>0</v>
      </c>
      <c r="AG34" s="195">
        <f t="shared" si="35"/>
        <v>19.568099070061855</v>
      </c>
      <c r="AH34" s="193">
        <f t="shared" si="36"/>
        <v>3.9657782271286424</v>
      </c>
      <c r="AI34" s="198">
        <f t="shared" si="37"/>
        <v>23.533877297190497</v>
      </c>
      <c r="AK34" s="71">
        <v>29</v>
      </c>
      <c r="AL34" s="142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3">
        <f t="shared" si="32"/>
        <v>0</v>
      </c>
      <c r="AR34" s="193">
        <f t="shared" si="32"/>
        <v>0</v>
      </c>
      <c r="AS34" s="193">
        <f t="shared" si="32"/>
        <v>0</v>
      </c>
      <c r="AT34" s="193">
        <f t="shared" si="32"/>
        <v>0</v>
      </c>
      <c r="AU34" s="33"/>
      <c r="AV34" s="33"/>
      <c r="AW34" s="33"/>
      <c r="AX34" s="33"/>
      <c r="AY34" s="163">
        <f t="shared" si="24"/>
        <v>29.5</v>
      </c>
      <c r="AZ34" s="197"/>
    </row>
    <row r="35" spans="2:52" ht="16" thickBot="1">
      <c r="B35" s="40">
        <f t="shared" si="31"/>
        <v>36</v>
      </c>
      <c r="C35" s="151">
        <f t="shared" si="38"/>
        <v>40</v>
      </c>
      <c r="D35" s="136">
        <f>D36+35</f>
        <v>257</v>
      </c>
      <c r="E35" s="140">
        <f t="shared" si="29"/>
        <v>1.3</v>
      </c>
      <c r="F35" s="42">
        <f t="shared" si="40"/>
        <v>334.1</v>
      </c>
      <c r="G35" s="51">
        <f t="shared" si="41"/>
        <v>21.450000000000003</v>
      </c>
      <c r="I35" s="87">
        <v>30</v>
      </c>
      <c r="J35" s="158">
        <f>IF($I35&lt;=$F$10,IF(AND(D8=B100,F12=C194),($F$11*$F$13+J34*50%),$F$11*$F$13+J34),)</f>
        <v>6.51</v>
      </c>
      <c r="K35" s="53">
        <f t="shared" si="19"/>
        <v>2.4123050520281013</v>
      </c>
      <c r="L35" s="53">
        <f t="shared" si="20"/>
        <v>70</v>
      </c>
      <c r="M35" s="53">
        <f t="shared" si="21"/>
        <v>10</v>
      </c>
      <c r="N35" s="54">
        <f t="shared" si="0"/>
        <v>0</v>
      </c>
      <c r="O35" s="69">
        <f t="shared" si="1"/>
        <v>308.87301463228226</v>
      </c>
      <c r="P35" s="87">
        <v>30</v>
      </c>
      <c r="Q35" s="53">
        <f t="shared" si="15"/>
        <v>23.725000000000001</v>
      </c>
      <c r="R35" s="54">
        <f t="shared" si="22"/>
        <v>247.00000000000006</v>
      </c>
      <c r="S35" s="53">
        <f t="shared" si="23"/>
        <v>113.62000000000003</v>
      </c>
      <c r="T35" s="54">
        <f t="shared" si="2"/>
        <v>30.182270904187739</v>
      </c>
      <c r="U35" s="54">
        <f t="shared" si="16"/>
        <v>70</v>
      </c>
      <c r="V35" s="53">
        <f t="shared" si="3"/>
        <v>10</v>
      </c>
      <c r="W35" s="54">
        <v>0</v>
      </c>
      <c r="X35" s="69">
        <f t="shared" si="4"/>
        <v>543.78895515812701</v>
      </c>
      <c r="Y35" s="65">
        <f t="shared" si="5"/>
        <v>234.91594052584475</v>
      </c>
      <c r="AA35" s="73">
        <v>30</v>
      </c>
      <c r="AB35" s="142">
        <f t="shared" si="6"/>
        <v>0</v>
      </c>
      <c r="AC35" s="304">
        <f t="shared" si="39"/>
        <v>0</v>
      </c>
      <c r="AD35" s="101">
        <f t="shared" si="8"/>
        <v>0</v>
      </c>
      <c r="AE35" s="101">
        <f t="shared" si="9"/>
        <v>0</v>
      </c>
      <c r="AF35" s="199">
        <f t="shared" si="34"/>
        <v>0</v>
      </c>
      <c r="AG35" s="194">
        <f t="shared" si="35"/>
        <v>19.033008371949407</v>
      </c>
      <c r="AH35" s="200">
        <f t="shared" si="36"/>
        <v>2.8042286770846276</v>
      </c>
      <c r="AI35" s="201">
        <f t="shared" si="37"/>
        <v>21.837237049034034</v>
      </c>
      <c r="AJ35" s="8"/>
      <c r="AK35" s="73">
        <v>30</v>
      </c>
      <c r="AL35" s="142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4">
        <f t="shared" si="32"/>
        <v>0</v>
      </c>
      <c r="AR35" s="194">
        <f t="shared" si="32"/>
        <v>0</v>
      </c>
      <c r="AS35" s="194">
        <f t="shared" si="32"/>
        <v>0</v>
      </c>
      <c r="AT35" s="194">
        <f t="shared" si="32"/>
        <v>0</v>
      </c>
      <c r="AU35" s="53"/>
      <c r="AV35" s="53"/>
      <c r="AW35" s="53"/>
      <c r="AX35" s="53"/>
      <c r="AY35" s="164">
        <f t="shared" si="24"/>
        <v>29.5</v>
      </c>
      <c r="AZ35" s="197"/>
    </row>
    <row r="36" spans="2:52">
      <c r="B36" s="40">
        <f t="shared" si="31"/>
        <v>40</v>
      </c>
      <c r="C36" s="151">
        <f t="shared" si="38"/>
        <v>41</v>
      </c>
      <c r="D36" s="136">
        <v>222</v>
      </c>
      <c r="E36" s="140">
        <f t="shared" si="29"/>
        <v>1.3</v>
      </c>
      <c r="F36" s="42">
        <f t="shared" si="40"/>
        <v>288.60000000000002</v>
      </c>
      <c r="G36" s="51">
        <f t="shared" si="41"/>
        <v>-45.5</v>
      </c>
      <c r="I36" s="55">
        <v>31</v>
      </c>
      <c r="J36" s="33">
        <f t="shared" si="18"/>
        <v>6.93</v>
      </c>
      <c r="K36" s="33">
        <f t="shared" si="19"/>
        <v>2.5493176393392645</v>
      </c>
      <c r="L36" s="33">
        <f t="shared" si="20"/>
        <v>70</v>
      </c>
      <c r="M36" s="33">
        <f t="shared" si="21"/>
        <v>10</v>
      </c>
      <c r="N36" s="33">
        <f t="shared" si="0"/>
        <v>0</v>
      </c>
      <c r="O36" s="34">
        <f t="shared" si="1"/>
        <v>309.84314488851584</v>
      </c>
      <c r="P36" s="55">
        <v>31</v>
      </c>
      <c r="Q36" s="33">
        <f t="shared" si="15"/>
        <v>-45.5</v>
      </c>
      <c r="R36" s="33">
        <f t="shared" si="22"/>
        <v>201.50000000000006</v>
      </c>
      <c r="S36" s="33">
        <f t="shared" si="23"/>
        <v>92.690000000000026</v>
      </c>
      <c r="T36" s="33">
        <f t="shared" si="2"/>
        <v>25.212872031125478</v>
      </c>
      <c r="U36" s="33">
        <f t="shared" si="16"/>
        <v>70</v>
      </c>
      <c r="V36" s="33">
        <f t="shared" si="3"/>
        <v>10</v>
      </c>
      <c r="W36" s="33">
        <v>0</v>
      </c>
      <c r="X36" s="33">
        <f t="shared" si="4"/>
        <v>498.68083545421024</v>
      </c>
      <c r="Y36" s="38">
        <f t="shared" si="5"/>
        <v>188.8376905656944</v>
      </c>
      <c r="AA36" s="71">
        <v>31</v>
      </c>
      <c r="AB36" s="33">
        <f t="shared" si="6"/>
        <v>35</v>
      </c>
      <c r="AC36" s="304">
        <f t="shared" si="39"/>
        <v>0</v>
      </c>
      <c r="AD36" s="100">
        <f t="shared" si="8"/>
        <v>0.56000000000000005</v>
      </c>
      <c r="AE36" s="100">
        <f t="shared" si="9"/>
        <v>0.44</v>
      </c>
      <c r="AF36" s="193">
        <f t="shared" si="34"/>
        <v>0</v>
      </c>
      <c r="AG36" s="193">
        <f t="shared" si="35"/>
        <v>33.999726464341109</v>
      </c>
      <c r="AH36" s="193">
        <f t="shared" si="36"/>
        <v>12.409842787945049</v>
      </c>
      <c r="AI36" s="198">
        <f t="shared" si="37"/>
        <v>46.409569252286161</v>
      </c>
      <c r="AK36" s="71">
        <v>31</v>
      </c>
      <c r="AL36" s="33">
        <f t="shared" si="10"/>
        <v>35</v>
      </c>
      <c r="AM36" s="33">
        <f t="shared" si="11"/>
        <v>0</v>
      </c>
      <c r="AN36" s="33">
        <f t="shared" si="12"/>
        <v>0.56000000000000005</v>
      </c>
      <c r="AO36" s="33">
        <f t="shared" si="13"/>
        <v>0.44</v>
      </c>
      <c r="AP36" s="33">
        <f t="shared" si="14"/>
        <v>0</v>
      </c>
      <c r="AQ36" s="193">
        <f t="shared" si="32"/>
        <v>0</v>
      </c>
      <c r="AR36" s="193">
        <f t="shared" si="32"/>
        <v>19.600000000000001</v>
      </c>
      <c r="AS36" s="193">
        <f t="shared" si="32"/>
        <v>15.4</v>
      </c>
      <c r="AT36" s="193">
        <f t="shared" si="32"/>
        <v>0</v>
      </c>
      <c r="AU36" s="33"/>
      <c r="AV36" s="33"/>
      <c r="AW36" s="33"/>
      <c r="AX36" s="33"/>
      <c r="AY36" s="76"/>
    </row>
    <row r="37" spans="2:52">
      <c r="B37" s="40">
        <f t="shared" si="31"/>
        <v>41</v>
      </c>
      <c r="C37" s="151">
        <f t="shared" si="38"/>
        <v>45</v>
      </c>
      <c r="D37" s="136">
        <f>D38+35</f>
        <v>282</v>
      </c>
      <c r="E37" s="140">
        <f t="shared" si="29"/>
        <v>1.3</v>
      </c>
      <c r="F37" s="42">
        <f t="shared" si="40"/>
        <v>366.6</v>
      </c>
      <c r="G37" s="51">
        <f t="shared" si="41"/>
        <v>19.5</v>
      </c>
      <c r="I37" s="55">
        <v>32</v>
      </c>
      <c r="J37" s="33">
        <f t="shared" si="18"/>
        <v>7.35</v>
      </c>
      <c r="K37" s="33">
        <f t="shared" si="19"/>
        <v>2.6853664437437366</v>
      </c>
      <c r="L37" s="33">
        <f t="shared" si="20"/>
        <v>70</v>
      </c>
      <c r="M37" s="33">
        <f t="shared" si="21"/>
        <v>10</v>
      </c>
      <c r="N37" s="33">
        <f t="shared" si="0"/>
        <v>0</v>
      </c>
      <c r="O37" s="34">
        <f t="shared" si="1"/>
        <v>310.811596556187</v>
      </c>
      <c r="P37" s="55">
        <v>32</v>
      </c>
      <c r="Q37" s="33">
        <f t="shared" si="15"/>
        <v>23.075000000000003</v>
      </c>
      <c r="R37" s="33">
        <f t="shared" si="22"/>
        <v>224.57500000000005</v>
      </c>
      <c r="S37" s="33">
        <f t="shared" si="23"/>
        <v>103.30450000000002</v>
      </c>
      <c r="T37" s="33">
        <f t="shared" si="2"/>
        <v>27.747753347866851</v>
      </c>
      <c r="U37" s="33">
        <f t="shared" si="16"/>
        <v>70</v>
      </c>
      <c r="V37" s="33">
        <f t="shared" si="3"/>
        <v>10</v>
      </c>
      <c r="W37" s="33">
        <v>0</v>
      </c>
      <c r="X37" s="33">
        <f t="shared" si="4"/>
        <v>521.58267458086812</v>
      </c>
      <c r="Y37" s="38">
        <f t="shared" si="5"/>
        <v>210.77107802468112</v>
      </c>
      <c r="AA37" s="71">
        <v>32</v>
      </c>
      <c r="AB37" s="33">
        <f t="shared" si="6"/>
        <v>0</v>
      </c>
      <c r="AC37" s="304">
        <f t="shared" si="39"/>
        <v>0</v>
      </c>
      <c r="AD37" s="100">
        <f t="shared" si="8"/>
        <v>0</v>
      </c>
      <c r="AE37" s="100">
        <f t="shared" si="9"/>
        <v>0</v>
      </c>
      <c r="AF37" s="193">
        <f t="shared" si="34"/>
        <v>0</v>
      </c>
      <c r="AG37" s="193">
        <f t="shared" si="35"/>
        <v>33.070002156205796</v>
      </c>
      <c r="AH37" s="193">
        <f t="shared" si="36"/>
        <v>8.7750839888149148</v>
      </c>
      <c r="AI37" s="198">
        <f t="shared" si="37"/>
        <v>41.845086145020709</v>
      </c>
      <c r="AK37" s="71">
        <v>32</v>
      </c>
      <c r="AL37" s="33">
        <f t="shared" si="10"/>
        <v>0</v>
      </c>
      <c r="AM37" s="33">
        <f t="shared" si="11"/>
        <v>0</v>
      </c>
      <c r="AN37" s="33">
        <f t="shared" si="12"/>
        <v>0</v>
      </c>
      <c r="AO37" s="33">
        <f t="shared" si="13"/>
        <v>0</v>
      </c>
      <c r="AP37" s="33">
        <f t="shared" si="14"/>
        <v>0</v>
      </c>
      <c r="AQ37" s="193">
        <f t="shared" si="32"/>
        <v>0</v>
      </c>
      <c r="AR37" s="193">
        <f t="shared" si="32"/>
        <v>0</v>
      </c>
      <c r="AS37" s="193">
        <f t="shared" si="32"/>
        <v>0</v>
      </c>
      <c r="AT37" s="193">
        <f t="shared" si="32"/>
        <v>0</v>
      </c>
      <c r="AU37" s="33"/>
      <c r="AV37" s="33"/>
      <c r="AW37" s="33"/>
      <c r="AX37" s="33"/>
      <c r="AY37" s="76"/>
    </row>
    <row r="38" spans="2:52">
      <c r="B38" s="40">
        <f t="shared" si="31"/>
        <v>45</v>
      </c>
      <c r="C38" s="151">
        <f t="shared" si="38"/>
        <v>46</v>
      </c>
      <c r="D38" s="136">
        <v>247</v>
      </c>
      <c r="E38" s="140">
        <f t="shared" si="29"/>
        <v>1.3</v>
      </c>
      <c r="F38" s="42">
        <f t="shared" si="40"/>
        <v>321.10000000000002</v>
      </c>
      <c r="G38" s="51">
        <f t="shared" si="41"/>
        <v>-45.5</v>
      </c>
      <c r="I38" s="55">
        <v>33</v>
      </c>
      <c r="J38" s="33">
        <f t="shared" si="18"/>
        <v>7.77</v>
      </c>
      <c r="K38" s="33">
        <f t="shared" si="19"/>
        <v>2.8205128136956583</v>
      </c>
      <c r="L38" s="33">
        <f t="shared" si="20"/>
        <v>70</v>
      </c>
      <c r="M38" s="33">
        <f t="shared" si="21"/>
        <v>10</v>
      </c>
      <c r="N38" s="33">
        <f t="shared" si="0"/>
        <v>0</v>
      </c>
      <c r="O38" s="34">
        <f t="shared" si="1"/>
        <v>311.7784764838533</v>
      </c>
      <c r="P38" s="55">
        <v>33</v>
      </c>
      <c r="Q38" s="33">
        <f t="shared" si="15"/>
        <v>23.075000000000003</v>
      </c>
      <c r="R38" s="33">
        <f t="shared" si="22"/>
        <v>247.65000000000003</v>
      </c>
      <c r="S38" s="33">
        <f t="shared" si="23"/>
        <v>113.91900000000003</v>
      </c>
      <c r="T38" s="33">
        <f t="shared" si="2"/>
        <v>30.252441888369709</v>
      </c>
      <c r="U38" s="33">
        <f t="shared" si="16"/>
        <v>70</v>
      </c>
      <c r="V38" s="33">
        <f t="shared" si="3"/>
        <v>10</v>
      </c>
      <c r="W38" s="33">
        <v>0</v>
      </c>
      <c r="X38" s="33">
        <f t="shared" si="4"/>
        <v>544.43192795557729</v>
      </c>
      <c r="Y38" s="38">
        <f t="shared" si="5"/>
        <v>232.653451471724</v>
      </c>
      <c r="AA38" s="71">
        <v>33</v>
      </c>
      <c r="AB38" s="33">
        <f t="shared" si="6"/>
        <v>0</v>
      </c>
      <c r="AC38" s="304">
        <f t="shared" si="39"/>
        <v>0</v>
      </c>
      <c r="AD38" s="100">
        <f t="shared" si="8"/>
        <v>0</v>
      </c>
      <c r="AE38" s="100">
        <f t="shared" si="9"/>
        <v>0</v>
      </c>
      <c r="AF38" s="193">
        <f t="shared" si="34"/>
        <v>0</v>
      </c>
      <c r="AG38" s="193">
        <f t="shared" si="35"/>
        <v>32.165701208168514</v>
      </c>
      <c r="AH38" s="193">
        <f t="shared" si="36"/>
        <v>6.2049213939725254</v>
      </c>
      <c r="AI38" s="198">
        <f t="shared" si="37"/>
        <v>38.37062260214104</v>
      </c>
      <c r="AK38" s="71">
        <v>33</v>
      </c>
      <c r="AL38" s="33">
        <f t="shared" si="10"/>
        <v>0</v>
      </c>
      <c r="AM38" s="33">
        <f t="shared" si="11"/>
        <v>0</v>
      </c>
      <c r="AN38" s="33">
        <f t="shared" si="12"/>
        <v>0</v>
      </c>
      <c r="AO38" s="33">
        <f t="shared" si="13"/>
        <v>0</v>
      </c>
      <c r="AP38" s="33">
        <f t="shared" si="14"/>
        <v>0</v>
      </c>
      <c r="AQ38" s="193">
        <f t="shared" si="32"/>
        <v>0</v>
      </c>
      <c r="AR38" s="193">
        <f t="shared" si="32"/>
        <v>0</v>
      </c>
      <c r="AS38" s="193">
        <f t="shared" si="32"/>
        <v>0</v>
      </c>
      <c r="AT38" s="193">
        <f t="shared" si="32"/>
        <v>0</v>
      </c>
      <c r="AU38" s="33"/>
      <c r="AV38" s="33"/>
      <c r="AW38" s="33"/>
      <c r="AX38" s="33"/>
      <c r="AY38" s="76"/>
    </row>
    <row r="39" spans="2:52">
      <c r="B39" s="40">
        <f t="shared" si="31"/>
        <v>46</v>
      </c>
      <c r="C39" s="151">
        <f t="shared" si="38"/>
        <v>50</v>
      </c>
      <c r="D39" s="136">
        <f>D40+35</f>
        <v>305</v>
      </c>
      <c r="E39" s="140">
        <f t="shared" si="29"/>
        <v>1.3</v>
      </c>
      <c r="F39" s="42">
        <f t="shared" si="40"/>
        <v>396.5</v>
      </c>
      <c r="G39" s="51">
        <f t="shared" si="41"/>
        <v>18.849999999999994</v>
      </c>
      <c r="I39" s="55">
        <v>34</v>
      </c>
      <c r="J39" s="33">
        <f t="shared" si="18"/>
        <v>8.19</v>
      </c>
      <c r="K39" s="33">
        <f t="shared" si="19"/>
        <v>2.9548110908066181</v>
      </c>
      <c r="L39" s="33">
        <f t="shared" si="20"/>
        <v>70</v>
      </c>
      <c r="M39" s="33">
        <f t="shared" si="21"/>
        <v>10</v>
      </c>
      <c r="N39" s="33">
        <f t="shared" si="0"/>
        <v>0</v>
      </c>
      <c r="O39" s="34">
        <f t="shared" si="1"/>
        <v>312.74387931648818</v>
      </c>
      <c r="P39" s="55">
        <v>34</v>
      </c>
      <c r="Q39" s="33">
        <f t="shared" si="15"/>
        <v>23.075000000000003</v>
      </c>
      <c r="R39" s="33">
        <f t="shared" si="22"/>
        <v>270.72500000000002</v>
      </c>
      <c r="S39" s="33">
        <f t="shared" si="23"/>
        <v>124.53350000000002</v>
      </c>
      <c r="T39" s="33">
        <f t="shared" si="2"/>
        <v>32.730070890054449</v>
      </c>
      <c r="U39" s="33">
        <f t="shared" si="16"/>
        <v>70</v>
      </c>
      <c r="V39" s="33">
        <f t="shared" si="3"/>
        <v>10</v>
      </c>
      <c r="W39" s="33">
        <v>0</v>
      </c>
      <c r="X39" s="33">
        <f t="shared" si="4"/>
        <v>567.23405263351151</v>
      </c>
      <c r="Y39" s="38">
        <f t="shared" si="5"/>
        <v>254.49017331702333</v>
      </c>
      <c r="AA39" s="71">
        <v>34</v>
      </c>
      <c r="AB39" s="33">
        <f t="shared" si="6"/>
        <v>0</v>
      </c>
      <c r="AC39" s="304">
        <f t="shared" si="39"/>
        <v>0</v>
      </c>
      <c r="AD39" s="100">
        <f t="shared" si="8"/>
        <v>0</v>
      </c>
      <c r="AE39" s="100">
        <f t="shared" si="9"/>
        <v>0</v>
      </c>
      <c r="AF39" s="193">
        <f t="shared" si="34"/>
        <v>0</v>
      </c>
      <c r="AG39" s="193">
        <f t="shared" si="35"/>
        <v>31.286128417110437</v>
      </c>
      <c r="AH39" s="193">
        <f t="shared" si="36"/>
        <v>4.3875419944074583</v>
      </c>
      <c r="AI39" s="198">
        <f t="shared" si="37"/>
        <v>35.673670411517897</v>
      </c>
      <c r="AK39" s="71">
        <v>34</v>
      </c>
      <c r="AL39" s="33">
        <f t="shared" si="10"/>
        <v>0</v>
      </c>
      <c r="AM39" s="33">
        <f t="shared" si="11"/>
        <v>0</v>
      </c>
      <c r="AN39" s="33">
        <f t="shared" si="12"/>
        <v>0</v>
      </c>
      <c r="AO39" s="33">
        <f t="shared" si="13"/>
        <v>0</v>
      </c>
      <c r="AP39" s="33">
        <f t="shared" si="14"/>
        <v>0</v>
      </c>
      <c r="AQ39" s="193">
        <f t="shared" si="32"/>
        <v>0</v>
      </c>
      <c r="AR39" s="193">
        <f t="shared" si="32"/>
        <v>0</v>
      </c>
      <c r="AS39" s="193">
        <f t="shared" si="32"/>
        <v>0</v>
      </c>
      <c r="AT39" s="193">
        <f t="shared" si="32"/>
        <v>0</v>
      </c>
      <c r="AU39" s="33"/>
      <c r="AV39" s="33"/>
      <c r="AW39" s="33"/>
      <c r="AX39" s="33"/>
      <c r="AY39" s="76"/>
    </row>
    <row r="40" spans="2:52">
      <c r="B40" s="40">
        <f t="shared" si="31"/>
        <v>50</v>
      </c>
      <c r="C40" s="151">
        <f t="shared" si="38"/>
        <v>51</v>
      </c>
      <c r="D40" s="136">
        <v>270</v>
      </c>
      <c r="E40" s="140">
        <f t="shared" si="29"/>
        <v>1.3</v>
      </c>
      <c r="F40" s="42">
        <f t="shared" si="40"/>
        <v>351</v>
      </c>
      <c r="G40" s="51">
        <f t="shared" si="41"/>
        <v>-45.5</v>
      </c>
      <c r="I40" s="55">
        <v>35</v>
      </c>
      <c r="J40" s="33">
        <f t="shared" si="18"/>
        <v>8.61</v>
      </c>
      <c r="K40" s="33">
        <f t="shared" si="19"/>
        <v>3.0883097283778902</v>
      </c>
      <c r="L40" s="33">
        <f t="shared" si="20"/>
        <v>70</v>
      </c>
      <c r="M40" s="33">
        <f t="shared" si="21"/>
        <v>10</v>
      </c>
      <c r="N40" s="33">
        <f t="shared" si="0"/>
        <v>0</v>
      </c>
      <c r="O40" s="34">
        <f t="shared" si="1"/>
        <v>313.70788944359145</v>
      </c>
      <c r="P40" s="55">
        <v>35</v>
      </c>
      <c r="Q40" s="33">
        <f t="shared" si="15"/>
        <v>23.075000000000003</v>
      </c>
      <c r="R40" s="33">
        <f t="shared" si="22"/>
        <v>293.8</v>
      </c>
      <c r="S40" s="33">
        <f t="shared" si="23"/>
        <v>135.14800000000002</v>
      </c>
      <c r="T40" s="33">
        <f t="shared" si="2"/>
        <v>35.183208974998173</v>
      </c>
      <c r="U40" s="33">
        <f t="shared" si="16"/>
        <v>70</v>
      </c>
      <c r="V40" s="33">
        <f t="shared" si="3"/>
        <v>10</v>
      </c>
      <c r="W40" s="33">
        <v>0</v>
      </c>
      <c r="X40" s="33">
        <f t="shared" si="4"/>
        <v>589.99352229812177</v>
      </c>
      <c r="Y40" s="38">
        <f t="shared" si="5"/>
        <v>276.28563285453032</v>
      </c>
      <c r="AA40" s="71">
        <v>35</v>
      </c>
      <c r="AB40" s="33">
        <f t="shared" si="6"/>
        <v>0</v>
      </c>
      <c r="AC40" s="304">
        <f t="shared" si="39"/>
        <v>0</v>
      </c>
      <c r="AD40" s="100">
        <f t="shared" si="8"/>
        <v>0</v>
      </c>
      <c r="AE40" s="100">
        <f t="shared" si="9"/>
        <v>0</v>
      </c>
      <c r="AF40" s="193">
        <f t="shared" si="34"/>
        <v>0</v>
      </c>
      <c r="AG40" s="193">
        <f t="shared" si="35"/>
        <v>30.430607590278562</v>
      </c>
      <c r="AH40" s="193">
        <f t="shared" si="36"/>
        <v>3.1024606969862631</v>
      </c>
      <c r="AI40" s="198">
        <f t="shared" si="37"/>
        <v>33.533068287264825</v>
      </c>
      <c r="AK40" s="71">
        <v>35</v>
      </c>
      <c r="AL40" s="33">
        <f t="shared" si="10"/>
        <v>0</v>
      </c>
      <c r="AM40" s="33">
        <f t="shared" si="11"/>
        <v>0</v>
      </c>
      <c r="AN40" s="33">
        <f t="shared" si="12"/>
        <v>0</v>
      </c>
      <c r="AO40" s="33">
        <f t="shared" si="13"/>
        <v>0</v>
      </c>
      <c r="AP40" s="33">
        <f t="shared" si="14"/>
        <v>0</v>
      </c>
      <c r="AQ40" s="193">
        <f t="shared" si="32"/>
        <v>0</v>
      </c>
      <c r="AR40" s="193">
        <f t="shared" si="32"/>
        <v>0</v>
      </c>
      <c r="AS40" s="193">
        <f t="shared" si="32"/>
        <v>0</v>
      </c>
      <c r="AT40" s="193">
        <f t="shared" si="32"/>
        <v>0</v>
      </c>
      <c r="AU40" s="33"/>
      <c r="AV40" s="33"/>
      <c r="AW40" s="33"/>
      <c r="AX40" s="33"/>
      <c r="AY40" s="76"/>
    </row>
    <row r="41" spans="2:52">
      <c r="B41" s="40">
        <f t="shared" si="31"/>
        <v>51</v>
      </c>
      <c r="C41" s="151">
        <f t="shared" si="38"/>
        <v>55</v>
      </c>
      <c r="D41" s="136">
        <f>D42+33</f>
        <v>324</v>
      </c>
      <c r="E41" s="140">
        <f t="shared" si="29"/>
        <v>1.3</v>
      </c>
      <c r="F41" s="42">
        <f t="shared" si="40"/>
        <v>421.2</v>
      </c>
      <c r="G41" s="51">
        <f t="shared" si="41"/>
        <v>17.549999999999997</v>
      </c>
      <c r="I41" s="55">
        <v>36</v>
      </c>
      <c r="J41" s="33">
        <f t="shared" si="18"/>
        <v>9.0299999999999994</v>
      </c>
      <c r="K41" s="33">
        <f t="shared" si="19"/>
        <v>3.2210521854900231</v>
      </c>
      <c r="L41" s="33">
        <f t="shared" si="20"/>
        <v>70</v>
      </c>
      <c r="M41" s="33">
        <f t="shared" si="21"/>
        <v>10</v>
      </c>
      <c r="N41" s="33">
        <f t="shared" si="0"/>
        <v>0</v>
      </c>
      <c r="O41" s="34">
        <f t="shared" si="1"/>
        <v>314.67058255639512</v>
      </c>
      <c r="P41" s="55">
        <v>36</v>
      </c>
      <c r="Q41" s="33">
        <f t="shared" si="15"/>
        <v>-45.5</v>
      </c>
      <c r="R41" s="33">
        <f t="shared" si="22"/>
        <v>248.3</v>
      </c>
      <c r="S41" s="33">
        <f t="shared" si="23"/>
        <v>114.218</v>
      </c>
      <c r="T41" s="33">
        <f t="shared" si="2"/>
        <v>30.322591437735639</v>
      </c>
      <c r="U41" s="33">
        <f t="shared" si="16"/>
        <v>70</v>
      </c>
      <c r="V41" s="33">
        <f t="shared" si="3"/>
        <v>10</v>
      </c>
      <c r="W41" s="33">
        <v>0</v>
      </c>
      <c r="X41" s="33">
        <f t="shared" si="4"/>
        <v>545.07486342072298</v>
      </c>
      <c r="Y41" s="38">
        <f t="shared" si="5"/>
        <v>230.40428086432786</v>
      </c>
      <c r="AA41" s="71">
        <v>36</v>
      </c>
      <c r="AB41" s="33">
        <f t="shared" si="6"/>
        <v>35</v>
      </c>
      <c r="AC41" s="304">
        <f t="shared" si="39"/>
        <v>0.2</v>
      </c>
      <c r="AD41" s="100">
        <f t="shared" si="8"/>
        <v>0.33600000000000002</v>
      </c>
      <c r="AE41" s="100">
        <f t="shared" si="9"/>
        <v>0.26400000000000001</v>
      </c>
      <c r="AF41" s="193">
        <f t="shared" si="34"/>
        <v>5.5529988104699157</v>
      </c>
      <c r="AG41" s="193">
        <f t="shared" si="35"/>
        <v>38.890787049781338</v>
      </c>
      <c r="AH41" s="193">
        <f t="shared" si="36"/>
        <v>8.4499432018321681</v>
      </c>
      <c r="AI41" s="198">
        <f t="shared" si="37"/>
        <v>52.893729062083423</v>
      </c>
      <c r="AK41" s="71">
        <v>36</v>
      </c>
      <c r="AL41" s="33">
        <f t="shared" si="10"/>
        <v>35</v>
      </c>
      <c r="AM41" s="33">
        <f t="shared" si="11"/>
        <v>0.4</v>
      </c>
      <c r="AN41" s="33">
        <f t="shared" si="12"/>
        <v>0.33600000000000002</v>
      </c>
      <c r="AO41" s="33">
        <f t="shared" si="13"/>
        <v>0.26400000000000001</v>
      </c>
      <c r="AP41" s="33">
        <f t="shared" si="14"/>
        <v>0</v>
      </c>
      <c r="AQ41" s="193">
        <f t="shared" si="32"/>
        <v>14</v>
      </c>
      <c r="AR41" s="193">
        <f t="shared" si="32"/>
        <v>11.760000000000002</v>
      </c>
      <c r="AS41" s="193">
        <f t="shared" si="32"/>
        <v>9.24</v>
      </c>
      <c r="AT41" s="193">
        <f t="shared" si="32"/>
        <v>0</v>
      </c>
      <c r="AU41" s="33"/>
      <c r="AV41" s="33"/>
      <c r="AW41" s="33"/>
      <c r="AX41" s="33"/>
      <c r="AY41" s="76"/>
    </row>
    <row r="42" spans="2:52">
      <c r="B42" s="40">
        <f t="shared" si="31"/>
        <v>55</v>
      </c>
      <c r="C42" s="151">
        <f t="shared" si="38"/>
        <v>56</v>
      </c>
      <c r="D42" s="136">
        <v>291</v>
      </c>
      <c r="E42" s="140">
        <f t="shared" si="29"/>
        <v>1.3</v>
      </c>
      <c r="F42" s="42">
        <f t="shared" si="40"/>
        <v>378.3</v>
      </c>
      <c r="G42" s="51">
        <f t="shared" si="41"/>
        <v>-42.899999999999977</v>
      </c>
      <c r="I42" s="55">
        <v>37</v>
      </c>
      <c r="J42" s="33">
        <f t="shared" si="18"/>
        <v>9.4499999999999993</v>
      </c>
      <c r="K42" s="33">
        <f t="shared" si="19"/>
        <v>3.3530776500429536</v>
      </c>
      <c r="L42" s="33">
        <f t="shared" si="20"/>
        <v>70</v>
      </c>
      <c r="M42" s="33">
        <f t="shared" si="21"/>
        <v>10</v>
      </c>
      <c r="N42" s="33">
        <f t="shared" si="0"/>
        <v>0</v>
      </c>
      <c r="O42" s="34">
        <f t="shared" si="1"/>
        <v>315.63202690715815</v>
      </c>
      <c r="P42" s="55">
        <v>37</v>
      </c>
      <c r="Q42" s="33">
        <f t="shared" si="15"/>
        <v>21.450000000000003</v>
      </c>
      <c r="R42" s="33">
        <f t="shared" si="22"/>
        <v>269.75</v>
      </c>
      <c r="S42" s="33">
        <f t="shared" si="23"/>
        <v>124.08500000000001</v>
      </c>
      <c r="T42" s="33">
        <f t="shared" si="2"/>
        <v>32.625894321331366</v>
      </c>
      <c r="U42" s="33">
        <f t="shared" si="16"/>
        <v>70</v>
      </c>
      <c r="V42" s="33">
        <f t="shared" si="3"/>
        <v>10</v>
      </c>
      <c r="W42" s="33">
        <v>0</v>
      </c>
      <c r="X42" s="33">
        <f t="shared" si="4"/>
        <v>566.27147427631871</v>
      </c>
      <c r="Y42" s="38">
        <f t="shared" si="5"/>
        <v>250.63944736916056</v>
      </c>
      <c r="AA42" s="71">
        <v>37</v>
      </c>
      <c r="AB42" s="33">
        <f t="shared" si="6"/>
        <v>0</v>
      </c>
      <c r="AC42" s="304">
        <f t="shared" si="39"/>
        <v>0</v>
      </c>
      <c r="AD42" s="100">
        <f t="shared" si="8"/>
        <v>0</v>
      </c>
      <c r="AE42" s="100">
        <f t="shared" si="9"/>
        <v>0</v>
      </c>
      <c r="AF42" s="193">
        <f t="shared" si="34"/>
        <v>5.4441078907914369</v>
      </c>
      <c r="AG42" s="193">
        <f t="shared" si="35"/>
        <v>37.827316432727464</v>
      </c>
      <c r="AH42" s="193">
        <f t="shared" si="36"/>
        <v>5.9750121386566937</v>
      </c>
      <c r="AI42" s="198">
        <f t="shared" si="37"/>
        <v>49.246436462175595</v>
      </c>
      <c r="AK42" s="71">
        <v>37</v>
      </c>
      <c r="AL42" s="33">
        <f t="shared" si="10"/>
        <v>0</v>
      </c>
      <c r="AM42" s="33">
        <f t="shared" si="11"/>
        <v>0</v>
      </c>
      <c r="AN42" s="33">
        <f t="shared" si="12"/>
        <v>0</v>
      </c>
      <c r="AO42" s="33">
        <f t="shared" si="13"/>
        <v>0</v>
      </c>
      <c r="AP42" s="33">
        <f t="shared" si="14"/>
        <v>0</v>
      </c>
      <c r="AQ42" s="193">
        <f t="shared" ref="AQ42:AT105" si="42">IF($AK42&lt;=$F$18,$AL42*AM42,)</f>
        <v>0</v>
      </c>
      <c r="AR42" s="193">
        <f t="shared" si="42"/>
        <v>0</v>
      </c>
      <c r="AS42" s="193">
        <f t="shared" si="42"/>
        <v>0</v>
      </c>
      <c r="AT42" s="193">
        <f t="shared" si="42"/>
        <v>0</v>
      </c>
      <c r="AU42" s="33"/>
      <c r="AV42" s="33"/>
      <c r="AW42" s="33"/>
      <c r="AX42" s="33"/>
      <c r="AY42" s="76"/>
    </row>
    <row r="43" spans="2:52">
      <c r="B43" s="40">
        <f t="shared" si="31"/>
        <v>56</v>
      </c>
      <c r="C43" s="151">
        <f t="shared" si="38"/>
        <v>60</v>
      </c>
      <c r="D43" s="136">
        <f>D44+30</f>
        <v>343</v>
      </c>
      <c r="E43" s="140">
        <f t="shared" si="29"/>
        <v>1.3</v>
      </c>
      <c r="F43" s="42">
        <f t="shared" si="40"/>
        <v>445.90000000000003</v>
      </c>
      <c r="G43" s="51">
        <f t="shared" si="41"/>
        <v>16.900000000000006</v>
      </c>
      <c r="I43" s="55">
        <v>38</v>
      </c>
      <c r="J43" s="33">
        <f t="shared" si="18"/>
        <v>9.8699999999999992</v>
      </c>
      <c r="K43" s="33">
        <f t="shared" si="19"/>
        <v>3.4844216296255963</v>
      </c>
      <c r="L43" s="33">
        <f t="shared" si="20"/>
        <v>70</v>
      </c>
      <c r="M43" s="33">
        <f t="shared" si="21"/>
        <v>10</v>
      </c>
      <c r="N43" s="33">
        <f t="shared" si="0"/>
        <v>0</v>
      </c>
      <c r="O43" s="34">
        <f t="shared" si="1"/>
        <v>316.59228433826456</v>
      </c>
      <c r="P43" s="55">
        <v>38</v>
      </c>
      <c r="Q43" s="33">
        <f t="shared" si="15"/>
        <v>21.450000000000003</v>
      </c>
      <c r="R43" s="33">
        <f t="shared" si="22"/>
        <v>291.2</v>
      </c>
      <c r="S43" s="33">
        <f t="shared" si="23"/>
        <v>133.952</v>
      </c>
      <c r="T43" s="33">
        <f t="shared" si="2"/>
        <v>34.907952797441631</v>
      </c>
      <c r="U43" s="33">
        <f t="shared" si="16"/>
        <v>70</v>
      </c>
      <c r="V43" s="33">
        <f t="shared" si="3"/>
        <v>10</v>
      </c>
      <c r="W43" s="33">
        <v>0</v>
      </c>
      <c r="X43" s="33">
        <f t="shared" si="4"/>
        <v>587.43108445554412</v>
      </c>
      <c r="Y43" s="38">
        <f t="shared" si="5"/>
        <v>270.83880011727956</v>
      </c>
      <c r="AA43" s="71">
        <v>38</v>
      </c>
      <c r="AB43" s="33">
        <f t="shared" si="6"/>
        <v>0</v>
      </c>
      <c r="AC43" s="304">
        <f t="shared" si="39"/>
        <v>0</v>
      </c>
      <c r="AD43" s="100">
        <f t="shared" si="8"/>
        <v>0</v>
      </c>
      <c r="AE43" s="100">
        <f t="shared" si="9"/>
        <v>0</v>
      </c>
      <c r="AF43" s="193">
        <f t="shared" si="34"/>
        <v>5.3373522556309503</v>
      </c>
      <c r="AG43" s="193">
        <f t="shared" si="35"/>
        <v>36.792926475622416</v>
      </c>
      <c r="AH43" s="193">
        <f t="shared" si="36"/>
        <v>4.224971600916084</v>
      </c>
      <c r="AI43" s="198">
        <f t="shared" si="37"/>
        <v>46.355250332169454</v>
      </c>
      <c r="AK43" s="71">
        <v>38</v>
      </c>
      <c r="AL43" s="33">
        <f t="shared" si="10"/>
        <v>0</v>
      </c>
      <c r="AM43" s="33">
        <f t="shared" si="11"/>
        <v>0</v>
      </c>
      <c r="AN43" s="33">
        <f t="shared" si="12"/>
        <v>0</v>
      </c>
      <c r="AO43" s="33">
        <f t="shared" si="13"/>
        <v>0</v>
      </c>
      <c r="AP43" s="33">
        <f t="shared" si="14"/>
        <v>0</v>
      </c>
      <c r="AQ43" s="193">
        <f t="shared" si="42"/>
        <v>0</v>
      </c>
      <c r="AR43" s="193">
        <f t="shared" si="42"/>
        <v>0</v>
      </c>
      <c r="AS43" s="193">
        <f t="shared" si="42"/>
        <v>0</v>
      </c>
      <c r="AT43" s="193">
        <f t="shared" si="42"/>
        <v>0</v>
      </c>
      <c r="AU43" s="33"/>
      <c r="AV43" s="33"/>
      <c r="AW43" s="33"/>
      <c r="AX43" s="33"/>
      <c r="AY43" s="76"/>
    </row>
    <row r="44" spans="2:52">
      <c r="B44" s="40">
        <f t="shared" si="31"/>
        <v>60</v>
      </c>
      <c r="C44" s="151">
        <f t="shared" si="38"/>
        <v>61</v>
      </c>
      <c r="D44" s="136">
        <v>313</v>
      </c>
      <c r="E44" s="140">
        <f t="shared" si="29"/>
        <v>1.3</v>
      </c>
      <c r="F44" s="42">
        <f t="shared" si="40"/>
        <v>406.90000000000003</v>
      </c>
      <c r="G44" s="51">
        <f t="shared" si="41"/>
        <v>-39</v>
      </c>
      <c r="I44" s="55">
        <v>39</v>
      </c>
      <c r="J44" s="33">
        <f t="shared" si="18"/>
        <v>10.29</v>
      </c>
      <c r="K44" s="33">
        <f t="shared" si="19"/>
        <v>3.615116438976083</v>
      </c>
      <c r="L44" s="33">
        <f t="shared" si="20"/>
        <v>70</v>
      </c>
      <c r="M44" s="33">
        <f t="shared" si="21"/>
        <v>10</v>
      </c>
      <c r="N44" s="33">
        <f t="shared" si="0"/>
        <v>0</v>
      </c>
      <c r="O44" s="34">
        <f t="shared" si="1"/>
        <v>317.5514111312167</v>
      </c>
      <c r="P44" s="55">
        <v>39</v>
      </c>
      <c r="Q44" s="33">
        <f t="shared" si="15"/>
        <v>21.450000000000003</v>
      </c>
      <c r="R44" s="33">
        <f t="shared" si="22"/>
        <v>312.64999999999998</v>
      </c>
      <c r="S44" s="33">
        <f t="shared" si="23"/>
        <v>143.81899999999999</v>
      </c>
      <c r="T44" s="33">
        <f t="shared" si="2"/>
        <v>37.170509696959158</v>
      </c>
      <c r="U44" s="33">
        <f t="shared" si="16"/>
        <v>70</v>
      </c>
      <c r="V44" s="33">
        <f t="shared" si="3"/>
        <v>10</v>
      </c>
      <c r="W44" s="33">
        <v>0</v>
      </c>
      <c r="X44" s="33">
        <f t="shared" si="4"/>
        <v>608.55672938887051</v>
      </c>
      <c r="Y44" s="38">
        <f t="shared" si="5"/>
        <v>291.00531825765381</v>
      </c>
      <c r="AA44" s="71">
        <v>39</v>
      </c>
      <c r="AB44" s="33">
        <f t="shared" si="6"/>
        <v>0</v>
      </c>
      <c r="AC44" s="304">
        <f t="shared" si="39"/>
        <v>0</v>
      </c>
      <c r="AD44" s="100">
        <f t="shared" si="8"/>
        <v>0</v>
      </c>
      <c r="AE44" s="100">
        <f t="shared" si="9"/>
        <v>0</v>
      </c>
      <c r="AF44" s="193">
        <f t="shared" si="34"/>
        <v>5.232690033361453</v>
      </c>
      <c r="AG44" s="193">
        <f t="shared" si="35"/>
        <v>35.78682196629061</v>
      </c>
      <c r="AH44" s="193">
        <f t="shared" si="36"/>
        <v>2.9875060693283468</v>
      </c>
      <c r="AI44" s="198">
        <f t="shared" si="37"/>
        <v>44.007018068980408</v>
      </c>
      <c r="AK44" s="71">
        <v>39</v>
      </c>
      <c r="AL44" s="33">
        <f t="shared" si="10"/>
        <v>0</v>
      </c>
      <c r="AM44" s="33">
        <f t="shared" si="11"/>
        <v>0</v>
      </c>
      <c r="AN44" s="33">
        <f t="shared" si="12"/>
        <v>0</v>
      </c>
      <c r="AO44" s="33">
        <f t="shared" si="13"/>
        <v>0</v>
      </c>
      <c r="AP44" s="33">
        <f t="shared" si="14"/>
        <v>0</v>
      </c>
      <c r="AQ44" s="193">
        <f t="shared" si="42"/>
        <v>0</v>
      </c>
      <c r="AR44" s="193">
        <f t="shared" si="42"/>
        <v>0</v>
      </c>
      <c r="AS44" s="193">
        <f t="shared" si="42"/>
        <v>0</v>
      </c>
      <c r="AT44" s="193">
        <f t="shared" si="42"/>
        <v>0</v>
      </c>
      <c r="AU44" s="33"/>
      <c r="AV44" s="33"/>
      <c r="AW44" s="33"/>
      <c r="AX44" s="33"/>
      <c r="AY44" s="76"/>
    </row>
    <row r="45" spans="2:52">
      <c r="B45" s="40">
        <f t="shared" si="31"/>
        <v>61</v>
      </c>
      <c r="C45" s="151">
        <f t="shared" si="38"/>
        <v>65</v>
      </c>
      <c r="D45" s="136">
        <f>D46+28</f>
        <v>361</v>
      </c>
      <c r="E45" s="140">
        <f t="shared" si="29"/>
        <v>1.3</v>
      </c>
      <c r="F45" s="42">
        <f t="shared" si="40"/>
        <v>469.3</v>
      </c>
      <c r="G45" s="51">
        <f t="shared" si="41"/>
        <v>15.599999999999994</v>
      </c>
      <c r="I45" s="55">
        <v>40</v>
      </c>
      <c r="J45" s="33">
        <f t="shared" si="18"/>
        <v>10.709999999999999</v>
      </c>
      <c r="K45" s="33">
        <f t="shared" si="19"/>
        <v>3.7451916056153398</v>
      </c>
      <c r="L45" s="33">
        <f t="shared" si="20"/>
        <v>70</v>
      </c>
      <c r="M45" s="33">
        <f t="shared" si="21"/>
        <v>10</v>
      </c>
      <c r="N45" s="33">
        <f t="shared" si="0"/>
        <v>0</v>
      </c>
      <c r="O45" s="34">
        <f t="shared" si="1"/>
        <v>318.50945871311336</v>
      </c>
      <c r="P45" s="55">
        <v>40</v>
      </c>
      <c r="Q45" s="33">
        <f t="shared" si="15"/>
        <v>21.450000000000003</v>
      </c>
      <c r="R45" s="33">
        <f t="shared" si="22"/>
        <v>334.09999999999997</v>
      </c>
      <c r="S45" s="33">
        <f t="shared" si="23"/>
        <v>153.68599999999998</v>
      </c>
      <c r="T45" s="33">
        <f t="shared" si="2"/>
        <v>39.415055172513433</v>
      </c>
      <c r="U45" s="33">
        <f t="shared" si="16"/>
        <v>70</v>
      </c>
      <c r="V45" s="33">
        <f t="shared" si="3"/>
        <v>10</v>
      </c>
      <c r="W45" s="33">
        <v>0</v>
      </c>
      <c r="X45" s="33">
        <f t="shared" si="4"/>
        <v>629.65100442546088</v>
      </c>
      <c r="Y45" s="38">
        <f t="shared" si="5"/>
        <v>311.14154571234752</v>
      </c>
      <c r="AA45" s="71">
        <v>40</v>
      </c>
      <c r="AB45" s="33">
        <f t="shared" si="6"/>
        <v>0</v>
      </c>
      <c r="AC45" s="304">
        <f t="shared" si="39"/>
        <v>0</v>
      </c>
      <c r="AD45" s="100">
        <f t="shared" si="8"/>
        <v>0</v>
      </c>
      <c r="AE45" s="100">
        <f t="shared" si="9"/>
        <v>0</v>
      </c>
      <c r="AF45" s="193">
        <f t="shared" si="34"/>
        <v>5.1300801734330088</v>
      </c>
      <c r="AG45" s="193">
        <f t="shared" si="35"/>
        <v>34.808229437675216</v>
      </c>
      <c r="AH45" s="193">
        <f t="shared" si="36"/>
        <v>2.112485800458042</v>
      </c>
      <c r="AI45" s="198">
        <f t="shared" si="37"/>
        <v>42.050795411566263</v>
      </c>
      <c r="AK45" s="71">
        <v>40</v>
      </c>
      <c r="AL45" s="33">
        <f t="shared" si="10"/>
        <v>0</v>
      </c>
      <c r="AM45" s="33">
        <f t="shared" si="11"/>
        <v>0</v>
      </c>
      <c r="AN45" s="33">
        <f t="shared" si="12"/>
        <v>0</v>
      </c>
      <c r="AO45" s="33">
        <f t="shared" si="13"/>
        <v>0</v>
      </c>
      <c r="AP45" s="33">
        <f t="shared" si="14"/>
        <v>0</v>
      </c>
      <c r="AQ45" s="193">
        <f t="shared" si="42"/>
        <v>0</v>
      </c>
      <c r="AR45" s="193">
        <f t="shared" si="42"/>
        <v>0</v>
      </c>
      <c r="AS45" s="193">
        <f t="shared" si="42"/>
        <v>0</v>
      </c>
      <c r="AT45" s="193">
        <f t="shared" si="42"/>
        <v>0</v>
      </c>
      <c r="AU45" s="33"/>
      <c r="AV45" s="33"/>
      <c r="AW45" s="33"/>
      <c r="AX45" s="33"/>
      <c r="AY45" s="76"/>
    </row>
    <row r="46" spans="2:52">
      <c r="B46" s="40">
        <f t="shared" si="31"/>
        <v>65</v>
      </c>
      <c r="C46" s="151">
        <f t="shared" si="38"/>
        <v>66</v>
      </c>
      <c r="D46" s="136">
        <v>333</v>
      </c>
      <c r="E46" s="140">
        <f t="shared" si="29"/>
        <v>1.3</v>
      </c>
      <c r="F46" s="42">
        <f t="shared" si="40"/>
        <v>432.90000000000003</v>
      </c>
      <c r="G46" s="51">
        <f t="shared" si="41"/>
        <v>-36.399999999999977</v>
      </c>
      <c r="I46" s="55">
        <v>41</v>
      </c>
      <c r="J46" s="33">
        <f t="shared" si="18"/>
        <v>11.129999999999999</v>
      </c>
      <c r="K46" s="33">
        <f t="shared" si="19"/>
        <v>3.8746742100615323</v>
      </c>
      <c r="L46" s="33">
        <f t="shared" si="20"/>
        <v>70</v>
      </c>
      <c r="M46" s="33">
        <f t="shared" si="21"/>
        <v>10</v>
      </c>
      <c r="N46" s="33">
        <f t="shared" si="0"/>
        <v>0</v>
      </c>
      <c r="O46" s="34">
        <f t="shared" si="1"/>
        <v>319.46647424919053</v>
      </c>
      <c r="P46" s="55">
        <v>41</v>
      </c>
      <c r="Q46" s="33">
        <f t="shared" si="15"/>
        <v>-45.5</v>
      </c>
      <c r="R46" s="33">
        <f t="shared" si="22"/>
        <v>288.59999999999997</v>
      </c>
      <c r="S46" s="33">
        <f t="shared" si="23"/>
        <v>132.756</v>
      </c>
      <c r="T46" s="33">
        <f t="shared" si="2"/>
        <v>34.632410397339967</v>
      </c>
      <c r="U46" s="33">
        <f t="shared" si="16"/>
        <v>70</v>
      </c>
      <c r="V46" s="33">
        <f t="shared" si="3"/>
        <v>10</v>
      </c>
      <c r="W46" s="33">
        <v>0</v>
      </c>
      <c r="X46" s="33">
        <f t="shared" si="4"/>
        <v>584.86814810870044</v>
      </c>
      <c r="Y46" s="38">
        <f t="shared" si="5"/>
        <v>265.40167385950991</v>
      </c>
      <c r="AA46" s="71">
        <v>41</v>
      </c>
      <c r="AB46" s="33">
        <f t="shared" si="6"/>
        <v>35</v>
      </c>
      <c r="AC46" s="304">
        <f t="shared" si="39"/>
        <v>0.25</v>
      </c>
      <c r="AD46" s="100">
        <f t="shared" si="8"/>
        <v>0.28000000000000003</v>
      </c>
      <c r="AE46" s="100">
        <f t="shared" si="9"/>
        <v>0.22</v>
      </c>
      <c r="AF46" s="193">
        <f t="shared" si="34"/>
        <v>11.970730943359321</v>
      </c>
      <c r="AG46" s="193">
        <f t="shared" si="35"/>
        <v>41.599984926829293</v>
      </c>
      <c r="AH46" s="193">
        <f t="shared" si="36"/>
        <v>6.7072298718545378</v>
      </c>
      <c r="AI46" s="198">
        <f t="shared" si="37"/>
        <v>60.277945742043151</v>
      </c>
      <c r="AK46" s="71">
        <v>41</v>
      </c>
      <c r="AL46" s="33">
        <f t="shared" si="10"/>
        <v>35</v>
      </c>
      <c r="AM46" s="33">
        <f t="shared" si="11"/>
        <v>0.5</v>
      </c>
      <c r="AN46" s="33">
        <f t="shared" si="12"/>
        <v>0.28000000000000003</v>
      </c>
      <c r="AO46" s="33">
        <f t="shared" si="13"/>
        <v>0.22</v>
      </c>
      <c r="AP46" s="33">
        <f t="shared" si="14"/>
        <v>0</v>
      </c>
      <c r="AQ46" s="193">
        <f t="shared" si="42"/>
        <v>17.5</v>
      </c>
      <c r="AR46" s="193">
        <f t="shared" si="42"/>
        <v>9.8000000000000007</v>
      </c>
      <c r="AS46" s="193">
        <f t="shared" si="42"/>
        <v>7.7</v>
      </c>
      <c r="AT46" s="193">
        <f t="shared" si="42"/>
        <v>0</v>
      </c>
      <c r="AU46" s="33"/>
      <c r="AV46" s="33"/>
      <c r="AW46" s="33"/>
      <c r="AX46" s="33"/>
      <c r="AY46" s="76"/>
    </row>
    <row r="47" spans="2:52">
      <c r="B47" s="40">
        <f t="shared" si="31"/>
        <v>66</v>
      </c>
      <c r="C47" s="151">
        <f t="shared" si="38"/>
        <v>70</v>
      </c>
      <c r="D47" s="136">
        <f>D48+27</f>
        <v>379</v>
      </c>
      <c r="E47" s="140">
        <f t="shared" si="29"/>
        <v>1.3</v>
      </c>
      <c r="F47" s="42">
        <f t="shared" si="40"/>
        <v>492.7</v>
      </c>
      <c r="G47" s="51">
        <f t="shared" si="41"/>
        <v>14.949999999999989</v>
      </c>
      <c r="I47" s="55">
        <v>42</v>
      </c>
      <c r="J47" s="33">
        <f t="shared" si="18"/>
        <v>11.549999999999999</v>
      </c>
      <c r="K47" s="33">
        <f t="shared" si="19"/>
        <v>4.0035891732474047</v>
      </c>
      <c r="L47" s="33">
        <f t="shared" si="20"/>
        <v>70</v>
      </c>
      <c r="M47" s="33">
        <f t="shared" si="21"/>
        <v>10</v>
      </c>
      <c r="N47" s="33">
        <f t="shared" si="0"/>
        <v>0</v>
      </c>
      <c r="O47" s="34">
        <f t="shared" si="1"/>
        <v>320.4225011434059</v>
      </c>
      <c r="P47" s="55">
        <v>42</v>
      </c>
      <c r="Q47" s="33">
        <f t="shared" si="15"/>
        <v>19.5</v>
      </c>
      <c r="R47" s="33">
        <f t="shared" si="22"/>
        <v>308.09999999999997</v>
      </c>
      <c r="S47" s="33">
        <f t="shared" si="23"/>
        <v>141.726</v>
      </c>
      <c r="T47" s="33">
        <f t="shared" si="2"/>
        <v>36.692125440686915</v>
      </c>
      <c r="U47" s="33">
        <f t="shared" si="16"/>
        <v>70</v>
      </c>
      <c r="V47" s="33">
        <f t="shared" si="3"/>
        <v>10</v>
      </c>
      <c r="W47" s="33">
        <v>0</v>
      </c>
      <c r="X47" s="33">
        <f t="shared" si="4"/>
        <v>604.07823514252971</v>
      </c>
      <c r="Y47" s="38">
        <f t="shared" si="5"/>
        <v>283.65573399912381</v>
      </c>
      <c r="AA47" s="71">
        <v>42</v>
      </c>
      <c r="AB47" s="33">
        <f t="shared" si="6"/>
        <v>0</v>
      </c>
      <c r="AC47" s="304">
        <f t="shared" si="39"/>
        <v>0</v>
      </c>
      <c r="AD47" s="100">
        <f t="shared" si="8"/>
        <v>0</v>
      </c>
      <c r="AE47" s="100">
        <f t="shared" si="9"/>
        <v>0</v>
      </c>
      <c r="AF47" s="193">
        <f t="shared" si="34"/>
        <v>11.735992210984964</v>
      </c>
      <c r="AG47" s="193">
        <f t="shared" si="35"/>
        <v>40.462431151357016</v>
      </c>
      <c r="AH47" s="193">
        <f t="shared" si="36"/>
        <v>4.7427277253653219</v>
      </c>
      <c r="AI47" s="198">
        <f t="shared" si="37"/>
        <v>56.941151087707304</v>
      </c>
      <c r="AK47" s="71">
        <v>42</v>
      </c>
      <c r="AL47" s="33">
        <f t="shared" si="10"/>
        <v>0</v>
      </c>
      <c r="AM47" s="33">
        <f t="shared" si="11"/>
        <v>0</v>
      </c>
      <c r="AN47" s="33">
        <f t="shared" si="12"/>
        <v>0</v>
      </c>
      <c r="AO47" s="33">
        <f t="shared" si="13"/>
        <v>0</v>
      </c>
      <c r="AP47" s="33">
        <f t="shared" si="14"/>
        <v>0</v>
      </c>
      <c r="AQ47" s="193">
        <f t="shared" si="42"/>
        <v>0</v>
      </c>
      <c r="AR47" s="193">
        <f t="shared" si="42"/>
        <v>0</v>
      </c>
      <c r="AS47" s="193">
        <f t="shared" si="42"/>
        <v>0</v>
      </c>
      <c r="AT47" s="193">
        <f t="shared" si="42"/>
        <v>0</v>
      </c>
      <c r="AU47" s="33"/>
      <c r="AV47" s="33"/>
      <c r="AW47" s="33"/>
      <c r="AX47" s="33"/>
      <c r="AY47" s="76"/>
    </row>
    <row r="48" spans="2:52">
      <c r="B48" s="40">
        <f t="shared" si="31"/>
        <v>70</v>
      </c>
      <c r="C48" s="151">
        <f t="shared" si="38"/>
        <v>71</v>
      </c>
      <c r="D48" s="136">
        <v>352</v>
      </c>
      <c r="E48" s="140">
        <f t="shared" si="29"/>
        <v>1.3</v>
      </c>
      <c r="F48" s="42">
        <f t="shared" si="40"/>
        <v>457.6</v>
      </c>
      <c r="G48" s="51">
        <f t="shared" si="41"/>
        <v>-35.099999999999966</v>
      </c>
      <c r="I48" s="55">
        <v>43</v>
      </c>
      <c r="J48" s="33">
        <f t="shared" si="18"/>
        <v>11.969999999999999</v>
      </c>
      <c r="K48" s="33">
        <f t="shared" si="19"/>
        <v>4.1319595009564551</v>
      </c>
      <c r="L48" s="33">
        <f t="shared" si="20"/>
        <v>70</v>
      </c>
      <c r="M48" s="33">
        <f t="shared" si="21"/>
        <v>10</v>
      </c>
      <c r="N48" s="33">
        <f t="shared" si="0"/>
        <v>0</v>
      </c>
      <c r="O48" s="34">
        <f t="shared" si="1"/>
        <v>321.37757946416582</v>
      </c>
      <c r="P48" s="55">
        <v>43</v>
      </c>
      <c r="Q48" s="33">
        <f t="shared" si="15"/>
        <v>19.5</v>
      </c>
      <c r="R48" s="33">
        <f t="shared" si="22"/>
        <v>327.59999999999997</v>
      </c>
      <c r="S48" s="33">
        <f t="shared" si="23"/>
        <v>150.696</v>
      </c>
      <c r="T48" s="33">
        <f t="shared" si="2"/>
        <v>38.736711478840633</v>
      </c>
      <c r="U48" s="33">
        <f t="shared" si="16"/>
        <v>70</v>
      </c>
      <c r="V48" s="33">
        <f t="shared" si="3"/>
        <v>10</v>
      </c>
      <c r="W48" s="33">
        <v>0</v>
      </c>
      <c r="X48" s="33">
        <f t="shared" si="4"/>
        <v>623.26197249231416</v>
      </c>
      <c r="Y48" s="38">
        <f t="shared" si="5"/>
        <v>301.88439302814834</v>
      </c>
      <c r="AA48" s="71">
        <v>43</v>
      </c>
      <c r="AB48" s="33">
        <f t="shared" si="6"/>
        <v>0</v>
      </c>
      <c r="AC48" s="304">
        <f t="shared" si="39"/>
        <v>0</v>
      </c>
      <c r="AD48" s="100">
        <f t="shared" si="8"/>
        <v>0</v>
      </c>
      <c r="AE48" s="100">
        <f t="shared" si="9"/>
        <v>0</v>
      </c>
      <c r="AF48" s="193">
        <f t="shared" si="34"/>
        <v>11.50585656197598</v>
      </c>
      <c r="AG48" s="193">
        <f t="shared" si="35"/>
        <v>39.355983843696386</v>
      </c>
      <c r="AH48" s="193">
        <f t="shared" si="36"/>
        <v>3.3536149359272693</v>
      </c>
      <c r="AI48" s="198">
        <f t="shared" si="37"/>
        <v>54.215455341599636</v>
      </c>
      <c r="AK48" s="71">
        <v>43</v>
      </c>
      <c r="AL48" s="33">
        <f t="shared" si="10"/>
        <v>0</v>
      </c>
      <c r="AM48" s="33">
        <f t="shared" si="11"/>
        <v>0</v>
      </c>
      <c r="AN48" s="33">
        <f t="shared" si="12"/>
        <v>0</v>
      </c>
      <c r="AO48" s="33">
        <f t="shared" si="13"/>
        <v>0</v>
      </c>
      <c r="AP48" s="33">
        <f t="shared" si="14"/>
        <v>0</v>
      </c>
      <c r="AQ48" s="193">
        <f t="shared" si="42"/>
        <v>0</v>
      </c>
      <c r="AR48" s="193">
        <f t="shared" si="42"/>
        <v>0</v>
      </c>
      <c r="AS48" s="193">
        <f t="shared" si="42"/>
        <v>0</v>
      </c>
      <c r="AT48" s="193">
        <f t="shared" si="42"/>
        <v>0</v>
      </c>
      <c r="AU48" s="33"/>
      <c r="AV48" s="33"/>
      <c r="AW48" s="33"/>
      <c r="AX48" s="33"/>
      <c r="AY48" s="76"/>
    </row>
    <row r="49" spans="2:51">
      <c r="B49" s="40">
        <f t="shared" si="31"/>
        <v>71</v>
      </c>
      <c r="C49" s="151">
        <f t="shared" si="38"/>
        <v>75</v>
      </c>
      <c r="D49" s="136">
        <f>D50+26</f>
        <v>398</v>
      </c>
      <c r="E49" s="140">
        <f t="shared" si="29"/>
        <v>1.3</v>
      </c>
      <c r="F49" s="42">
        <f t="shared" si="40"/>
        <v>517.4</v>
      </c>
      <c r="G49" s="51">
        <f t="shared" si="41"/>
        <v>14.949999999999989</v>
      </c>
      <c r="I49" s="55">
        <v>44</v>
      </c>
      <c r="J49" s="33">
        <f t="shared" si="18"/>
        <v>12.389999999999999</v>
      </c>
      <c r="K49" s="33">
        <f t="shared" si="19"/>
        <v>4.259806492988357</v>
      </c>
      <c r="L49" s="33">
        <f t="shared" si="20"/>
        <v>70</v>
      </c>
      <c r="M49" s="33">
        <f t="shared" si="21"/>
        <v>10</v>
      </c>
      <c r="N49" s="33">
        <f t="shared" si="0"/>
        <v>0</v>
      </c>
      <c r="O49" s="34">
        <f t="shared" si="1"/>
        <v>322.3317463086214</v>
      </c>
      <c r="P49" s="55">
        <v>44</v>
      </c>
      <c r="Q49" s="33">
        <f t="shared" si="15"/>
        <v>19.5</v>
      </c>
      <c r="R49" s="33">
        <f t="shared" si="22"/>
        <v>347.09999999999997</v>
      </c>
      <c r="S49" s="33">
        <f t="shared" si="23"/>
        <v>159.666</v>
      </c>
      <c r="T49" s="33">
        <f t="shared" si="2"/>
        <v>40.767171614679796</v>
      </c>
      <c r="U49" s="33">
        <f t="shared" si="16"/>
        <v>70</v>
      </c>
      <c r="V49" s="33">
        <f t="shared" si="3"/>
        <v>10</v>
      </c>
      <c r="W49" s="33">
        <v>0</v>
      </c>
      <c r="X49" s="33">
        <f t="shared" si="4"/>
        <v>642.4211072289005</v>
      </c>
      <c r="Y49" s="38">
        <f t="shared" si="5"/>
        <v>320.08936092027909</v>
      </c>
      <c r="AA49" s="71">
        <v>44</v>
      </c>
      <c r="AB49" s="33">
        <f t="shared" si="6"/>
        <v>0</v>
      </c>
      <c r="AC49" s="304">
        <f t="shared" si="39"/>
        <v>0</v>
      </c>
      <c r="AD49" s="100">
        <f t="shared" si="8"/>
        <v>0</v>
      </c>
      <c r="AE49" s="100">
        <f t="shared" si="9"/>
        <v>0</v>
      </c>
      <c r="AF49" s="193">
        <f t="shared" si="34"/>
        <v>11.280233732675176</v>
      </c>
      <c r="AG49" s="193">
        <f t="shared" si="35"/>
        <v>38.27979239584927</v>
      </c>
      <c r="AH49" s="193">
        <f t="shared" si="36"/>
        <v>2.3713638626826614</v>
      </c>
      <c r="AI49" s="198">
        <f t="shared" si="37"/>
        <v>51.931389991207112</v>
      </c>
      <c r="AK49" s="71">
        <v>44</v>
      </c>
      <c r="AL49" s="33">
        <f t="shared" si="10"/>
        <v>0</v>
      </c>
      <c r="AM49" s="33">
        <f t="shared" si="11"/>
        <v>0</v>
      </c>
      <c r="AN49" s="33">
        <f t="shared" si="12"/>
        <v>0</v>
      </c>
      <c r="AO49" s="33">
        <f t="shared" si="13"/>
        <v>0</v>
      </c>
      <c r="AP49" s="33">
        <f t="shared" si="14"/>
        <v>0</v>
      </c>
      <c r="AQ49" s="193">
        <f t="shared" si="42"/>
        <v>0</v>
      </c>
      <c r="AR49" s="193">
        <f t="shared" si="42"/>
        <v>0</v>
      </c>
      <c r="AS49" s="193">
        <f t="shared" si="42"/>
        <v>0</v>
      </c>
      <c r="AT49" s="193">
        <f t="shared" si="42"/>
        <v>0</v>
      </c>
      <c r="AU49" s="33"/>
      <c r="AV49" s="33"/>
      <c r="AW49" s="33"/>
      <c r="AX49" s="33"/>
      <c r="AY49" s="76"/>
    </row>
    <row r="50" spans="2:51">
      <c r="B50" s="40">
        <f t="shared" si="31"/>
        <v>75</v>
      </c>
      <c r="C50" s="151">
        <f t="shared" si="38"/>
        <v>76</v>
      </c>
      <c r="D50" s="136">
        <v>372</v>
      </c>
      <c r="E50" s="140">
        <f t="shared" si="29"/>
        <v>1.3</v>
      </c>
      <c r="F50" s="42">
        <f t="shared" si="40"/>
        <v>483.6</v>
      </c>
      <c r="G50" s="51">
        <f t="shared" si="41"/>
        <v>-33.799999999999955</v>
      </c>
      <c r="I50" s="55">
        <v>45</v>
      </c>
      <c r="J50" s="33">
        <f t="shared" si="18"/>
        <v>12.809999999999999</v>
      </c>
      <c r="K50" s="33">
        <f t="shared" si="19"/>
        <v>4.387149923166203</v>
      </c>
      <c r="L50" s="33">
        <f t="shared" si="20"/>
        <v>70</v>
      </c>
      <c r="M50" s="33">
        <f t="shared" si="21"/>
        <v>10</v>
      </c>
      <c r="N50" s="33">
        <f t="shared" si="0"/>
        <v>0</v>
      </c>
      <c r="O50" s="34">
        <f t="shared" si="1"/>
        <v>323.28503611618117</v>
      </c>
      <c r="P50" s="55">
        <v>45</v>
      </c>
      <c r="Q50" s="33">
        <f t="shared" si="15"/>
        <v>19.5</v>
      </c>
      <c r="R50" s="33">
        <f t="shared" si="22"/>
        <v>366.59999999999997</v>
      </c>
      <c r="S50" s="33">
        <f t="shared" si="23"/>
        <v>168.636</v>
      </c>
      <c r="T50" s="33">
        <f t="shared" si="2"/>
        <v>42.784389877117889</v>
      </c>
      <c r="U50" s="33">
        <f t="shared" si="16"/>
        <v>70</v>
      </c>
      <c r="V50" s="33">
        <f t="shared" si="3"/>
        <v>10</v>
      </c>
      <c r="W50" s="33">
        <v>0</v>
      </c>
      <c r="X50" s="33">
        <f t="shared" si="4"/>
        <v>661.55717903598031</v>
      </c>
      <c r="Y50" s="38">
        <f t="shared" si="5"/>
        <v>338.27214291979914</v>
      </c>
      <c r="AA50" s="71">
        <v>45</v>
      </c>
      <c r="AB50" s="33">
        <f t="shared" si="6"/>
        <v>0</v>
      </c>
      <c r="AC50" s="304">
        <f t="shared" si="39"/>
        <v>0</v>
      </c>
      <c r="AD50" s="100">
        <f t="shared" si="8"/>
        <v>0</v>
      </c>
      <c r="AE50" s="100">
        <f t="shared" si="9"/>
        <v>0</v>
      </c>
      <c r="AF50" s="193">
        <f t="shared" si="34"/>
        <v>11.059035229440624</v>
      </c>
      <c r="AG50" s="193">
        <f t="shared" si="35"/>
        <v>37.233029459737978</v>
      </c>
      <c r="AH50" s="193">
        <f t="shared" si="36"/>
        <v>1.6768074679636349</v>
      </c>
      <c r="AI50" s="198">
        <f t="shared" si="37"/>
        <v>49.968872157142236</v>
      </c>
      <c r="AK50" s="71">
        <v>45</v>
      </c>
      <c r="AL50" s="33">
        <f t="shared" si="10"/>
        <v>0</v>
      </c>
      <c r="AM50" s="33">
        <f t="shared" si="11"/>
        <v>0</v>
      </c>
      <c r="AN50" s="33">
        <f t="shared" si="12"/>
        <v>0</v>
      </c>
      <c r="AO50" s="33">
        <f t="shared" si="13"/>
        <v>0</v>
      </c>
      <c r="AP50" s="33">
        <f t="shared" si="14"/>
        <v>0</v>
      </c>
      <c r="AQ50" s="193">
        <f t="shared" si="42"/>
        <v>0</v>
      </c>
      <c r="AR50" s="193">
        <f t="shared" si="42"/>
        <v>0</v>
      </c>
      <c r="AS50" s="193">
        <f t="shared" si="42"/>
        <v>0</v>
      </c>
      <c r="AT50" s="193">
        <f t="shared" si="42"/>
        <v>0</v>
      </c>
      <c r="AU50" s="33"/>
      <c r="AV50" s="33"/>
      <c r="AW50" s="33"/>
      <c r="AX50" s="33"/>
      <c r="AY50" s="76"/>
    </row>
    <row r="51" spans="2:51">
      <c r="B51" s="40">
        <f t="shared" si="31"/>
        <v>76</v>
      </c>
      <c r="C51" s="151">
        <f t="shared" si="38"/>
        <v>80</v>
      </c>
      <c r="D51" s="136">
        <f>D52+26</f>
        <v>414</v>
      </c>
      <c r="E51" s="140">
        <f t="shared" si="29"/>
        <v>1.3</v>
      </c>
      <c r="F51" s="42">
        <f t="shared" si="40"/>
        <v>538.20000000000005</v>
      </c>
      <c r="G51" s="51">
        <f t="shared" si="41"/>
        <v>13.650000000000006</v>
      </c>
      <c r="I51" s="55">
        <v>46</v>
      </c>
      <c r="J51" s="33">
        <f t="shared" si="18"/>
        <v>13.229999999999999</v>
      </c>
      <c r="K51" s="33">
        <f t="shared" si="19"/>
        <v>4.5140081950731146</v>
      </c>
      <c r="L51" s="33">
        <f t="shared" si="20"/>
        <v>70</v>
      </c>
      <c r="M51" s="33">
        <f t="shared" si="21"/>
        <v>10</v>
      </c>
      <c r="N51" s="33">
        <f t="shared" si="0"/>
        <v>0</v>
      </c>
      <c r="O51" s="34">
        <f t="shared" si="1"/>
        <v>324.23748093975234</v>
      </c>
      <c r="P51" s="55">
        <v>46</v>
      </c>
      <c r="Q51" s="33">
        <f t="shared" si="15"/>
        <v>-45.5</v>
      </c>
      <c r="R51" s="33">
        <f t="shared" si="22"/>
        <v>321.09999999999997</v>
      </c>
      <c r="S51" s="33">
        <f t="shared" si="23"/>
        <v>147.70599999999999</v>
      </c>
      <c r="T51" s="33">
        <f t="shared" si="2"/>
        <v>38.056799214709841</v>
      </c>
      <c r="U51" s="33">
        <f t="shared" si="16"/>
        <v>70</v>
      </c>
      <c r="V51" s="33">
        <f t="shared" si="3"/>
        <v>10</v>
      </c>
      <c r="W51" s="33">
        <v>0</v>
      </c>
      <c r="X51" s="33">
        <f t="shared" si="4"/>
        <v>616.87020863228634</v>
      </c>
      <c r="Y51" s="38">
        <f t="shared" si="5"/>
        <v>292.63272769253399</v>
      </c>
      <c r="AA51" s="71">
        <v>46</v>
      </c>
      <c r="AB51" s="33">
        <f t="shared" si="6"/>
        <v>35</v>
      </c>
      <c r="AC51" s="304">
        <f t="shared" si="39"/>
        <v>0.3</v>
      </c>
      <c r="AD51" s="100">
        <f t="shared" si="8"/>
        <v>0.22400000000000003</v>
      </c>
      <c r="AE51" s="100">
        <f t="shared" si="9"/>
        <v>0.17600000000000002</v>
      </c>
      <c r="AF51" s="193">
        <f t="shared" si="34"/>
        <v>19.17167250964161</v>
      </c>
      <c r="AG51" s="193">
        <f t="shared" si="35"/>
        <v>42.409760994051545</v>
      </c>
      <c r="AH51" s="193">
        <f t="shared" si="36"/>
        <v>5.3564634010936238</v>
      </c>
      <c r="AI51" s="198">
        <f t="shared" si="37"/>
        <v>66.937896904786783</v>
      </c>
      <c r="AK51" s="71">
        <v>46</v>
      </c>
      <c r="AL51" s="33">
        <f t="shared" si="10"/>
        <v>35</v>
      </c>
      <c r="AM51" s="33">
        <f t="shared" si="11"/>
        <v>0.6</v>
      </c>
      <c r="AN51" s="33">
        <f t="shared" si="12"/>
        <v>0.22400000000000003</v>
      </c>
      <c r="AO51" s="33">
        <f t="shared" si="13"/>
        <v>0.17600000000000002</v>
      </c>
      <c r="AP51" s="33">
        <f t="shared" si="14"/>
        <v>0</v>
      </c>
      <c r="AQ51" s="193">
        <f t="shared" si="42"/>
        <v>21</v>
      </c>
      <c r="AR51" s="193">
        <f t="shared" si="42"/>
        <v>7.8400000000000007</v>
      </c>
      <c r="AS51" s="193">
        <f t="shared" si="42"/>
        <v>6.160000000000001</v>
      </c>
      <c r="AT51" s="193">
        <f t="shared" si="42"/>
        <v>0</v>
      </c>
      <c r="AU51" s="33"/>
      <c r="AV51" s="33"/>
      <c r="AW51" s="33"/>
      <c r="AX51" s="33"/>
      <c r="AY51" s="76"/>
    </row>
    <row r="52" spans="2:51">
      <c r="B52" s="40">
        <f t="shared" si="31"/>
        <v>80</v>
      </c>
      <c r="C52" s="151">
        <f t="shared" si="38"/>
        <v>81</v>
      </c>
      <c r="D52" s="136">
        <v>388</v>
      </c>
      <c r="E52" s="140">
        <f t="shared" si="29"/>
        <v>1.3</v>
      </c>
      <c r="F52" s="42">
        <f t="shared" si="40"/>
        <v>504.40000000000003</v>
      </c>
      <c r="G52" s="51">
        <f t="shared" si="41"/>
        <v>-33.800000000000011</v>
      </c>
      <c r="I52" s="55">
        <v>47</v>
      </c>
      <c r="J52" s="33">
        <f t="shared" si="18"/>
        <v>13.649999999999999</v>
      </c>
      <c r="K52" s="33">
        <f t="shared" si="19"/>
        <v>4.6403984774572109</v>
      </c>
      <c r="L52" s="33">
        <f t="shared" si="20"/>
        <v>70</v>
      </c>
      <c r="M52" s="33">
        <f t="shared" si="21"/>
        <v>10</v>
      </c>
      <c r="N52" s="33">
        <f t="shared" si="0"/>
        <v>0</v>
      </c>
      <c r="O52" s="34">
        <f t="shared" si="1"/>
        <v>325.18911068157132</v>
      </c>
      <c r="P52" s="55">
        <v>47</v>
      </c>
      <c r="Q52" s="33">
        <f t="shared" si="15"/>
        <v>18.849999999999994</v>
      </c>
      <c r="R52" s="33">
        <f t="shared" si="22"/>
        <v>339.94999999999993</v>
      </c>
      <c r="S52" s="33">
        <f t="shared" si="23"/>
        <v>156.37699999999998</v>
      </c>
      <c r="T52" s="33">
        <f t="shared" si="2"/>
        <v>40.024251527666223</v>
      </c>
      <c r="U52" s="33">
        <f t="shared" si="16"/>
        <v>70</v>
      </c>
      <c r="V52" s="33">
        <f t="shared" si="3"/>
        <v>10</v>
      </c>
      <c r="W52" s="33">
        <v>0</v>
      </c>
      <c r="X52" s="33">
        <f t="shared" si="4"/>
        <v>635.39884641068534</v>
      </c>
      <c r="Y52" s="38">
        <f t="shared" si="5"/>
        <v>310.20973572911402</v>
      </c>
      <c r="AA52" s="71">
        <v>47</v>
      </c>
      <c r="AB52" s="33">
        <f t="shared" si="6"/>
        <v>0</v>
      </c>
      <c r="AC52" s="304">
        <f t="shared" si="39"/>
        <v>0</v>
      </c>
      <c r="AD52" s="100">
        <f t="shared" si="8"/>
        <v>0</v>
      </c>
      <c r="AE52" s="100">
        <f t="shared" si="9"/>
        <v>0</v>
      </c>
      <c r="AF52" s="193">
        <f t="shared" si="34"/>
        <v>18.795727705293125</v>
      </c>
      <c r="AG52" s="193">
        <f t="shared" si="35"/>
        <v>41.250063849436806</v>
      </c>
      <c r="AH52" s="193">
        <f t="shared" si="36"/>
        <v>3.7875915940908595</v>
      </c>
      <c r="AI52" s="198">
        <f t="shared" si="37"/>
        <v>63.833383148820793</v>
      </c>
      <c r="AK52" s="71">
        <v>47</v>
      </c>
      <c r="AL52" s="33">
        <f t="shared" si="10"/>
        <v>0</v>
      </c>
      <c r="AM52" s="33">
        <f t="shared" si="11"/>
        <v>0</v>
      </c>
      <c r="AN52" s="33">
        <f t="shared" si="12"/>
        <v>0</v>
      </c>
      <c r="AO52" s="33">
        <f t="shared" si="13"/>
        <v>0</v>
      </c>
      <c r="AP52" s="33">
        <f t="shared" si="14"/>
        <v>0</v>
      </c>
      <c r="AQ52" s="193">
        <f t="shared" si="42"/>
        <v>0</v>
      </c>
      <c r="AR52" s="193">
        <f t="shared" si="42"/>
        <v>0</v>
      </c>
      <c r="AS52" s="193">
        <f t="shared" si="42"/>
        <v>0</v>
      </c>
      <c r="AT52" s="193">
        <f t="shared" si="42"/>
        <v>0</v>
      </c>
      <c r="AU52" s="33"/>
      <c r="AV52" s="33"/>
      <c r="AW52" s="33"/>
      <c r="AX52" s="33"/>
      <c r="AY52" s="76"/>
    </row>
    <row r="53" spans="2:51">
      <c r="B53" s="40"/>
      <c r="C53" s="151"/>
      <c r="D53" s="136"/>
      <c r="E53" s="140"/>
      <c r="F53" s="42"/>
      <c r="G53" s="51"/>
      <c r="I53" s="55">
        <v>48</v>
      </c>
      <c r="J53" s="33">
        <f t="shared" si="18"/>
        <v>14.069999999999999</v>
      </c>
      <c r="K53" s="33">
        <f t="shared" si="19"/>
        <v>4.7663368225031704</v>
      </c>
      <c r="L53" s="33">
        <f t="shared" si="20"/>
        <v>70</v>
      </c>
      <c r="M53" s="33">
        <f t="shared" si="21"/>
        <v>10</v>
      </c>
      <c r="N53" s="33">
        <f t="shared" si="0"/>
        <v>0</v>
      </c>
      <c r="O53" s="34">
        <f t="shared" si="1"/>
        <v>326.139953299193</v>
      </c>
      <c r="P53" s="55">
        <v>48</v>
      </c>
      <c r="Q53" s="33">
        <f t="shared" si="15"/>
        <v>18.849999999999994</v>
      </c>
      <c r="R53" s="33">
        <f t="shared" si="22"/>
        <v>358.79999999999995</v>
      </c>
      <c r="S53" s="33">
        <f t="shared" si="23"/>
        <v>165.04799999999997</v>
      </c>
      <c r="T53" s="33">
        <f t="shared" si="2"/>
        <v>41.979039350635581</v>
      </c>
      <c r="U53" s="33">
        <f t="shared" si="16"/>
        <v>70</v>
      </c>
      <c r="V53" s="33">
        <f t="shared" si="3"/>
        <v>10</v>
      </c>
      <c r="W53" s="33">
        <v>0</v>
      </c>
      <c r="X53" s="33">
        <f t="shared" si="4"/>
        <v>653.90542686902359</v>
      </c>
      <c r="Y53" s="38">
        <f t="shared" si="5"/>
        <v>327.76547356983059</v>
      </c>
      <c r="AA53" s="71">
        <v>48</v>
      </c>
      <c r="AB53" s="33">
        <f t="shared" si="6"/>
        <v>0</v>
      </c>
      <c r="AC53" s="304">
        <f t="shared" si="39"/>
        <v>0</v>
      </c>
      <c r="AD53" s="100">
        <f t="shared" si="8"/>
        <v>0</v>
      </c>
      <c r="AE53" s="100">
        <f t="shared" si="9"/>
        <v>0</v>
      </c>
      <c r="AF53" s="193">
        <f t="shared" si="34"/>
        <v>18.427154949254223</v>
      </c>
      <c r="AG53" s="193">
        <f t="shared" si="35"/>
        <v>40.122078684227375</v>
      </c>
      <c r="AH53" s="193">
        <f t="shared" si="36"/>
        <v>2.6782317005468124</v>
      </c>
      <c r="AI53" s="198">
        <f t="shared" si="37"/>
        <v>61.227465334028409</v>
      </c>
      <c r="AK53" s="71">
        <v>48</v>
      </c>
      <c r="AL53" s="33">
        <f t="shared" si="10"/>
        <v>0</v>
      </c>
      <c r="AM53" s="33">
        <f t="shared" si="11"/>
        <v>0</v>
      </c>
      <c r="AN53" s="33">
        <f t="shared" si="12"/>
        <v>0</v>
      </c>
      <c r="AO53" s="33">
        <f t="shared" si="13"/>
        <v>0</v>
      </c>
      <c r="AP53" s="33">
        <f t="shared" si="14"/>
        <v>0</v>
      </c>
      <c r="AQ53" s="193">
        <f t="shared" si="42"/>
        <v>0</v>
      </c>
      <c r="AR53" s="193">
        <f t="shared" si="42"/>
        <v>0</v>
      </c>
      <c r="AS53" s="193">
        <f t="shared" si="42"/>
        <v>0</v>
      </c>
      <c r="AT53" s="193">
        <f t="shared" si="42"/>
        <v>0</v>
      </c>
      <c r="AU53" s="33"/>
      <c r="AV53" s="33"/>
      <c r="AW53" s="33"/>
      <c r="AX53" s="33"/>
      <c r="AY53" s="76"/>
    </row>
    <row r="54" spans="2:51">
      <c r="B54" s="40"/>
      <c r="C54" s="151"/>
      <c r="D54" s="136"/>
      <c r="E54" s="140"/>
      <c r="F54" s="42"/>
      <c r="G54" s="51"/>
      <c r="I54" s="55">
        <v>49</v>
      </c>
      <c r="J54" s="33">
        <f t="shared" si="18"/>
        <v>14.489999999999998</v>
      </c>
      <c r="K54" s="33">
        <f t="shared" si="19"/>
        <v>4.8918382695850156</v>
      </c>
      <c r="L54" s="33">
        <f t="shared" si="20"/>
        <v>70</v>
      </c>
      <c r="M54" s="33">
        <f t="shared" si="21"/>
        <v>10</v>
      </c>
      <c r="N54" s="33">
        <f t="shared" si="0"/>
        <v>0</v>
      </c>
      <c r="O54" s="34">
        <f t="shared" si="1"/>
        <v>327.09003498619393</v>
      </c>
      <c r="P54" s="55">
        <v>49</v>
      </c>
      <c r="Q54" s="33">
        <f t="shared" si="15"/>
        <v>18.849999999999994</v>
      </c>
      <c r="R54" s="33">
        <f t="shared" si="22"/>
        <v>377.65</v>
      </c>
      <c r="S54" s="33">
        <f t="shared" si="23"/>
        <v>173.71899999999999</v>
      </c>
      <c r="T54" s="33">
        <f t="shared" si="2"/>
        <v>43.921903907054656</v>
      </c>
      <c r="U54" s="33">
        <f t="shared" si="16"/>
        <v>70</v>
      </c>
      <c r="V54" s="33">
        <f t="shared" si="3"/>
        <v>10</v>
      </c>
      <c r="W54" s="33">
        <v>0</v>
      </c>
      <c r="X54" s="33">
        <f t="shared" si="4"/>
        <v>672.3912409714535</v>
      </c>
      <c r="Y54" s="38">
        <f t="shared" si="5"/>
        <v>345.30120598525957</v>
      </c>
      <c r="AA54" s="71">
        <v>49</v>
      </c>
      <c r="AB54" s="33">
        <f t="shared" si="6"/>
        <v>0</v>
      </c>
      <c r="AC54" s="304">
        <f t="shared" si="39"/>
        <v>0</v>
      </c>
      <c r="AD54" s="100">
        <f t="shared" si="8"/>
        <v>0</v>
      </c>
      <c r="AE54" s="100">
        <f t="shared" si="9"/>
        <v>0</v>
      </c>
      <c r="AF54" s="193">
        <f t="shared" si="34"/>
        <v>18.065809680154064</v>
      </c>
      <c r="AG54" s="193">
        <f t="shared" si="35"/>
        <v>39.024938332678758</v>
      </c>
      <c r="AH54" s="193">
        <f t="shared" si="36"/>
        <v>1.89379579704543</v>
      </c>
      <c r="AI54" s="198">
        <f t="shared" si="37"/>
        <v>58.984543809878247</v>
      </c>
      <c r="AK54" s="71">
        <v>49</v>
      </c>
      <c r="AL54" s="33">
        <f t="shared" si="10"/>
        <v>0</v>
      </c>
      <c r="AM54" s="33">
        <f t="shared" si="11"/>
        <v>0</v>
      </c>
      <c r="AN54" s="33">
        <f t="shared" si="12"/>
        <v>0</v>
      </c>
      <c r="AO54" s="33">
        <f t="shared" si="13"/>
        <v>0</v>
      </c>
      <c r="AP54" s="33">
        <f t="shared" si="14"/>
        <v>0</v>
      </c>
      <c r="AQ54" s="193">
        <f t="shared" si="42"/>
        <v>0</v>
      </c>
      <c r="AR54" s="193">
        <f t="shared" si="42"/>
        <v>0</v>
      </c>
      <c r="AS54" s="193">
        <f t="shared" si="42"/>
        <v>0</v>
      </c>
      <c r="AT54" s="193">
        <f t="shared" si="42"/>
        <v>0</v>
      </c>
      <c r="AU54" s="33"/>
      <c r="AV54" s="33"/>
      <c r="AW54" s="33"/>
      <c r="AX54" s="33"/>
      <c r="AY54" s="76"/>
    </row>
    <row r="55" spans="2:51">
      <c r="B55" s="40"/>
      <c r="C55" s="151"/>
      <c r="D55" s="136"/>
      <c r="E55" s="140"/>
      <c r="F55" s="42"/>
      <c r="G55" s="51"/>
      <c r="I55" s="55">
        <v>50</v>
      </c>
      <c r="J55" s="33">
        <f t="shared" si="18"/>
        <v>14.909999999999998</v>
      </c>
      <c r="K55" s="33">
        <f t="shared" si="19"/>
        <v>5.0169169366515129</v>
      </c>
      <c r="L55" s="33">
        <f t="shared" si="20"/>
        <v>70</v>
      </c>
      <c r="M55" s="33">
        <f t="shared" si="21"/>
        <v>10</v>
      </c>
      <c r="N55" s="33">
        <f t="shared" si="0"/>
        <v>0</v>
      </c>
      <c r="O55" s="34">
        <f t="shared" si="1"/>
        <v>328.03938033133471</v>
      </c>
      <c r="P55" s="55">
        <v>50</v>
      </c>
      <c r="Q55" s="33">
        <f t="shared" si="15"/>
        <v>18.849999999999994</v>
      </c>
      <c r="R55" s="33">
        <f t="shared" si="22"/>
        <v>396.5</v>
      </c>
      <c r="S55" s="33">
        <f t="shared" si="23"/>
        <v>182.39000000000001</v>
      </c>
      <c r="T55" s="33">
        <f t="shared" si="2"/>
        <v>45.853508245632504</v>
      </c>
      <c r="U55" s="33">
        <f t="shared" si="16"/>
        <v>70</v>
      </c>
      <c r="V55" s="33">
        <f t="shared" si="3"/>
        <v>10</v>
      </c>
      <c r="W55" s="33">
        <v>0</v>
      </c>
      <c r="X55" s="33">
        <f t="shared" si="4"/>
        <v>690.85744352781001</v>
      </c>
      <c r="Y55" s="38">
        <f t="shared" si="5"/>
        <v>362.81806319647529</v>
      </c>
      <c r="AA55" s="71">
        <v>50</v>
      </c>
      <c r="AB55" s="33">
        <f t="shared" si="6"/>
        <v>0</v>
      </c>
      <c r="AC55" s="304">
        <f t="shared" si="39"/>
        <v>0</v>
      </c>
      <c r="AD55" s="100">
        <f t="shared" si="8"/>
        <v>0</v>
      </c>
      <c r="AE55" s="100">
        <f t="shared" si="9"/>
        <v>0</v>
      </c>
      <c r="AF55" s="193">
        <f t="shared" si="34"/>
        <v>17.711550171382108</v>
      </c>
      <c r="AG55" s="193">
        <f t="shared" si="35"/>
        <v>37.957799341739346</v>
      </c>
      <c r="AH55" s="193">
        <f t="shared" si="36"/>
        <v>1.3391158502734064</v>
      </c>
      <c r="AI55" s="198">
        <f t="shared" si="37"/>
        <v>57.008465363394862</v>
      </c>
      <c r="AK55" s="71">
        <v>50</v>
      </c>
      <c r="AL55" s="33">
        <f t="shared" si="10"/>
        <v>0</v>
      </c>
      <c r="AM55" s="33">
        <f t="shared" si="11"/>
        <v>0</v>
      </c>
      <c r="AN55" s="33">
        <f t="shared" si="12"/>
        <v>0</v>
      </c>
      <c r="AO55" s="33">
        <f t="shared" si="13"/>
        <v>0</v>
      </c>
      <c r="AP55" s="33">
        <f t="shared" si="14"/>
        <v>0</v>
      </c>
      <c r="AQ55" s="193">
        <f t="shared" si="42"/>
        <v>0</v>
      </c>
      <c r="AR55" s="193">
        <f t="shared" si="42"/>
        <v>0</v>
      </c>
      <c r="AS55" s="193">
        <f t="shared" si="42"/>
        <v>0</v>
      </c>
      <c r="AT55" s="193">
        <f t="shared" si="42"/>
        <v>0</v>
      </c>
      <c r="AU55" s="33"/>
      <c r="AV55" s="33"/>
      <c r="AW55" s="33"/>
      <c r="AX55" s="33"/>
      <c r="AY55" s="76"/>
    </row>
    <row r="56" spans="2:51">
      <c r="B56" s="40"/>
      <c r="C56" s="151"/>
      <c r="D56" s="136"/>
      <c r="E56" s="140"/>
      <c r="F56" s="42"/>
      <c r="G56" s="51"/>
      <c r="I56" s="55">
        <v>51</v>
      </c>
      <c r="J56" s="33">
        <f t="shared" si="18"/>
        <v>15.329999999999998</v>
      </c>
      <c r="K56" s="33">
        <f t="shared" si="19"/>
        <v>5.1415861010251849</v>
      </c>
      <c r="L56" s="33">
        <f t="shared" si="20"/>
        <v>70</v>
      </c>
      <c r="M56" s="33">
        <f t="shared" si="21"/>
        <v>10</v>
      </c>
      <c r="N56" s="33">
        <f t="shared" si="0"/>
        <v>0</v>
      </c>
      <c r="O56" s="34">
        <f t="shared" si="1"/>
        <v>328.98801245928553</v>
      </c>
      <c r="P56" s="55">
        <v>51</v>
      </c>
      <c r="Q56" s="33">
        <f t="shared" si="15"/>
        <v>-45.5</v>
      </c>
      <c r="R56" s="33">
        <f t="shared" si="22"/>
        <v>351</v>
      </c>
      <c r="S56" s="33">
        <f t="shared" si="23"/>
        <v>161.46</v>
      </c>
      <c r="T56" s="33">
        <f t="shared" si="2"/>
        <v>41.171648186302534</v>
      </c>
      <c r="U56" s="33">
        <f t="shared" si="16"/>
        <v>70</v>
      </c>
      <c r="V56" s="33">
        <f t="shared" si="3"/>
        <v>10</v>
      </c>
      <c r="W56" s="33">
        <v>0</v>
      </c>
      <c r="X56" s="33">
        <f t="shared" si="4"/>
        <v>646.25012059114363</v>
      </c>
      <c r="Y56" s="38">
        <f t="shared" si="5"/>
        <v>317.2621081318581</v>
      </c>
      <c r="AA56" s="71">
        <v>51</v>
      </c>
      <c r="AB56" s="33">
        <f t="shared" si="6"/>
        <v>35</v>
      </c>
      <c r="AC56" s="304">
        <f t="shared" si="39"/>
        <v>0.35</v>
      </c>
      <c r="AD56" s="100">
        <f t="shared" si="8"/>
        <v>0.16800000000000004</v>
      </c>
      <c r="AE56" s="100">
        <f t="shared" si="9"/>
        <v>0.13200000000000003</v>
      </c>
      <c r="AF56" s="193">
        <f t="shared" si="34"/>
        <v>27.081985393822556</v>
      </c>
      <c r="AG56" s="193">
        <f t="shared" si="35"/>
        <v>41.565994334793096</v>
      </c>
      <c r="AH56" s="193">
        <f t="shared" si="36"/>
        <v>4.0749840008369347</v>
      </c>
      <c r="AI56" s="198">
        <f t="shared" si="37"/>
        <v>72.722963729452587</v>
      </c>
      <c r="AK56" s="71">
        <v>51</v>
      </c>
      <c r="AL56" s="33">
        <f t="shared" si="10"/>
        <v>35</v>
      </c>
      <c r="AM56" s="33">
        <f t="shared" si="11"/>
        <v>0.7</v>
      </c>
      <c r="AN56" s="33">
        <f t="shared" si="12"/>
        <v>0.16800000000000004</v>
      </c>
      <c r="AO56" s="33">
        <f t="shared" si="13"/>
        <v>0.13200000000000003</v>
      </c>
      <c r="AP56" s="33">
        <f t="shared" si="14"/>
        <v>0</v>
      </c>
      <c r="AQ56" s="193">
        <f t="shared" si="42"/>
        <v>24.5</v>
      </c>
      <c r="AR56" s="193">
        <f t="shared" si="42"/>
        <v>5.8800000000000017</v>
      </c>
      <c r="AS56" s="193">
        <f t="shared" si="42"/>
        <v>4.620000000000001</v>
      </c>
      <c r="AT56" s="193">
        <f t="shared" si="42"/>
        <v>0</v>
      </c>
      <c r="AU56" s="33"/>
      <c r="AV56" s="33"/>
      <c r="AW56" s="33"/>
      <c r="AX56" s="33"/>
      <c r="AY56" s="76"/>
    </row>
    <row r="57" spans="2:51">
      <c r="B57" s="40"/>
      <c r="C57" s="151"/>
      <c r="D57" s="136"/>
      <c r="E57" s="140"/>
      <c r="F57" s="42"/>
      <c r="G57" s="51"/>
      <c r="I57" s="55">
        <v>52</v>
      </c>
      <c r="J57" s="33">
        <f t="shared" si="18"/>
        <v>15.749999999999998</v>
      </c>
      <c r="K57" s="33">
        <f t="shared" si="19"/>
        <v>5.2658582710976578</v>
      </c>
      <c r="L57" s="33">
        <f t="shared" si="20"/>
        <v>70</v>
      </c>
      <c r="M57" s="33">
        <f t="shared" si="21"/>
        <v>10</v>
      </c>
      <c r="N57" s="33">
        <f t="shared" si="0"/>
        <v>0</v>
      </c>
      <c r="O57" s="34">
        <f t="shared" si="1"/>
        <v>329.9359531554951</v>
      </c>
      <c r="P57" s="55">
        <v>52</v>
      </c>
      <c r="Q57" s="33">
        <f t="shared" si="15"/>
        <v>17.549999999999997</v>
      </c>
      <c r="R57" s="33">
        <f t="shared" si="22"/>
        <v>368.55</v>
      </c>
      <c r="S57" s="33">
        <f t="shared" si="23"/>
        <v>169.53300000000002</v>
      </c>
      <c r="T57" s="33">
        <f t="shared" si="2"/>
        <v>42.985414381129679</v>
      </c>
      <c r="U57" s="33">
        <f t="shared" si="16"/>
        <v>70</v>
      </c>
      <c r="V57" s="33">
        <f t="shared" si="3"/>
        <v>10</v>
      </c>
      <c r="W57" s="33">
        <v>0</v>
      </c>
      <c r="X57" s="33">
        <f t="shared" si="4"/>
        <v>663.46957171380086</v>
      </c>
      <c r="Y57" s="38">
        <f t="shared" si="5"/>
        <v>333.53361855830576</v>
      </c>
      <c r="AA57" s="71">
        <v>52</v>
      </c>
      <c r="AB57" s="33">
        <f t="shared" si="6"/>
        <v>0</v>
      </c>
      <c r="AC57" s="304">
        <f t="shared" si="39"/>
        <v>0</v>
      </c>
      <c r="AD57" s="100">
        <f t="shared" si="8"/>
        <v>0</v>
      </c>
      <c r="AE57" s="100">
        <f t="shared" si="9"/>
        <v>0</v>
      </c>
      <c r="AF57" s="193">
        <f t="shared" si="34"/>
        <v>26.550924178629732</v>
      </c>
      <c r="AG57" s="193">
        <f t="shared" si="35"/>
        <v>40.42937003384754</v>
      </c>
      <c r="AH57" s="193">
        <f t="shared" si="36"/>
        <v>2.8814488202184845</v>
      </c>
      <c r="AI57" s="198">
        <f t="shared" si="37"/>
        <v>69.861743032695756</v>
      </c>
      <c r="AK57" s="71">
        <v>52</v>
      </c>
      <c r="AL57" s="33">
        <f t="shared" si="10"/>
        <v>0</v>
      </c>
      <c r="AM57" s="33">
        <f t="shared" si="11"/>
        <v>0</v>
      </c>
      <c r="AN57" s="33">
        <f t="shared" si="12"/>
        <v>0</v>
      </c>
      <c r="AO57" s="33">
        <f t="shared" si="13"/>
        <v>0</v>
      </c>
      <c r="AP57" s="33">
        <f t="shared" si="14"/>
        <v>0</v>
      </c>
      <c r="AQ57" s="193">
        <f t="shared" si="42"/>
        <v>0</v>
      </c>
      <c r="AR57" s="193">
        <f t="shared" si="42"/>
        <v>0</v>
      </c>
      <c r="AS57" s="193">
        <f t="shared" si="42"/>
        <v>0</v>
      </c>
      <c r="AT57" s="193">
        <f t="shared" si="42"/>
        <v>0</v>
      </c>
      <c r="AU57" s="33"/>
      <c r="AV57" s="33"/>
      <c r="AW57" s="33"/>
      <c r="AX57" s="33"/>
      <c r="AY57" s="76"/>
    </row>
    <row r="58" spans="2:51">
      <c r="B58" s="40"/>
      <c r="C58" s="151"/>
      <c r="D58" s="136"/>
      <c r="E58" s="140"/>
      <c r="F58" s="42"/>
      <c r="G58" s="51"/>
      <c r="I58" s="55">
        <v>53</v>
      </c>
      <c r="J58" s="33">
        <f t="shared" si="18"/>
        <v>16.169999999999998</v>
      </c>
      <c r="K58" s="33">
        <f t="shared" si="19"/>
        <v>5.3897452501624228</v>
      </c>
      <c r="L58" s="33">
        <f t="shared" si="20"/>
        <v>70</v>
      </c>
      <c r="M58" s="33">
        <f t="shared" si="21"/>
        <v>10</v>
      </c>
      <c r="N58" s="33">
        <f t="shared" si="0"/>
        <v>0</v>
      </c>
      <c r="O58" s="34">
        <f t="shared" si="1"/>
        <v>330.88322297736619</v>
      </c>
      <c r="P58" s="55">
        <v>53</v>
      </c>
      <c r="Q58" s="33">
        <f t="shared" si="15"/>
        <v>17.549999999999997</v>
      </c>
      <c r="R58" s="33">
        <f t="shared" si="22"/>
        <v>386.1</v>
      </c>
      <c r="S58" s="33">
        <f t="shared" si="23"/>
        <v>177.60600000000002</v>
      </c>
      <c r="T58" s="33">
        <f t="shared" si="2"/>
        <v>44.789150937858665</v>
      </c>
      <c r="U58" s="33">
        <f t="shared" si="16"/>
        <v>70</v>
      </c>
      <c r="V58" s="33">
        <f t="shared" si="3"/>
        <v>10</v>
      </c>
      <c r="W58" s="33">
        <v>0</v>
      </c>
      <c r="X58" s="33">
        <f t="shared" si="4"/>
        <v>680.67155455010391</v>
      </c>
      <c r="Y58" s="38">
        <f t="shared" si="5"/>
        <v>349.78833157273772</v>
      </c>
      <c r="AA58" s="71">
        <v>53</v>
      </c>
      <c r="AB58" s="33">
        <f t="shared" si="6"/>
        <v>0</v>
      </c>
      <c r="AC58" s="304">
        <f t="shared" si="39"/>
        <v>0</v>
      </c>
      <c r="AD58" s="100">
        <f t="shared" si="8"/>
        <v>0</v>
      </c>
      <c r="AE58" s="100">
        <f t="shared" si="9"/>
        <v>0</v>
      </c>
      <c r="AF58" s="193">
        <f t="shared" si="34"/>
        <v>26.030276749951479</v>
      </c>
      <c r="AG58" s="193">
        <f t="shared" si="35"/>
        <v>39.323826784183815</v>
      </c>
      <c r="AH58" s="193">
        <f t="shared" si="36"/>
        <v>2.0374920004184673</v>
      </c>
      <c r="AI58" s="198">
        <f t="shared" si="37"/>
        <v>67.391595534553758</v>
      </c>
      <c r="AK58" s="71">
        <v>53</v>
      </c>
      <c r="AL58" s="33">
        <f t="shared" si="10"/>
        <v>0</v>
      </c>
      <c r="AM58" s="33">
        <f t="shared" si="11"/>
        <v>0</v>
      </c>
      <c r="AN58" s="33">
        <f t="shared" si="12"/>
        <v>0</v>
      </c>
      <c r="AO58" s="33">
        <f t="shared" si="13"/>
        <v>0</v>
      </c>
      <c r="AP58" s="33">
        <f t="shared" si="14"/>
        <v>0</v>
      </c>
      <c r="AQ58" s="193">
        <f t="shared" si="42"/>
        <v>0</v>
      </c>
      <c r="AR58" s="193">
        <f t="shared" si="42"/>
        <v>0</v>
      </c>
      <c r="AS58" s="193">
        <f t="shared" si="42"/>
        <v>0</v>
      </c>
      <c r="AT58" s="193">
        <f t="shared" si="42"/>
        <v>0</v>
      </c>
      <c r="AU58" s="33"/>
      <c r="AV58" s="33"/>
      <c r="AW58" s="33"/>
      <c r="AX58" s="33"/>
      <c r="AY58" s="76"/>
    </row>
    <row r="59" spans="2:51">
      <c r="B59" s="40"/>
      <c r="C59" s="151"/>
      <c r="D59" s="136"/>
      <c r="E59" s="140"/>
      <c r="F59" s="42"/>
      <c r="G59" s="51"/>
      <c r="I59" s="55">
        <v>54</v>
      </c>
      <c r="J59" s="33">
        <f t="shared" si="18"/>
        <v>16.59</v>
      </c>
      <c r="K59" s="33">
        <f t="shared" si="19"/>
        <v>5.5132581934290155</v>
      </c>
      <c r="L59" s="33">
        <f t="shared" si="20"/>
        <v>70</v>
      </c>
      <c r="M59" s="33">
        <f t="shared" si="21"/>
        <v>10</v>
      </c>
      <c r="N59" s="33">
        <f t="shared" si="0"/>
        <v>0</v>
      </c>
      <c r="O59" s="34">
        <f t="shared" si="1"/>
        <v>331.82984135355554</v>
      </c>
      <c r="P59" s="55">
        <v>54</v>
      </c>
      <c r="Q59" s="33">
        <f t="shared" si="15"/>
        <v>17.549999999999997</v>
      </c>
      <c r="R59" s="33">
        <f t="shared" si="22"/>
        <v>403.65000000000003</v>
      </c>
      <c r="S59" s="33">
        <f t="shared" si="23"/>
        <v>185.67900000000003</v>
      </c>
      <c r="T59" s="33">
        <f t="shared" si="2"/>
        <v>46.583365828420732</v>
      </c>
      <c r="U59" s="33">
        <f t="shared" si="16"/>
        <v>70</v>
      </c>
      <c r="V59" s="33">
        <f t="shared" si="3"/>
        <v>10</v>
      </c>
      <c r="W59" s="33">
        <v>0</v>
      </c>
      <c r="X59" s="33">
        <f t="shared" si="4"/>
        <v>697.85695381783273</v>
      </c>
      <c r="Y59" s="38">
        <f t="shared" si="5"/>
        <v>366.0271124642772</v>
      </c>
      <c r="AA59" s="71">
        <v>54</v>
      </c>
      <c r="AB59" s="33">
        <f t="shared" si="6"/>
        <v>0</v>
      </c>
      <c r="AC59" s="304">
        <f t="shared" si="39"/>
        <v>0</v>
      </c>
      <c r="AD59" s="100">
        <f t="shared" si="8"/>
        <v>0</v>
      </c>
      <c r="AE59" s="100">
        <f t="shared" si="9"/>
        <v>0</v>
      </c>
      <c r="AF59" s="193">
        <f t="shared" si="34"/>
        <v>25.519838899786034</v>
      </c>
      <c r="AG59" s="193">
        <f t="shared" si="35"/>
        <v>38.248514672820136</v>
      </c>
      <c r="AH59" s="193">
        <f t="shared" si="36"/>
        <v>1.4407244101092422</v>
      </c>
      <c r="AI59" s="198">
        <f t="shared" si="37"/>
        <v>65.209077982715414</v>
      </c>
      <c r="AK59" s="71">
        <v>54</v>
      </c>
      <c r="AL59" s="33">
        <f t="shared" si="10"/>
        <v>0</v>
      </c>
      <c r="AM59" s="33">
        <f t="shared" si="11"/>
        <v>0</v>
      </c>
      <c r="AN59" s="33">
        <f t="shared" si="12"/>
        <v>0</v>
      </c>
      <c r="AO59" s="33">
        <f t="shared" si="13"/>
        <v>0</v>
      </c>
      <c r="AP59" s="33">
        <f t="shared" si="14"/>
        <v>0</v>
      </c>
      <c r="AQ59" s="193">
        <f t="shared" si="42"/>
        <v>0</v>
      </c>
      <c r="AR59" s="193">
        <f t="shared" si="42"/>
        <v>0</v>
      </c>
      <c r="AS59" s="193">
        <f t="shared" si="42"/>
        <v>0</v>
      </c>
      <c r="AT59" s="193">
        <f t="shared" si="42"/>
        <v>0</v>
      </c>
      <c r="AU59" s="33"/>
      <c r="AV59" s="33"/>
      <c r="AW59" s="33"/>
      <c r="AX59" s="33"/>
      <c r="AY59" s="76"/>
    </row>
    <row r="60" spans="2:51">
      <c r="B60" s="40"/>
      <c r="C60" s="151"/>
      <c r="D60" s="136"/>
      <c r="E60" s="140"/>
      <c r="F60" s="42"/>
      <c r="G60" s="51"/>
      <c r="I60" s="55">
        <v>55</v>
      </c>
      <c r="J60" s="33">
        <f t="shared" si="18"/>
        <v>17.010000000000002</v>
      </c>
      <c r="K60" s="33">
        <f t="shared" si="19"/>
        <v>5.6364076591011436</v>
      </c>
      <c r="L60" s="33">
        <f t="shared" si="20"/>
        <v>70</v>
      </c>
      <c r="M60" s="33">
        <f t="shared" si="21"/>
        <v>10</v>
      </c>
      <c r="N60" s="33">
        <f t="shared" si="0"/>
        <v>0</v>
      </c>
      <c r="O60" s="34">
        <f t="shared" si="1"/>
        <v>332.7758266729345</v>
      </c>
      <c r="P60" s="55">
        <v>55</v>
      </c>
      <c r="Q60" s="33">
        <f t="shared" si="15"/>
        <v>17.549999999999997</v>
      </c>
      <c r="R60" s="33">
        <f t="shared" si="22"/>
        <v>421.20000000000005</v>
      </c>
      <c r="S60" s="33">
        <f t="shared" si="23"/>
        <v>193.75200000000004</v>
      </c>
      <c r="T60" s="33">
        <f t="shared" si="2"/>
        <v>48.368520355376113</v>
      </c>
      <c r="U60" s="33">
        <f t="shared" si="16"/>
        <v>70</v>
      </c>
      <c r="V60" s="33">
        <f t="shared" si="3"/>
        <v>10</v>
      </c>
      <c r="W60" s="33">
        <v>0</v>
      </c>
      <c r="X60" s="33">
        <f t="shared" si="4"/>
        <v>715.02657295228016</v>
      </c>
      <c r="Y60" s="38">
        <f t="shared" si="5"/>
        <v>382.25074627934566</v>
      </c>
      <c r="AA60" s="71">
        <v>55</v>
      </c>
      <c r="AB60" s="33">
        <f t="shared" si="6"/>
        <v>0</v>
      </c>
      <c r="AC60" s="304">
        <f t="shared" si="39"/>
        <v>0</v>
      </c>
      <c r="AD60" s="100">
        <f t="shared" si="8"/>
        <v>0</v>
      </c>
      <c r="AE60" s="100">
        <f t="shared" si="9"/>
        <v>0</v>
      </c>
      <c r="AF60" s="193">
        <f t="shared" si="34"/>
        <v>25.019410424525987</v>
      </c>
      <c r="AG60" s="193">
        <f t="shared" si="35"/>
        <v>37.202607027689901</v>
      </c>
      <c r="AH60" s="193">
        <f t="shared" si="36"/>
        <v>1.0187460002092337</v>
      </c>
      <c r="AI60" s="198">
        <f t="shared" si="37"/>
        <v>63.240763452425121</v>
      </c>
      <c r="AK60" s="71">
        <v>55</v>
      </c>
      <c r="AL60" s="33">
        <f t="shared" si="10"/>
        <v>0</v>
      </c>
      <c r="AM60" s="33">
        <f t="shared" si="11"/>
        <v>0</v>
      </c>
      <c r="AN60" s="33">
        <f t="shared" si="12"/>
        <v>0</v>
      </c>
      <c r="AO60" s="33">
        <f t="shared" si="13"/>
        <v>0</v>
      </c>
      <c r="AP60" s="33">
        <f t="shared" si="14"/>
        <v>0</v>
      </c>
      <c r="AQ60" s="193">
        <f t="shared" si="42"/>
        <v>0</v>
      </c>
      <c r="AR60" s="193">
        <f t="shared" si="42"/>
        <v>0</v>
      </c>
      <c r="AS60" s="193">
        <f t="shared" si="42"/>
        <v>0</v>
      </c>
      <c r="AT60" s="193">
        <f t="shared" si="42"/>
        <v>0</v>
      </c>
      <c r="AU60" s="33"/>
      <c r="AV60" s="33"/>
      <c r="AW60" s="33"/>
      <c r="AX60" s="33"/>
      <c r="AY60" s="76"/>
    </row>
    <row r="61" spans="2:51">
      <c r="B61" s="40"/>
      <c r="C61" s="151"/>
      <c r="D61" s="136"/>
      <c r="E61" s="140"/>
      <c r="F61" s="42"/>
      <c r="G61" s="51"/>
      <c r="I61" s="55">
        <v>56</v>
      </c>
      <c r="J61" s="33">
        <f t="shared" si="18"/>
        <v>17.430000000000003</v>
      </c>
      <c r="K61" s="33">
        <f t="shared" si="19"/>
        <v>5.7592036542680249</v>
      </c>
      <c r="L61" s="33">
        <f t="shared" si="20"/>
        <v>70</v>
      </c>
      <c r="M61" s="33">
        <f t="shared" si="21"/>
        <v>10</v>
      </c>
      <c r="N61" s="33">
        <f t="shared" si="0"/>
        <v>0</v>
      </c>
      <c r="O61" s="34">
        <f t="shared" si="1"/>
        <v>333.72119636451686</v>
      </c>
      <c r="P61" s="55">
        <v>56</v>
      </c>
      <c r="Q61" s="33">
        <f t="shared" si="15"/>
        <v>-42.899999999999977</v>
      </c>
      <c r="R61" s="33">
        <f t="shared" si="22"/>
        <v>378.30000000000007</v>
      </c>
      <c r="S61" s="33">
        <f t="shared" si="23"/>
        <v>174.01800000000003</v>
      </c>
      <c r="T61" s="33">
        <f t="shared" si="2"/>
        <v>43.988694800618951</v>
      </c>
      <c r="U61" s="33">
        <f t="shared" si="16"/>
        <v>70</v>
      </c>
      <c r="V61" s="33">
        <f t="shared" si="3"/>
        <v>10</v>
      </c>
      <c r="W61" s="33">
        <v>0</v>
      </c>
      <c r="X61" s="33">
        <f t="shared" si="4"/>
        <v>673.02832677774472</v>
      </c>
      <c r="Y61" s="38">
        <f t="shared" si="5"/>
        <v>339.30713041322787</v>
      </c>
      <c r="AA61" s="71">
        <v>56</v>
      </c>
      <c r="AB61" s="33">
        <f t="shared" si="6"/>
        <v>33</v>
      </c>
      <c r="AC61" s="304">
        <f t="shared" si="39"/>
        <v>0.4</v>
      </c>
      <c r="AD61" s="100">
        <f t="shared" si="8"/>
        <v>0.11199999999999999</v>
      </c>
      <c r="AE61" s="100">
        <f t="shared" si="9"/>
        <v>8.7999999999999981E-2</v>
      </c>
      <c r="AF61" s="193">
        <f t="shared" si="34"/>
        <v>35.000164231892114</v>
      </c>
      <c r="AG61" s="193">
        <f t="shared" si="35"/>
        <v>39.10573881833723</v>
      </c>
      <c r="AH61" s="193">
        <f t="shared" si="36"/>
        <v>2.6865877550807009</v>
      </c>
      <c r="AI61" s="198">
        <f t="shared" si="37"/>
        <v>76.792490805310038</v>
      </c>
      <c r="AK61" s="71">
        <v>56</v>
      </c>
      <c r="AL61" s="33">
        <f t="shared" si="10"/>
        <v>33</v>
      </c>
      <c r="AM61" s="33">
        <f t="shared" si="11"/>
        <v>0.8</v>
      </c>
      <c r="AN61" s="33">
        <f t="shared" si="12"/>
        <v>0.11199999999999999</v>
      </c>
      <c r="AO61" s="33">
        <f t="shared" si="13"/>
        <v>8.7999999999999981E-2</v>
      </c>
      <c r="AP61" s="33">
        <f t="shared" si="14"/>
        <v>0</v>
      </c>
      <c r="AQ61" s="193">
        <f t="shared" si="42"/>
        <v>26.400000000000002</v>
      </c>
      <c r="AR61" s="193">
        <f t="shared" si="42"/>
        <v>3.6959999999999997</v>
      </c>
      <c r="AS61" s="193">
        <f t="shared" si="42"/>
        <v>2.9039999999999995</v>
      </c>
      <c r="AT61" s="193">
        <f t="shared" si="42"/>
        <v>0</v>
      </c>
      <c r="AU61" s="33"/>
      <c r="AV61" s="33"/>
      <c r="AW61" s="33"/>
      <c r="AX61" s="33"/>
      <c r="AY61" s="76"/>
    </row>
    <row r="62" spans="2:51">
      <c r="B62" s="40"/>
      <c r="C62" s="151"/>
      <c r="D62" s="136"/>
      <c r="E62" s="140"/>
      <c r="F62" s="42"/>
      <c r="G62" s="51"/>
      <c r="I62" s="55">
        <v>57</v>
      </c>
      <c r="J62" s="33">
        <f t="shared" si="18"/>
        <v>17.850000000000005</v>
      </c>
      <c r="K62" s="33">
        <f t="shared" si="19"/>
        <v>5.8816556762478864</v>
      </c>
      <c r="L62" s="33">
        <f t="shared" si="20"/>
        <v>70</v>
      </c>
      <c r="M62" s="33">
        <f t="shared" si="21"/>
        <v>10</v>
      </c>
      <c r="N62" s="33">
        <f t="shared" si="0"/>
        <v>0</v>
      </c>
      <c r="O62" s="34">
        <f t="shared" si="1"/>
        <v>334.66596696946505</v>
      </c>
      <c r="P62" s="55">
        <v>57</v>
      </c>
      <c r="Q62" s="33">
        <f t="shared" si="15"/>
        <v>16.900000000000006</v>
      </c>
      <c r="R62" s="33">
        <f t="shared" si="22"/>
        <v>395.20000000000005</v>
      </c>
      <c r="S62" s="33">
        <f t="shared" si="23"/>
        <v>181.79200000000003</v>
      </c>
      <c r="T62" s="33">
        <f t="shared" si="2"/>
        <v>45.720642997712531</v>
      </c>
      <c r="U62" s="33">
        <f t="shared" si="16"/>
        <v>70</v>
      </c>
      <c r="V62" s="33">
        <f t="shared" si="3"/>
        <v>10</v>
      </c>
      <c r="W62" s="33">
        <v>0</v>
      </c>
      <c r="X62" s="33">
        <f t="shared" si="4"/>
        <v>689.58451988768263</v>
      </c>
      <c r="Y62" s="38">
        <f t="shared" si="5"/>
        <v>354.91855291821759</v>
      </c>
      <c r="AA62" s="71">
        <v>57</v>
      </c>
      <c r="AB62" s="33">
        <f t="shared" si="6"/>
        <v>0</v>
      </c>
      <c r="AC62" s="304">
        <f t="shared" si="39"/>
        <v>0</v>
      </c>
      <c r="AD62" s="100">
        <f t="shared" si="8"/>
        <v>0</v>
      </c>
      <c r="AE62" s="100">
        <f t="shared" si="9"/>
        <v>0</v>
      </c>
      <c r="AF62" s="193">
        <f t="shared" si="34"/>
        <v>34.313832359296953</v>
      </c>
      <c r="AG62" s="193">
        <f t="shared" si="35"/>
        <v>38.036390333868368</v>
      </c>
      <c r="AH62" s="193">
        <f t="shared" si="36"/>
        <v>1.8997044198703072</v>
      </c>
      <c r="AI62" s="198">
        <f t="shared" si="37"/>
        <v>74.249927113035625</v>
      </c>
      <c r="AK62" s="71">
        <v>57</v>
      </c>
      <c r="AL62" s="33">
        <f t="shared" si="10"/>
        <v>0</v>
      </c>
      <c r="AM62" s="33">
        <f t="shared" si="11"/>
        <v>0</v>
      </c>
      <c r="AN62" s="33">
        <f t="shared" si="12"/>
        <v>0</v>
      </c>
      <c r="AO62" s="33">
        <f t="shared" si="13"/>
        <v>0</v>
      </c>
      <c r="AP62" s="33">
        <f t="shared" si="14"/>
        <v>0</v>
      </c>
      <c r="AQ62" s="193">
        <f t="shared" si="42"/>
        <v>0</v>
      </c>
      <c r="AR62" s="193">
        <f t="shared" si="42"/>
        <v>0</v>
      </c>
      <c r="AS62" s="193">
        <f t="shared" si="42"/>
        <v>0</v>
      </c>
      <c r="AT62" s="193">
        <f t="shared" si="42"/>
        <v>0</v>
      </c>
      <c r="AU62" s="33"/>
      <c r="AV62" s="33"/>
      <c r="AW62" s="33"/>
      <c r="AX62" s="33"/>
      <c r="AY62" s="76"/>
    </row>
    <row r="63" spans="2:51">
      <c r="B63" s="40"/>
      <c r="C63" s="151"/>
      <c r="D63" s="136"/>
      <c r="E63" s="140"/>
      <c r="F63" s="42"/>
      <c r="G63" s="51"/>
      <c r="I63" s="55">
        <v>58</v>
      </c>
      <c r="J63" s="33">
        <f t="shared" si="18"/>
        <v>18.270000000000007</v>
      </c>
      <c r="K63" s="33">
        <f t="shared" si="19"/>
        <v>6.0037727499306985</v>
      </c>
      <c r="L63" s="33">
        <f t="shared" si="20"/>
        <v>70</v>
      </c>
      <c r="M63" s="33">
        <f t="shared" si="21"/>
        <v>10</v>
      </c>
      <c r="N63" s="33">
        <f t="shared" si="0"/>
        <v>0</v>
      </c>
      <c r="O63" s="34">
        <f t="shared" si="1"/>
        <v>335.61015420612932</v>
      </c>
      <c r="P63" s="55">
        <v>58</v>
      </c>
      <c r="Q63" s="33">
        <f t="shared" si="15"/>
        <v>16.900000000000006</v>
      </c>
      <c r="R63" s="33">
        <f t="shared" si="22"/>
        <v>412.1</v>
      </c>
      <c r="S63" s="33">
        <f t="shared" si="23"/>
        <v>189.56600000000003</v>
      </c>
      <c r="T63" s="33">
        <f t="shared" si="2"/>
        <v>47.44398884653836</v>
      </c>
      <c r="U63" s="33">
        <f t="shared" si="16"/>
        <v>70</v>
      </c>
      <c r="V63" s="33">
        <f t="shared" si="3"/>
        <v>10</v>
      </c>
      <c r="W63" s="33">
        <v>0</v>
      </c>
      <c r="X63" s="33">
        <f t="shared" si="4"/>
        <v>706.1257305743876</v>
      </c>
      <c r="Y63" s="38">
        <f t="shared" si="5"/>
        <v>370.51557636825828</v>
      </c>
      <c r="AA63" s="71">
        <v>58</v>
      </c>
      <c r="AB63" s="33">
        <f t="shared" si="6"/>
        <v>0</v>
      </c>
      <c r="AC63" s="304">
        <f t="shared" si="39"/>
        <v>0</v>
      </c>
      <c r="AD63" s="100">
        <f t="shared" si="8"/>
        <v>0</v>
      </c>
      <c r="AE63" s="100">
        <f t="shared" si="9"/>
        <v>0</v>
      </c>
      <c r="AF63" s="193">
        <f t="shared" si="34"/>
        <v>33.640959036102274</v>
      </c>
      <c r="AG63" s="193">
        <f t="shared" si="35"/>
        <v>36.996283239941903</v>
      </c>
      <c r="AH63" s="193">
        <f t="shared" si="36"/>
        <v>1.3432938775403507</v>
      </c>
      <c r="AI63" s="198">
        <f t="shared" si="37"/>
        <v>71.980536153584524</v>
      </c>
      <c r="AK63" s="71">
        <v>58</v>
      </c>
      <c r="AL63" s="33">
        <f t="shared" si="10"/>
        <v>0</v>
      </c>
      <c r="AM63" s="33">
        <f t="shared" si="11"/>
        <v>0</v>
      </c>
      <c r="AN63" s="33">
        <f t="shared" si="12"/>
        <v>0</v>
      </c>
      <c r="AO63" s="33">
        <f t="shared" si="13"/>
        <v>0</v>
      </c>
      <c r="AP63" s="33">
        <f t="shared" si="14"/>
        <v>0</v>
      </c>
      <c r="AQ63" s="193">
        <f t="shared" si="42"/>
        <v>0</v>
      </c>
      <c r="AR63" s="193">
        <f t="shared" si="42"/>
        <v>0</v>
      </c>
      <c r="AS63" s="193">
        <f t="shared" si="42"/>
        <v>0</v>
      </c>
      <c r="AT63" s="193">
        <f t="shared" si="42"/>
        <v>0</v>
      </c>
      <c r="AU63" s="33"/>
      <c r="AV63" s="33"/>
      <c r="AW63" s="33"/>
      <c r="AX63" s="33"/>
      <c r="AY63" s="76"/>
    </row>
    <row r="64" spans="2:51">
      <c r="B64" s="40"/>
      <c r="C64" s="151"/>
      <c r="D64" s="136"/>
      <c r="E64" s="140"/>
      <c r="F64" s="42"/>
      <c r="G64" s="51"/>
      <c r="I64" s="55">
        <v>59</v>
      </c>
      <c r="J64" s="33">
        <f t="shared" si="18"/>
        <v>18.690000000000008</v>
      </c>
      <c r="K64" s="33">
        <f t="shared" si="19"/>
        <v>6.1255634615903167</v>
      </c>
      <c r="L64" s="33">
        <f t="shared" si="20"/>
        <v>70</v>
      </c>
      <c r="M64" s="33">
        <f t="shared" si="21"/>
        <v>10</v>
      </c>
      <c r="N64" s="33">
        <f t="shared" si="0"/>
        <v>0</v>
      </c>
      <c r="O64" s="34">
        <f t="shared" si="1"/>
        <v>336.55377302893652</v>
      </c>
      <c r="P64" s="55">
        <v>59</v>
      </c>
      <c r="Q64" s="33">
        <f t="shared" si="15"/>
        <v>16.900000000000006</v>
      </c>
      <c r="R64" s="33">
        <f t="shared" si="22"/>
        <v>429</v>
      </c>
      <c r="S64" s="33">
        <f t="shared" si="23"/>
        <v>197.34</v>
      </c>
      <c r="T64" s="33">
        <f t="shared" si="2"/>
        <v>49.159125474269977</v>
      </c>
      <c r="U64" s="33">
        <f t="shared" si="16"/>
        <v>70</v>
      </c>
      <c r="V64" s="33">
        <f t="shared" si="3"/>
        <v>10</v>
      </c>
      <c r="W64" s="33">
        <v>0</v>
      </c>
      <c r="X64" s="33">
        <f t="shared" si="4"/>
        <v>722.6526435343535</v>
      </c>
      <c r="Y64" s="38">
        <f t="shared" si="5"/>
        <v>386.09887050541698</v>
      </c>
      <c r="AA64" s="71">
        <v>59</v>
      </c>
      <c r="AB64" s="33">
        <f t="shared" si="6"/>
        <v>0</v>
      </c>
      <c r="AC64" s="304">
        <f t="shared" si="39"/>
        <v>0</v>
      </c>
      <c r="AD64" s="100">
        <f t="shared" si="8"/>
        <v>0</v>
      </c>
      <c r="AE64" s="100">
        <f t="shared" si="9"/>
        <v>0</v>
      </c>
      <c r="AF64" s="193">
        <f t="shared" si="34"/>
        <v>32.981280348363242</v>
      </c>
      <c r="AG64" s="193">
        <f t="shared" si="35"/>
        <v>35.984617929195714</v>
      </c>
      <c r="AH64" s="193">
        <f t="shared" si="36"/>
        <v>0.94985220993515374</v>
      </c>
      <c r="AI64" s="198">
        <f t="shared" si="37"/>
        <v>69.915750487494108</v>
      </c>
      <c r="AK64" s="71">
        <v>59</v>
      </c>
      <c r="AL64" s="33">
        <f t="shared" si="10"/>
        <v>0</v>
      </c>
      <c r="AM64" s="33">
        <f t="shared" si="11"/>
        <v>0</v>
      </c>
      <c r="AN64" s="33">
        <f t="shared" si="12"/>
        <v>0</v>
      </c>
      <c r="AO64" s="33">
        <f t="shared" si="13"/>
        <v>0</v>
      </c>
      <c r="AP64" s="33">
        <f t="shared" si="14"/>
        <v>0</v>
      </c>
      <c r="AQ64" s="193">
        <f t="shared" si="42"/>
        <v>0</v>
      </c>
      <c r="AR64" s="193">
        <f t="shared" si="42"/>
        <v>0</v>
      </c>
      <c r="AS64" s="193">
        <f t="shared" si="42"/>
        <v>0</v>
      </c>
      <c r="AT64" s="193">
        <f t="shared" si="42"/>
        <v>0</v>
      </c>
      <c r="AU64" s="33"/>
      <c r="AV64" s="33"/>
      <c r="AW64" s="33"/>
      <c r="AX64" s="33"/>
      <c r="AY64" s="76"/>
    </row>
    <row r="65" spans="2:51">
      <c r="B65" s="40"/>
      <c r="C65" s="151"/>
      <c r="D65" s="136"/>
      <c r="E65" s="140"/>
      <c r="F65" s="42"/>
      <c r="G65" s="51"/>
      <c r="I65" s="55">
        <v>60</v>
      </c>
      <c r="J65" s="33">
        <f t="shared" si="18"/>
        <v>19.11000000000001</v>
      </c>
      <c r="K65" s="33">
        <f t="shared" si="19"/>
        <v>6.2470359895716525</v>
      </c>
      <c r="L65" s="33">
        <f t="shared" si="20"/>
        <v>70</v>
      </c>
      <c r="M65" s="33">
        <f t="shared" si="21"/>
        <v>10</v>
      </c>
      <c r="N65" s="33">
        <f t="shared" si="0"/>
        <v>0</v>
      </c>
      <c r="O65" s="34">
        <f t="shared" si="1"/>
        <v>337.49683768183735</v>
      </c>
      <c r="P65" s="55">
        <v>60</v>
      </c>
      <c r="Q65" s="33">
        <f t="shared" si="15"/>
        <v>16.900000000000006</v>
      </c>
      <c r="R65" s="33">
        <f t="shared" si="22"/>
        <v>445.9</v>
      </c>
      <c r="S65" s="33">
        <f t="shared" si="23"/>
        <v>205.114</v>
      </c>
      <c r="T65" s="33">
        <f t="shared" si="2"/>
        <v>50.86641328088507</v>
      </c>
      <c r="U65" s="33">
        <f t="shared" si="16"/>
        <v>70</v>
      </c>
      <c r="V65" s="33">
        <f t="shared" si="3"/>
        <v>10</v>
      </c>
      <c r="W65" s="33">
        <v>0</v>
      </c>
      <c r="X65" s="33">
        <f t="shared" si="4"/>
        <v>739.16588646420814</v>
      </c>
      <c r="Y65" s="38">
        <f t="shared" si="5"/>
        <v>401.66904878237079</v>
      </c>
      <c r="AA65" s="71">
        <v>60</v>
      </c>
      <c r="AB65" s="33">
        <f t="shared" si="6"/>
        <v>0</v>
      </c>
      <c r="AC65" s="304">
        <f t="shared" si="39"/>
        <v>0</v>
      </c>
      <c r="AD65" s="100">
        <f t="shared" si="8"/>
        <v>0</v>
      </c>
      <c r="AE65" s="100">
        <f t="shared" si="9"/>
        <v>0</v>
      </c>
      <c r="AF65" s="193">
        <f t="shared" si="34"/>
        <v>32.334537557326506</v>
      </c>
      <c r="AG65" s="193">
        <f t="shared" si="35"/>
        <v>35.000616659573048</v>
      </c>
      <c r="AH65" s="193">
        <f t="shared" si="36"/>
        <v>0.67164693877017545</v>
      </c>
      <c r="AI65" s="198">
        <f t="shared" si="37"/>
        <v>68.006801155669734</v>
      </c>
      <c r="AK65" s="71">
        <v>60</v>
      </c>
      <c r="AL65" s="33">
        <f t="shared" si="10"/>
        <v>0</v>
      </c>
      <c r="AM65" s="33">
        <f t="shared" si="11"/>
        <v>0</v>
      </c>
      <c r="AN65" s="33">
        <f t="shared" si="12"/>
        <v>0</v>
      </c>
      <c r="AO65" s="33">
        <f t="shared" si="13"/>
        <v>0</v>
      </c>
      <c r="AP65" s="33">
        <f t="shared" si="14"/>
        <v>0</v>
      </c>
      <c r="AQ65" s="193">
        <f t="shared" si="42"/>
        <v>0</v>
      </c>
      <c r="AR65" s="193">
        <f t="shared" si="42"/>
        <v>0</v>
      </c>
      <c r="AS65" s="193">
        <f t="shared" si="42"/>
        <v>0</v>
      </c>
      <c r="AT65" s="193">
        <f t="shared" si="42"/>
        <v>0</v>
      </c>
      <c r="AU65" s="33"/>
      <c r="AV65" s="33"/>
      <c r="AW65" s="33"/>
      <c r="AX65" s="33"/>
      <c r="AY65" s="76"/>
    </row>
    <row r="66" spans="2:51">
      <c r="B66" s="40"/>
      <c r="C66" s="151"/>
      <c r="D66" s="136"/>
      <c r="E66" s="140"/>
      <c r="F66" s="42"/>
      <c r="G66" s="51"/>
      <c r="I66" s="55">
        <v>61</v>
      </c>
      <c r="J66" s="33">
        <f t="shared" si="18"/>
        <v>19.530000000000012</v>
      </c>
      <c r="K66" s="33">
        <f t="shared" si="19"/>
        <v>6.3681981322039647</v>
      </c>
      <c r="L66" s="33">
        <f t="shared" si="20"/>
        <v>70</v>
      </c>
      <c r="M66" s="33">
        <f t="shared" si="21"/>
        <v>10</v>
      </c>
      <c r="N66" s="33">
        <f t="shared" si="0"/>
        <v>0</v>
      </c>
      <c r="O66" s="34">
        <f t="shared" si="1"/>
        <v>338.43936174692197</v>
      </c>
      <c r="P66" s="55">
        <v>61</v>
      </c>
      <c r="Q66" s="33">
        <f t="shared" si="15"/>
        <v>-39</v>
      </c>
      <c r="R66" s="33">
        <f t="shared" si="22"/>
        <v>406.9</v>
      </c>
      <c r="S66" s="33">
        <f t="shared" si="23"/>
        <v>187.17400000000001</v>
      </c>
      <c r="T66" s="33">
        <f t="shared" si="2"/>
        <v>46.914620510858377</v>
      </c>
      <c r="U66" s="33">
        <f t="shared" si="16"/>
        <v>70</v>
      </c>
      <c r="V66" s="33">
        <f t="shared" si="3"/>
        <v>10</v>
      </c>
      <c r="W66" s="33">
        <v>0</v>
      </c>
      <c r="X66" s="33">
        <f t="shared" si="4"/>
        <v>701.03768072307832</v>
      </c>
      <c r="Y66" s="38">
        <f t="shared" si="5"/>
        <v>362.59831897615635</v>
      </c>
      <c r="AA66" s="71">
        <v>61</v>
      </c>
      <c r="AB66" s="33">
        <f t="shared" si="6"/>
        <v>30</v>
      </c>
      <c r="AC66" s="304">
        <f t="shared" si="39"/>
        <v>0.45</v>
      </c>
      <c r="AD66" s="100">
        <f t="shared" si="8"/>
        <v>5.5999999999999994E-2</v>
      </c>
      <c r="AE66" s="100">
        <f t="shared" si="9"/>
        <v>4.3999999999999991E-2</v>
      </c>
      <c r="AF66" s="193">
        <f t="shared" si="34"/>
        <v>42.409831846711256</v>
      </c>
      <c r="AG66" s="193">
        <f t="shared" si="35"/>
        <v>35.370995245605307</v>
      </c>
      <c r="AH66" s="193">
        <f t="shared" si="36"/>
        <v>1.368664991343068</v>
      </c>
      <c r="AI66" s="198">
        <f t="shared" si="37"/>
        <v>79.149492083659638</v>
      </c>
      <c r="AK66" s="71">
        <v>61</v>
      </c>
      <c r="AL66" s="33">
        <f t="shared" si="10"/>
        <v>30</v>
      </c>
      <c r="AM66" s="33">
        <f t="shared" si="11"/>
        <v>0.9</v>
      </c>
      <c r="AN66" s="33">
        <f t="shared" si="12"/>
        <v>5.5999999999999994E-2</v>
      </c>
      <c r="AO66" s="33">
        <f t="shared" si="13"/>
        <v>4.3999999999999991E-2</v>
      </c>
      <c r="AP66" s="33">
        <f t="shared" si="14"/>
        <v>0</v>
      </c>
      <c r="AQ66" s="193">
        <f t="shared" si="42"/>
        <v>27</v>
      </c>
      <c r="AR66" s="193">
        <f t="shared" si="42"/>
        <v>1.6799999999999997</v>
      </c>
      <c r="AS66" s="193">
        <f t="shared" si="42"/>
        <v>1.3199999999999996</v>
      </c>
      <c r="AT66" s="193">
        <f t="shared" si="42"/>
        <v>0</v>
      </c>
      <c r="AU66" s="33"/>
      <c r="AV66" s="33"/>
      <c r="AW66" s="33"/>
      <c r="AX66" s="33"/>
      <c r="AY66" s="76"/>
    </row>
    <row r="67" spans="2:51">
      <c r="B67" s="40"/>
      <c r="C67" s="151"/>
      <c r="D67" s="136"/>
      <c r="E67" s="140"/>
      <c r="F67" s="42"/>
      <c r="G67" s="51"/>
      <c r="I67" s="55">
        <v>62</v>
      </c>
      <c r="J67" s="33">
        <f t="shared" si="18"/>
        <v>19.950000000000014</v>
      </c>
      <c r="K67" s="33">
        <f t="shared" si="19"/>
        <v>6.4890573332452952</v>
      </c>
      <c r="L67" s="33">
        <f t="shared" si="20"/>
        <v>70</v>
      </c>
      <c r="M67" s="33">
        <f t="shared" si="21"/>
        <v>10</v>
      </c>
      <c r="N67" s="33">
        <f t="shared" si="0"/>
        <v>0</v>
      </c>
      <c r="O67" s="34">
        <f t="shared" si="1"/>
        <v>339.38135818873559</v>
      </c>
      <c r="P67" s="55">
        <v>62</v>
      </c>
      <c r="Q67" s="33">
        <f t="shared" si="15"/>
        <v>15.599999999999994</v>
      </c>
      <c r="R67" s="33">
        <f t="shared" si="22"/>
        <v>422.5</v>
      </c>
      <c r="S67" s="33">
        <f t="shared" si="23"/>
        <v>194.35</v>
      </c>
      <c r="T67" s="33">
        <f t="shared" si="2"/>
        <v>48.500405405690429</v>
      </c>
      <c r="U67" s="33">
        <f t="shared" si="16"/>
        <v>70</v>
      </c>
      <c r="V67" s="33">
        <f t="shared" si="3"/>
        <v>10</v>
      </c>
      <c r="W67" s="33">
        <v>0</v>
      </c>
      <c r="X67" s="33">
        <f t="shared" si="4"/>
        <v>716.29778941491077</v>
      </c>
      <c r="Y67" s="38">
        <f t="shared" si="5"/>
        <v>376.91643122617518</v>
      </c>
      <c r="AA67" s="71">
        <v>62</v>
      </c>
      <c r="AB67" s="33">
        <f t="shared" si="6"/>
        <v>0</v>
      </c>
      <c r="AC67" s="304">
        <f t="shared" si="39"/>
        <v>0</v>
      </c>
      <c r="AD67" s="100">
        <f t="shared" si="8"/>
        <v>0</v>
      </c>
      <c r="AE67" s="100">
        <f t="shared" si="9"/>
        <v>0</v>
      </c>
      <c r="AF67" s="193">
        <f t="shared" si="34"/>
        <v>41.578200911640479</v>
      </c>
      <c r="AG67" s="193">
        <f t="shared" si="35"/>
        <v>34.403773520534429</v>
      </c>
      <c r="AH67" s="193">
        <f t="shared" si="36"/>
        <v>0.96779229655131083</v>
      </c>
      <c r="AI67" s="198">
        <f t="shared" si="37"/>
        <v>76.949766728726217</v>
      </c>
      <c r="AK67" s="71">
        <v>62</v>
      </c>
      <c r="AL67" s="33">
        <f t="shared" si="10"/>
        <v>0</v>
      </c>
      <c r="AM67" s="33">
        <f t="shared" si="11"/>
        <v>0</v>
      </c>
      <c r="AN67" s="33">
        <f t="shared" si="12"/>
        <v>0</v>
      </c>
      <c r="AO67" s="33">
        <f t="shared" si="13"/>
        <v>0</v>
      </c>
      <c r="AP67" s="33">
        <f t="shared" si="14"/>
        <v>0</v>
      </c>
      <c r="AQ67" s="193">
        <f t="shared" si="42"/>
        <v>0</v>
      </c>
      <c r="AR67" s="193">
        <f t="shared" si="42"/>
        <v>0</v>
      </c>
      <c r="AS67" s="193">
        <f t="shared" si="42"/>
        <v>0</v>
      </c>
      <c r="AT67" s="193">
        <f t="shared" si="42"/>
        <v>0</v>
      </c>
      <c r="AU67" s="33"/>
      <c r="AV67" s="33"/>
      <c r="AW67" s="33"/>
      <c r="AX67" s="33"/>
      <c r="AY67" s="76"/>
    </row>
    <row r="68" spans="2:51">
      <c r="B68" s="40"/>
      <c r="C68" s="151"/>
      <c r="D68" s="136"/>
      <c r="E68" s="140"/>
      <c r="F68" s="42"/>
      <c r="G68" s="51"/>
      <c r="I68" s="55">
        <v>63</v>
      </c>
      <c r="J68" s="33">
        <f t="shared" si="18"/>
        <v>20.370000000000015</v>
      </c>
      <c r="K68" s="33">
        <f t="shared" si="19"/>
        <v>6.609620705123719</v>
      </c>
      <c r="L68" s="33">
        <f t="shared" si="20"/>
        <v>70</v>
      </c>
      <c r="M68" s="33">
        <f t="shared" si="21"/>
        <v>10</v>
      </c>
      <c r="N68" s="33">
        <f t="shared" si="0"/>
        <v>0</v>
      </c>
      <c r="O68" s="34">
        <f t="shared" si="1"/>
        <v>340.32283939475718</v>
      </c>
      <c r="P68" s="55">
        <v>63</v>
      </c>
      <c r="Q68" s="33">
        <f t="shared" si="15"/>
        <v>15.599999999999994</v>
      </c>
      <c r="R68" s="33">
        <f t="shared" si="22"/>
        <v>438.1</v>
      </c>
      <c r="S68" s="33">
        <f t="shared" si="23"/>
        <v>201.52600000000001</v>
      </c>
      <c r="T68" s="33">
        <f t="shared" si="2"/>
        <v>50.079387833316794</v>
      </c>
      <c r="U68" s="33">
        <f t="shared" si="16"/>
        <v>70</v>
      </c>
      <c r="V68" s="33">
        <f t="shared" si="3"/>
        <v>10</v>
      </c>
      <c r="W68" s="33">
        <v>0</v>
      </c>
      <c r="X68" s="33">
        <f t="shared" si="4"/>
        <v>731.54605047636016</v>
      </c>
      <c r="Y68" s="38">
        <f t="shared" si="5"/>
        <v>391.22321108160298</v>
      </c>
      <c r="AA68" s="71">
        <v>63</v>
      </c>
      <c r="AB68" s="33">
        <f t="shared" si="6"/>
        <v>0</v>
      </c>
      <c r="AC68" s="304">
        <f t="shared" si="39"/>
        <v>0</v>
      </c>
      <c r="AD68" s="100">
        <f t="shared" si="8"/>
        <v>0</v>
      </c>
      <c r="AE68" s="100">
        <f t="shared" si="9"/>
        <v>0</v>
      </c>
      <c r="AF68" s="193">
        <f t="shared" si="34"/>
        <v>40.762877751961653</v>
      </c>
      <c r="AG68" s="193">
        <f t="shared" si="35"/>
        <v>33.463000524399597</v>
      </c>
      <c r="AH68" s="193">
        <f t="shared" si="36"/>
        <v>0.68433249567153409</v>
      </c>
      <c r="AI68" s="198">
        <f t="shared" si="37"/>
        <v>74.910210772032784</v>
      </c>
      <c r="AK68" s="71">
        <v>63</v>
      </c>
      <c r="AL68" s="33">
        <f t="shared" si="10"/>
        <v>0</v>
      </c>
      <c r="AM68" s="33">
        <f t="shared" si="11"/>
        <v>0</v>
      </c>
      <c r="AN68" s="33">
        <f t="shared" si="12"/>
        <v>0</v>
      </c>
      <c r="AO68" s="33">
        <f t="shared" si="13"/>
        <v>0</v>
      </c>
      <c r="AP68" s="33">
        <f t="shared" si="14"/>
        <v>0</v>
      </c>
      <c r="AQ68" s="193">
        <f t="shared" si="42"/>
        <v>0</v>
      </c>
      <c r="AR68" s="193">
        <f t="shared" si="42"/>
        <v>0</v>
      </c>
      <c r="AS68" s="193">
        <f t="shared" si="42"/>
        <v>0</v>
      </c>
      <c r="AT68" s="193">
        <f t="shared" si="42"/>
        <v>0</v>
      </c>
      <c r="AU68" s="33"/>
      <c r="AV68" s="33"/>
      <c r="AW68" s="33"/>
      <c r="AX68" s="33"/>
      <c r="AY68" s="76"/>
    </row>
    <row r="69" spans="2:51">
      <c r="B69" s="40"/>
      <c r="C69" s="151"/>
      <c r="D69" s="136"/>
      <c r="E69" s="140"/>
      <c r="F69" s="42"/>
      <c r="G69" s="51"/>
      <c r="I69" s="55">
        <v>64</v>
      </c>
      <c r="J69" s="33">
        <f t="shared" si="18"/>
        <v>20.790000000000017</v>
      </c>
      <c r="K69" s="33">
        <f t="shared" si="19"/>
        <v>6.7298950502076895</v>
      </c>
      <c r="L69" s="33">
        <f t="shared" si="20"/>
        <v>70</v>
      </c>
      <c r="M69" s="33">
        <f t="shared" si="21"/>
        <v>10</v>
      </c>
      <c r="N69" s="33">
        <f t="shared" ref="N69:N132" si="43">IF(P70&lt;=$F$18,0,)</f>
        <v>0</v>
      </c>
      <c r="O69" s="34">
        <f t="shared" ref="O69:O132" si="44">((J69+K69)*0.475+L69+M69+N69)*44/12</f>
        <v>341.26381721244508</v>
      </c>
      <c r="P69" s="55">
        <v>64</v>
      </c>
      <c r="Q69" s="33">
        <f t="shared" si="15"/>
        <v>15.599999999999994</v>
      </c>
      <c r="R69" s="33">
        <f t="shared" si="22"/>
        <v>453.70000000000005</v>
      </c>
      <c r="S69" s="33">
        <f t="shared" si="23"/>
        <v>208.70200000000003</v>
      </c>
      <c r="T69" s="33">
        <f t="shared" ref="T69:T132" si="45">IF(S69=0,0,EXP(-1.0587+0.8836*LN(S69)+0.284))</f>
        <v>51.651837769371248</v>
      </c>
      <c r="U69" s="33">
        <f t="shared" si="16"/>
        <v>70</v>
      </c>
      <c r="V69" s="33">
        <f t="shared" ref="V69:V132" si="46">IF(P69&lt;=$F$18,IF(P69&lt;=30,P69*($F$16-$F$6)/30,$F$16-$F$6),)</f>
        <v>10</v>
      </c>
      <c r="W69" s="33">
        <v>0</v>
      </c>
      <c r="X69" s="33">
        <f t="shared" ref="X69:X132" si="47">((S69+T69)*0.475+U69+V69+W69)*44/12</f>
        <v>746.78293411498817</v>
      </c>
      <c r="Y69" s="38">
        <f t="shared" ref="Y69:Y132" si="48">IF(P69&lt;=$F$18,X69-O69,)</f>
        <v>405.51911690254309</v>
      </c>
      <c r="AA69" s="71">
        <v>64</v>
      </c>
      <c r="AB69" s="33">
        <f t="shared" ref="AB69:AB132" si="49">IF(AA69&lt;=$F$18,IFERROR(VLOOKUP($AA69,$B$82:$G$94,2,FALSE),0),)</f>
        <v>0</v>
      </c>
      <c r="AC69" s="304">
        <f t="shared" si="39"/>
        <v>0</v>
      </c>
      <c r="AD69" s="100">
        <f t="shared" ref="AD69:AD132" si="50">IF(AA69&lt;=$F$18,IFERROR(VLOOKUP($AA69,$B$82:$G$94,4,FALSE),0),)</f>
        <v>0</v>
      </c>
      <c r="AE69" s="100">
        <f t="shared" ref="AE69:AE132" si="51">IF(AA69&lt;=$F$18,IFERROR(VLOOKUP($AA69,$B$82:$G$94,5,FALSE),0),)</f>
        <v>0</v>
      </c>
      <c r="AF69" s="193">
        <f t="shared" si="34"/>
        <v>39.963542582146104</v>
      </c>
      <c r="AG69" s="193">
        <f t="shared" si="35"/>
        <v>32.547953015317169</v>
      </c>
      <c r="AH69" s="193">
        <f t="shared" si="36"/>
        <v>0.48389614827565547</v>
      </c>
      <c r="AI69" s="198">
        <f t="shared" si="37"/>
        <v>72.995391745738928</v>
      </c>
      <c r="AK69" s="71">
        <v>64</v>
      </c>
      <c r="AL69" s="33">
        <f t="shared" ref="AL69:AL132" si="52">IF(AK69&lt;=$F$18,IFERROR(VLOOKUP($AA69,$B$82:$G$94,2,FALSE),0),)</f>
        <v>0</v>
      </c>
      <c r="AM69" s="33">
        <f t="shared" ref="AM69:AM132" si="53">IF(AK69&lt;=$F$18,IFERROR(VLOOKUP($AA69,$B$82:$G$94,3,FALSE),0),)</f>
        <v>0</v>
      </c>
      <c r="AN69" s="33">
        <f t="shared" ref="AN69:AN132" si="54">IF(AK69&lt;=$F$18,IFERROR(VLOOKUP($AA69,$B$82:$G$94,4,FALSE),0),)</f>
        <v>0</v>
      </c>
      <c r="AO69" s="33">
        <f t="shared" ref="AO69:AO132" si="55">IF(AK69&lt;=$F$18,IFERROR(VLOOKUP($AA69,$B$82:$G$94,5,FALSE),0),)</f>
        <v>0</v>
      </c>
      <c r="AP69" s="33">
        <f t="shared" ref="AP69:AP132" si="56">IF(AK69&lt;=$F$18,IFERROR(VLOOKUP($AA69,$B$82:$G$94,6,FALSE),0),)</f>
        <v>0</v>
      </c>
      <c r="AQ69" s="193">
        <f t="shared" si="42"/>
        <v>0</v>
      </c>
      <c r="AR69" s="193">
        <f t="shared" si="42"/>
        <v>0</v>
      </c>
      <c r="AS69" s="193">
        <f t="shared" si="42"/>
        <v>0</v>
      </c>
      <c r="AT69" s="193">
        <f t="shared" si="42"/>
        <v>0</v>
      </c>
      <c r="AU69" s="33"/>
      <c r="AV69" s="33"/>
      <c r="AW69" s="33"/>
      <c r="AX69" s="33"/>
      <c r="AY69" s="76"/>
    </row>
    <row r="70" spans="2:51">
      <c r="B70" s="40"/>
      <c r="C70" s="151"/>
      <c r="D70" s="136"/>
      <c r="E70" s="140"/>
      <c r="F70" s="42"/>
      <c r="G70" s="51"/>
      <c r="I70" s="55">
        <v>65</v>
      </c>
      <c r="J70" s="33">
        <f t="shared" si="18"/>
        <v>21.210000000000019</v>
      </c>
      <c r="K70" s="33">
        <f t="shared" si="19"/>
        <v>6.8498868803090076</v>
      </c>
      <c r="L70" s="33">
        <f t="shared" si="20"/>
        <v>70</v>
      </c>
      <c r="M70" s="33">
        <f t="shared" si="21"/>
        <v>10</v>
      </c>
      <c r="N70" s="33">
        <f t="shared" si="43"/>
        <v>0</v>
      </c>
      <c r="O70" s="34">
        <f t="shared" si="44"/>
        <v>342.20430298320485</v>
      </c>
      <c r="P70" s="55">
        <v>65</v>
      </c>
      <c r="Q70" s="33">
        <f t="shared" ref="Q70:Q133" si="57">IF(P70&lt;=$F$18,LOOKUP(P70-1,$B$25:$B$78,$G$25:$G$78),)</f>
        <v>15.599999999999994</v>
      </c>
      <c r="R70" s="33">
        <f t="shared" si="22"/>
        <v>469.30000000000007</v>
      </c>
      <c r="S70" s="33">
        <f t="shared" si="23"/>
        <v>215.87800000000004</v>
      </c>
      <c r="T70" s="33">
        <f t="shared" si="45"/>
        <v>53.218005570801431</v>
      </c>
      <c r="U70" s="33">
        <f t="shared" ref="U70:U133" si="58">IF(P70&lt;=$F$18,$F$5+($F$15-$F$5)*(1-EXP(-0.0175*P70)),)</f>
        <v>70</v>
      </c>
      <c r="V70" s="33">
        <f t="shared" si="46"/>
        <v>10</v>
      </c>
      <c r="W70" s="33">
        <v>0</v>
      </c>
      <c r="X70" s="33">
        <f t="shared" si="47"/>
        <v>762.00887636914592</v>
      </c>
      <c r="Y70" s="38">
        <f t="shared" si="48"/>
        <v>419.80457338594107</v>
      </c>
      <c r="AA70" s="71">
        <v>65</v>
      </c>
      <c r="AB70" s="33">
        <f t="shared" si="49"/>
        <v>0</v>
      </c>
      <c r="AC70" s="304">
        <f t="shared" si="39"/>
        <v>0</v>
      </c>
      <c r="AD70" s="100">
        <f t="shared" si="50"/>
        <v>0</v>
      </c>
      <c r="AE70" s="100">
        <f t="shared" si="51"/>
        <v>0</v>
      </c>
      <c r="AF70" s="193">
        <f t="shared" si="34"/>
        <v>39.179881887464326</v>
      </c>
      <c r="AG70" s="193">
        <f t="shared" si="35"/>
        <v>31.657927528490863</v>
      </c>
      <c r="AH70" s="193">
        <f t="shared" si="36"/>
        <v>0.3421662478357671</v>
      </c>
      <c r="AI70" s="198">
        <f t="shared" si="37"/>
        <v>71.179975663790955</v>
      </c>
      <c r="AK70" s="71">
        <v>65</v>
      </c>
      <c r="AL70" s="33">
        <f t="shared" si="52"/>
        <v>0</v>
      </c>
      <c r="AM70" s="33">
        <f t="shared" si="53"/>
        <v>0</v>
      </c>
      <c r="AN70" s="33">
        <f t="shared" si="54"/>
        <v>0</v>
      </c>
      <c r="AO70" s="33">
        <f t="shared" si="55"/>
        <v>0</v>
      </c>
      <c r="AP70" s="33">
        <f t="shared" si="56"/>
        <v>0</v>
      </c>
      <c r="AQ70" s="193">
        <f t="shared" si="42"/>
        <v>0</v>
      </c>
      <c r="AR70" s="193">
        <f t="shared" si="42"/>
        <v>0</v>
      </c>
      <c r="AS70" s="193">
        <f t="shared" si="42"/>
        <v>0</v>
      </c>
      <c r="AT70" s="193">
        <f t="shared" si="42"/>
        <v>0</v>
      </c>
      <c r="AU70" s="33"/>
      <c r="AV70" s="33"/>
      <c r="AW70" s="33"/>
      <c r="AX70" s="33"/>
      <c r="AY70" s="76"/>
    </row>
    <row r="71" spans="2:51">
      <c r="B71" s="40"/>
      <c r="C71" s="151"/>
      <c r="D71" s="136"/>
      <c r="E71" s="140"/>
      <c r="F71" s="42"/>
      <c r="G71" s="51"/>
      <c r="I71" s="55">
        <v>66</v>
      </c>
      <c r="J71" s="33">
        <f t="shared" ref="J71:J134" si="59">IF($I71&lt;=$F$10,$F$11*$F$13+J70,)</f>
        <v>21.63000000000002</v>
      </c>
      <c r="K71" s="33">
        <f t="shared" ref="K71:K134" si="60">IF(J71=0,0,EXP(-1.0587+0.8836*LN(J71)+0.284))</f>
        <v>6.9696024345973786</v>
      </c>
      <c r="L71" s="33">
        <f t="shared" ref="L71:L134" si="61">IF(I71&lt;=$F$10,$F$5+($F$8-$F$5)*(1-EXP(-0.0175*I71)),)</f>
        <v>70</v>
      </c>
      <c r="M71" s="33">
        <f t="shared" ref="M71:M134" si="62">IF(I71&lt;=$F$10,IF(I71&lt;=30,I71*($F$9-$F$6)/30,$F$9-$F$6),)</f>
        <v>10</v>
      </c>
      <c r="N71" s="33">
        <f t="shared" si="43"/>
        <v>0</v>
      </c>
      <c r="O71" s="34">
        <f t="shared" si="44"/>
        <v>343.14430757359042</v>
      </c>
      <c r="P71" s="55">
        <v>66</v>
      </c>
      <c r="Q71" s="33">
        <f t="shared" si="57"/>
        <v>-36.399999999999977</v>
      </c>
      <c r="R71" s="33">
        <f t="shared" ref="R71:R134" si="63">IF(P71&lt;=$F$18,Q71+R70,)</f>
        <v>432.90000000000009</v>
      </c>
      <c r="S71" s="33">
        <f t="shared" ref="S71:S134" si="64">$F$19*R71</f>
        <v>199.13400000000004</v>
      </c>
      <c r="T71" s="33">
        <f t="shared" si="45"/>
        <v>49.553799097205186</v>
      </c>
      <c r="U71" s="33">
        <f t="shared" si="58"/>
        <v>70</v>
      </c>
      <c r="V71" s="33">
        <f t="shared" si="46"/>
        <v>10</v>
      </c>
      <c r="W71" s="33">
        <v>0</v>
      </c>
      <c r="X71" s="33">
        <f t="shared" si="47"/>
        <v>726.46458342763242</v>
      </c>
      <c r="Y71" s="38">
        <f t="shared" si="48"/>
        <v>383.32027585404199</v>
      </c>
      <c r="AA71" s="71">
        <v>66</v>
      </c>
      <c r="AB71" s="33">
        <f t="shared" si="49"/>
        <v>28</v>
      </c>
      <c r="AC71" s="304">
        <f t="shared" si="39"/>
        <v>0.45</v>
      </c>
      <c r="AD71" s="100">
        <f t="shared" si="50"/>
        <v>5.5999999999999994E-2</v>
      </c>
      <c r="AE71" s="100">
        <f t="shared" si="51"/>
        <v>4.3999999999999991E-2</v>
      </c>
      <c r="AF71" s="193">
        <f t="shared" si="34"/>
        <v>48.406986159865284</v>
      </c>
      <c r="AG71" s="193">
        <f t="shared" si="35"/>
        <v>32.031213971984236</v>
      </c>
      <c r="AH71" s="193">
        <f t="shared" si="36"/>
        <v>1.076104368088286</v>
      </c>
      <c r="AI71" s="198">
        <f t="shared" si="37"/>
        <v>81.514304499937808</v>
      </c>
      <c r="AK71" s="71">
        <v>66</v>
      </c>
      <c r="AL71" s="33">
        <f t="shared" si="52"/>
        <v>28</v>
      </c>
      <c r="AM71" s="33">
        <f t="shared" si="53"/>
        <v>0.9</v>
      </c>
      <c r="AN71" s="33">
        <f t="shared" si="54"/>
        <v>5.5999999999999994E-2</v>
      </c>
      <c r="AO71" s="33">
        <f t="shared" si="55"/>
        <v>4.3999999999999991E-2</v>
      </c>
      <c r="AP71" s="33">
        <f t="shared" si="56"/>
        <v>0</v>
      </c>
      <c r="AQ71" s="193">
        <f t="shared" si="42"/>
        <v>25.2</v>
      </c>
      <c r="AR71" s="193">
        <f t="shared" si="42"/>
        <v>1.5679999999999998</v>
      </c>
      <c r="AS71" s="193">
        <f t="shared" si="42"/>
        <v>1.2319999999999998</v>
      </c>
      <c r="AT71" s="193">
        <f t="shared" si="42"/>
        <v>0</v>
      </c>
      <c r="AU71" s="33"/>
      <c r="AV71" s="33"/>
      <c r="AW71" s="33"/>
      <c r="AX71" s="33"/>
      <c r="AY71" s="76"/>
    </row>
    <row r="72" spans="2:51">
      <c r="B72" s="40"/>
      <c r="C72" s="151"/>
      <c r="D72" s="136"/>
      <c r="E72" s="140"/>
      <c r="F72" s="42"/>
      <c r="G72" s="51"/>
      <c r="I72" s="55">
        <v>67</v>
      </c>
      <c r="J72" s="33">
        <f t="shared" si="59"/>
        <v>22.050000000000022</v>
      </c>
      <c r="K72" s="33">
        <f t="shared" si="60"/>
        <v>7.0890476960841928</v>
      </c>
      <c r="L72" s="33">
        <f t="shared" si="61"/>
        <v>70</v>
      </c>
      <c r="M72" s="33">
        <f t="shared" si="62"/>
        <v>10</v>
      </c>
      <c r="N72" s="33">
        <f t="shared" si="43"/>
        <v>0</v>
      </c>
      <c r="O72" s="34">
        <f t="shared" si="44"/>
        <v>344.08384140401336</v>
      </c>
      <c r="P72" s="55">
        <v>67</v>
      </c>
      <c r="Q72" s="33">
        <f t="shared" si="57"/>
        <v>14.949999999999989</v>
      </c>
      <c r="R72" s="33">
        <f t="shared" si="63"/>
        <v>447.85000000000008</v>
      </c>
      <c r="S72" s="33">
        <f t="shared" si="64"/>
        <v>206.01100000000005</v>
      </c>
      <c r="T72" s="33">
        <f t="shared" si="45"/>
        <v>51.062918274403721</v>
      </c>
      <c r="U72" s="33">
        <f t="shared" si="58"/>
        <v>70</v>
      </c>
      <c r="V72" s="33">
        <f t="shared" si="46"/>
        <v>10</v>
      </c>
      <c r="W72" s="33">
        <v>0</v>
      </c>
      <c r="X72" s="33">
        <f t="shared" si="47"/>
        <v>741.07040766125328</v>
      </c>
      <c r="Y72" s="38">
        <f t="shared" si="48"/>
        <v>396.98656625723993</v>
      </c>
      <c r="AA72" s="71">
        <v>67</v>
      </c>
      <c r="AB72" s="33">
        <f t="shared" si="49"/>
        <v>0</v>
      </c>
      <c r="AC72" s="304">
        <f t="shared" si="39"/>
        <v>0</v>
      </c>
      <c r="AD72" s="100">
        <f t="shared" si="50"/>
        <v>0</v>
      </c>
      <c r="AE72" s="100">
        <f t="shared" si="51"/>
        <v>0</v>
      </c>
      <c r="AF72" s="193">
        <f t="shared" si="34"/>
        <v>47.457754686616497</v>
      </c>
      <c r="AG72" s="193">
        <f t="shared" si="35"/>
        <v>31.155318741471994</v>
      </c>
      <c r="AH72" s="193">
        <f t="shared" si="36"/>
        <v>0.76092069593969169</v>
      </c>
      <c r="AI72" s="198">
        <f t="shared" si="37"/>
        <v>79.373994124028172</v>
      </c>
      <c r="AK72" s="71">
        <v>67</v>
      </c>
      <c r="AL72" s="33">
        <f t="shared" si="52"/>
        <v>0</v>
      </c>
      <c r="AM72" s="33">
        <f t="shared" si="53"/>
        <v>0</v>
      </c>
      <c r="AN72" s="33">
        <f t="shared" si="54"/>
        <v>0</v>
      </c>
      <c r="AO72" s="33">
        <f t="shared" si="55"/>
        <v>0</v>
      </c>
      <c r="AP72" s="33">
        <f t="shared" si="56"/>
        <v>0</v>
      </c>
      <c r="AQ72" s="193">
        <f t="shared" si="42"/>
        <v>0</v>
      </c>
      <c r="AR72" s="193">
        <f t="shared" si="42"/>
        <v>0</v>
      </c>
      <c r="AS72" s="193">
        <f t="shared" si="42"/>
        <v>0</v>
      </c>
      <c r="AT72" s="193">
        <f t="shared" si="42"/>
        <v>0</v>
      </c>
      <c r="AU72" s="33"/>
      <c r="AV72" s="33"/>
      <c r="AW72" s="33"/>
      <c r="AX72" s="33"/>
      <c r="AY72" s="76"/>
    </row>
    <row r="73" spans="2:51">
      <c r="B73" s="40"/>
      <c r="C73" s="151"/>
      <c r="D73" s="136"/>
      <c r="E73" s="140"/>
      <c r="F73" s="42"/>
      <c r="G73" s="51"/>
      <c r="I73" s="55">
        <v>68</v>
      </c>
      <c r="J73" s="33">
        <f t="shared" si="59"/>
        <v>22.470000000000024</v>
      </c>
      <c r="K73" s="33">
        <f t="shared" si="60"/>
        <v>7.208228406814932</v>
      </c>
      <c r="L73" s="33">
        <f t="shared" si="61"/>
        <v>70</v>
      </c>
      <c r="M73" s="33">
        <f t="shared" si="62"/>
        <v>10</v>
      </c>
      <c r="N73" s="33">
        <f t="shared" si="43"/>
        <v>0</v>
      </c>
      <c r="O73" s="34">
        <f t="shared" si="44"/>
        <v>345.0229144752027</v>
      </c>
      <c r="P73" s="55">
        <v>68</v>
      </c>
      <c r="Q73" s="33">
        <f t="shared" si="57"/>
        <v>14.949999999999989</v>
      </c>
      <c r="R73" s="33">
        <f t="shared" si="63"/>
        <v>462.80000000000007</v>
      </c>
      <c r="S73" s="33">
        <f t="shared" si="64"/>
        <v>212.88800000000003</v>
      </c>
      <c r="T73" s="33">
        <f t="shared" si="45"/>
        <v>52.566183800007245</v>
      </c>
      <c r="U73" s="33">
        <f t="shared" si="58"/>
        <v>70</v>
      </c>
      <c r="V73" s="33">
        <f t="shared" si="46"/>
        <v>10</v>
      </c>
      <c r="W73" s="33">
        <v>0</v>
      </c>
      <c r="X73" s="33">
        <f t="shared" si="47"/>
        <v>755.66603678501269</v>
      </c>
      <c r="Y73" s="38">
        <f t="shared" si="48"/>
        <v>410.64312230981</v>
      </c>
      <c r="AA73" s="71">
        <v>68</v>
      </c>
      <c r="AB73" s="33">
        <f t="shared" si="49"/>
        <v>0</v>
      </c>
      <c r="AC73" s="304">
        <f t="shared" si="39"/>
        <v>0</v>
      </c>
      <c r="AD73" s="100">
        <f t="shared" si="50"/>
        <v>0</v>
      </c>
      <c r="AE73" s="100">
        <f t="shared" si="51"/>
        <v>0</v>
      </c>
      <c r="AF73" s="193">
        <f t="shared" si="34"/>
        <v>46.527137063584092</v>
      </c>
      <c r="AG73" s="193">
        <f t="shared" si="35"/>
        <v>30.303374912099436</v>
      </c>
      <c r="AH73" s="193">
        <f t="shared" si="36"/>
        <v>0.53805218404414312</v>
      </c>
      <c r="AI73" s="198">
        <f t="shared" si="37"/>
        <v>77.368564159727669</v>
      </c>
      <c r="AK73" s="71">
        <v>68</v>
      </c>
      <c r="AL73" s="33">
        <f t="shared" si="52"/>
        <v>0</v>
      </c>
      <c r="AM73" s="33">
        <f t="shared" si="53"/>
        <v>0</v>
      </c>
      <c r="AN73" s="33">
        <f t="shared" si="54"/>
        <v>0</v>
      </c>
      <c r="AO73" s="33">
        <f t="shared" si="55"/>
        <v>0</v>
      </c>
      <c r="AP73" s="33">
        <f t="shared" si="56"/>
        <v>0</v>
      </c>
      <c r="AQ73" s="193">
        <f t="shared" si="42"/>
        <v>0</v>
      </c>
      <c r="AR73" s="193">
        <f t="shared" si="42"/>
        <v>0</v>
      </c>
      <c r="AS73" s="193">
        <f t="shared" si="42"/>
        <v>0</v>
      </c>
      <c r="AT73" s="193">
        <f t="shared" si="42"/>
        <v>0</v>
      </c>
      <c r="AU73" s="33"/>
      <c r="AV73" s="33"/>
      <c r="AW73" s="33"/>
      <c r="AX73" s="33"/>
      <c r="AY73" s="76"/>
    </row>
    <row r="74" spans="2:51">
      <c r="B74" s="40"/>
      <c r="C74" s="151"/>
      <c r="D74" s="136"/>
      <c r="E74" s="140"/>
      <c r="F74" s="42"/>
      <c r="G74" s="51"/>
      <c r="I74" s="55">
        <v>69</v>
      </c>
      <c r="J74" s="33">
        <f t="shared" si="59"/>
        <v>22.890000000000025</v>
      </c>
      <c r="K74" s="33">
        <f t="shared" si="60"/>
        <v>7.3271500818935387</v>
      </c>
      <c r="L74" s="33">
        <f t="shared" si="61"/>
        <v>70</v>
      </c>
      <c r="M74" s="33">
        <f t="shared" si="62"/>
        <v>10</v>
      </c>
      <c r="N74" s="33">
        <f t="shared" si="43"/>
        <v>0</v>
      </c>
      <c r="O74" s="34">
        <f t="shared" si="44"/>
        <v>345.96153639263122</v>
      </c>
      <c r="P74" s="55">
        <v>69</v>
      </c>
      <c r="Q74" s="33">
        <f t="shared" si="57"/>
        <v>14.949999999999989</v>
      </c>
      <c r="R74" s="33">
        <f t="shared" si="63"/>
        <v>477.75000000000006</v>
      </c>
      <c r="S74" s="33">
        <f t="shared" si="64"/>
        <v>219.76500000000004</v>
      </c>
      <c r="T74" s="33">
        <f t="shared" si="45"/>
        <v>54.063806455114872</v>
      </c>
      <c r="U74" s="33">
        <f t="shared" si="58"/>
        <v>70</v>
      </c>
      <c r="V74" s="33">
        <f t="shared" si="46"/>
        <v>10</v>
      </c>
      <c r="W74" s="33">
        <v>0</v>
      </c>
      <c r="X74" s="33">
        <f t="shared" si="47"/>
        <v>770.25183790932499</v>
      </c>
      <c r="Y74" s="38">
        <f t="shared" si="48"/>
        <v>424.29030151669377</v>
      </c>
      <c r="AA74" s="71">
        <v>69</v>
      </c>
      <c r="AB74" s="33">
        <f t="shared" si="49"/>
        <v>0</v>
      </c>
      <c r="AC74" s="304">
        <f t="shared" si="39"/>
        <v>0</v>
      </c>
      <c r="AD74" s="100">
        <f t="shared" si="50"/>
        <v>0</v>
      </c>
      <c r="AE74" s="100">
        <f t="shared" si="51"/>
        <v>0</v>
      </c>
      <c r="AF74" s="193">
        <f t="shared" si="34"/>
        <v>45.614768284518647</v>
      </c>
      <c r="AG74" s="193">
        <f t="shared" si="35"/>
        <v>29.47472753154285</v>
      </c>
      <c r="AH74" s="193">
        <f t="shared" si="36"/>
        <v>0.38046034796984596</v>
      </c>
      <c r="AI74" s="198">
        <f t="shared" si="37"/>
        <v>75.469956164031345</v>
      </c>
      <c r="AK74" s="71">
        <v>69</v>
      </c>
      <c r="AL74" s="33">
        <f t="shared" si="52"/>
        <v>0</v>
      </c>
      <c r="AM74" s="33">
        <f t="shared" si="53"/>
        <v>0</v>
      </c>
      <c r="AN74" s="33">
        <f t="shared" si="54"/>
        <v>0</v>
      </c>
      <c r="AO74" s="33">
        <f t="shared" si="55"/>
        <v>0</v>
      </c>
      <c r="AP74" s="33">
        <f t="shared" si="56"/>
        <v>0</v>
      </c>
      <c r="AQ74" s="193">
        <f t="shared" si="42"/>
        <v>0</v>
      </c>
      <c r="AR74" s="193">
        <f t="shared" si="42"/>
        <v>0</v>
      </c>
      <c r="AS74" s="193">
        <f t="shared" si="42"/>
        <v>0</v>
      </c>
      <c r="AT74" s="193">
        <f t="shared" si="42"/>
        <v>0</v>
      </c>
      <c r="AU74" s="33"/>
      <c r="AV74" s="33"/>
      <c r="AW74" s="33"/>
      <c r="AX74" s="33"/>
      <c r="AY74" s="76"/>
    </row>
    <row r="75" spans="2:51">
      <c r="B75" s="40"/>
      <c r="C75" s="151"/>
      <c r="D75" s="136"/>
      <c r="E75" s="140"/>
      <c r="F75" s="42"/>
      <c r="G75" s="51"/>
      <c r="I75" s="55">
        <v>70</v>
      </c>
      <c r="J75" s="33">
        <f t="shared" si="59"/>
        <v>23.310000000000027</v>
      </c>
      <c r="K75" s="33">
        <f t="shared" si="60"/>
        <v>7.4458180224483508</v>
      </c>
      <c r="L75" s="33">
        <f t="shared" si="61"/>
        <v>70</v>
      </c>
      <c r="M75" s="33">
        <f t="shared" si="62"/>
        <v>10</v>
      </c>
      <c r="N75" s="33">
        <f t="shared" si="43"/>
        <v>0</v>
      </c>
      <c r="O75" s="34">
        <f t="shared" si="44"/>
        <v>346.89971638909759</v>
      </c>
      <c r="P75" s="55">
        <v>70</v>
      </c>
      <c r="Q75" s="33">
        <f t="shared" si="57"/>
        <v>14.949999999999989</v>
      </c>
      <c r="R75" s="33">
        <f t="shared" si="63"/>
        <v>492.70000000000005</v>
      </c>
      <c r="S75" s="33">
        <f t="shared" si="64"/>
        <v>226.64200000000002</v>
      </c>
      <c r="T75" s="33">
        <f t="shared" si="45"/>
        <v>55.555983079812862</v>
      </c>
      <c r="U75" s="33">
        <f t="shared" si="58"/>
        <v>70</v>
      </c>
      <c r="V75" s="33">
        <f t="shared" si="46"/>
        <v>10</v>
      </c>
      <c r="W75" s="33">
        <v>0</v>
      </c>
      <c r="X75" s="33">
        <f t="shared" si="47"/>
        <v>784.8281538640075</v>
      </c>
      <c r="Y75" s="38">
        <f t="shared" si="48"/>
        <v>437.92843747490991</v>
      </c>
      <c r="AA75" s="71">
        <v>70</v>
      </c>
      <c r="AB75" s="33">
        <f t="shared" si="49"/>
        <v>0</v>
      </c>
      <c r="AC75" s="304">
        <f t="shared" si="39"/>
        <v>0</v>
      </c>
      <c r="AD75" s="100">
        <f t="shared" si="50"/>
        <v>0</v>
      </c>
      <c r="AE75" s="100">
        <f t="shared" si="51"/>
        <v>0</v>
      </c>
      <c r="AF75" s="193">
        <f t="shared" si="34"/>
        <v>44.720290500720672</v>
      </c>
      <c r="AG75" s="193">
        <f t="shared" si="35"/>
        <v>28.668739557184256</v>
      </c>
      <c r="AH75" s="193">
        <f t="shared" si="36"/>
        <v>0.26902609202207162</v>
      </c>
      <c r="AI75" s="198">
        <f t="shared" si="37"/>
        <v>73.658056149927006</v>
      </c>
      <c r="AK75" s="71">
        <v>70</v>
      </c>
      <c r="AL75" s="33">
        <f t="shared" si="52"/>
        <v>0</v>
      </c>
      <c r="AM75" s="33">
        <f t="shared" si="53"/>
        <v>0</v>
      </c>
      <c r="AN75" s="33">
        <f t="shared" si="54"/>
        <v>0</v>
      </c>
      <c r="AO75" s="33">
        <f t="shared" si="55"/>
        <v>0</v>
      </c>
      <c r="AP75" s="33">
        <f t="shared" si="56"/>
        <v>0</v>
      </c>
      <c r="AQ75" s="193">
        <f t="shared" si="42"/>
        <v>0</v>
      </c>
      <c r="AR75" s="193">
        <f t="shared" si="42"/>
        <v>0</v>
      </c>
      <c r="AS75" s="193">
        <f t="shared" si="42"/>
        <v>0</v>
      </c>
      <c r="AT75" s="193">
        <f t="shared" si="42"/>
        <v>0</v>
      </c>
      <c r="AU75" s="33"/>
      <c r="AV75" s="33"/>
      <c r="AW75" s="33"/>
      <c r="AX75" s="33"/>
      <c r="AY75" s="76"/>
    </row>
    <row r="76" spans="2:51">
      <c r="B76" s="40"/>
      <c r="C76" s="151"/>
      <c r="D76" s="136"/>
      <c r="E76" s="140"/>
      <c r="F76" s="42"/>
      <c r="G76" s="51"/>
      <c r="I76" s="55">
        <v>71</v>
      </c>
      <c r="J76" s="33">
        <f t="shared" si="59"/>
        <v>23.730000000000029</v>
      </c>
      <c r="K76" s="33">
        <f t="shared" si="60"/>
        <v>7.5642373276371462</v>
      </c>
      <c r="L76" s="33">
        <f t="shared" si="61"/>
        <v>70</v>
      </c>
      <c r="M76" s="33">
        <f t="shared" si="62"/>
        <v>10</v>
      </c>
      <c r="N76" s="33">
        <f t="shared" si="43"/>
        <v>0</v>
      </c>
      <c r="O76" s="34">
        <f t="shared" si="44"/>
        <v>347.83746334563472</v>
      </c>
      <c r="P76" s="55">
        <v>71</v>
      </c>
      <c r="Q76" s="33">
        <f t="shared" si="57"/>
        <v>-35.099999999999966</v>
      </c>
      <c r="R76" s="33">
        <f t="shared" si="63"/>
        <v>457.60000000000008</v>
      </c>
      <c r="S76" s="33">
        <f t="shared" si="64"/>
        <v>210.49600000000004</v>
      </c>
      <c r="T76" s="33">
        <f t="shared" si="45"/>
        <v>52.043959291168512</v>
      </c>
      <c r="U76" s="33">
        <f t="shared" si="58"/>
        <v>70</v>
      </c>
      <c r="V76" s="33">
        <f t="shared" si="46"/>
        <v>10</v>
      </c>
      <c r="W76" s="33">
        <v>0</v>
      </c>
      <c r="X76" s="33">
        <f t="shared" si="47"/>
        <v>750.59042909878519</v>
      </c>
      <c r="Y76" s="38">
        <f t="shared" si="48"/>
        <v>402.75296575315048</v>
      </c>
      <c r="AA76" s="71">
        <v>71</v>
      </c>
      <c r="AB76" s="33">
        <f t="shared" si="49"/>
        <v>27</v>
      </c>
      <c r="AC76" s="304">
        <f t="shared" si="39"/>
        <v>0.45</v>
      </c>
      <c r="AD76" s="100">
        <f t="shared" si="50"/>
        <v>5.5999999999999994E-2</v>
      </c>
      <c r="AE76" s="100">
        <f t="shared" si="51"/>
        <v>4.3999999999999991E-2</v>
      </c>
      <c r="AF76" s="193">
        <f t="shared" si="34"/>
        <v>53.481772244572461</v>
      </c>
      <c r="AG76" s="193">
        <f t="shared" si="35"/>
        <v>29.079516426641209</v>
      </c>
      <c r="AH76" s="193">
        <f t="shared" si="36"/>
        <v>0.99459517172286505</v>
      </c>
      <c r="AI76" s="198">
        <f t="shared" si="37"/>
        <v>83.555883842936538</v>
      </c>
      <c r="AK76" s="71">
        <v>71</v>
      </c>
      <c r="AL76" s="33">
        <f t="shared" si="52"/>
        <v>27</v>
      </c>
      <c r="AM76" s="33">
        <f t="shared" si="53"/>
        <v>0.9</v>
      </c>
      <c r="AN76" s="33">
        <f t="shared" si="54"/>
        <v>5.5999999999999994E-2</v>
      </c>
      <c r="AO76" s="33">
        <f t="shared" si="55"/>
        <v>4.3999999999999991E-2</v>
      </c>
      <c r="AP76" s="33">
        <f t="shared" si="56"/>
        <v>0</v>
      </c>
      <c r="AQ76" s="193">
        <f t="shared" si="42"/>
        <v>24.3</v>
      </c>
      <c r="AR76" s="193">
        <f t="shared" si="42"/>
        <v>1.5119999999999998</v>
      </c>
      <c r="AS76" s="193">
        <f t="shared" si="42"/>
        <v>1.1879999999999997</v>
      </c>
      <c r="AT76" s="193">
        <f t="shared" si="42"/>
        <v>0</v>
      </c>
      <c r="AU76" s="33"/>
      <c r="AV76" s="33"/>
      <c r="AW76" s="33"/>
      <c r="AX76" s="33"/>
      <c r="AY76" s="76"/>
    </row>
    <row r="77" spans="2:51">
      <c r="B77" s="40"/>
      <c r="C77" s="151"/>
      <c r="D77" s="136"/>
      <c r="E77" s="140"/>
      <c r="F77" s="42"/>
      <c r="G77" s="51"/>
      <c r="I77" s="55">
        <v>72</v>
      </c>
      <c r="J77" s="33">
        <f t="shared" si="59"/>
        <v>24.150000000000031</v>
      </c>
      <c r="K77" s="33">
        <f t="shared" si="60"/>
        <v>7.6824129057781763</v>
      </c>
      <c r="L77" s="33">
        <f t="shared" si="61"/>
        <v>70</v>
      </c>
      <c r="M77" s="33">
        <f t="shared" si="62"/>
        <v>10</v>
      </c>
      <c r="N77" s="33">
        <f t="shared" si="43"/>
        <v>0</v>
      </c>
      <c r="O77" s="34">
        <f t="shared" si="44"/>
        <v>348.77478581089707</v>
      </c>
      <c r="P77" s="55">
        <v>72</v>
      </c>
      <c r="Q77" s="33">
        <f t="shared" si="57"/>
        <v>14.949999999999989</v>
      </c>
      <c r="R77" s="33">
        <f t="shared" si="63"/>
        <v>472.55000000000007</v>
      </c>
      <c r="S77" s="33">
        <f t="shared" si="64"/>
        <v>217.37300000000005</v>
      </c>
      <c r="T77" s="33">
        <f t="shared" si="45"/>
        <v>53.543521676968254</v>
      </c>
      <c r="U77" s="33">
        <f t="shared" si="58"/>
        <v>70</v>
      </c>
      <c r="V77" s="33">
        <f t="shared" si="46"/>
        <v>10</v>
      </c>
      <c r="W77" s="33">
        <v>0</v>
      </c>
      <c r="X77" s="33">
        <f t="shared" si="47"/>
        <v>765.17960858738627</v>
      </c>
      <c r="Y77" s="38">
        <f t="shared" si="48"/>
        <v>416.4048227764892</v>
      </c>
      <c r="AA77" s="71">
        <v>72</v>
      </c>
      <c r="AB77" s="33">
        <f t="shared" si="49"/>
        <v>0</v>
      </c>
      <c r="AC77" s="304">
        <f t="shared" si="39"/>
        <v>0</v>
      </c>
      <c r="AD77" s="100">
        <f t="shared" si="50"/>
        <v>0</v>
      </c>
      <c r="AE77" s="100">
        <f t="shared" si="51"/>
        <v>0</v>
      </c>
      <c r="AF77" s="193">
        <f t="shared" si="34"/>
        <v>52.43302731151644</v>
      </c>
      <c r="AG77" s="193">
        <f t="shared" si="35"/>
        <v>28.2843355207294</v>
      </c>
      <c r="AH77" s="193">
        <f t="shared" si="36"/>
        <v>0.70328499046063664</v>
      </c>
      <c r="AI77" s="198">
        <f t="shared" si="37"/>
        <v>81.420647822706471</v>
      </c>
      <c r="AK77" s="71">
        <v>72</v>
      </c>
      <c r="AL77" s="33">
        <f t="shared" si="52"/>
        <v>0</v>
      </c>
      <c r="AM77" s="33">
        <f t="shared" si="53"/>
        <v>0</v>
      </c>
      <c r="AN77" s="33">
        <f t="shared" si="54"/>
        <v>0</v>
      </c>
      <c r="AO77" s="33">
        <f t="shared" si="55"/>
        <v>0</v>
      </c>
      <c r="AP77" s="33">
        <f t="shared" si="56"/>
        <v>0</v>
      </c>
      <c r="AQ77" s="193">
        <f t="shared" si="42"/>
        <v>0</v>
      </c>
      <c r="AR77" s="193">
        <f t="shared" si="42"/>
        <v>0</v>
      </c>
      <c r="AS77" s="193">
        <f t="shared" si="42"/>
        <v>0</v>
      </c>
      <c r="AT77" s="193">
        <f t="shared" si="42"/>
        <v>0</v>
      </c>
      <c r="AU77" s="33"/>
      <c r="AV77" s="33"/>
      <c r="AW77" s="33"/>
      <c r="AX77" s="33"/>
      <c r="AY77" s="76"/>
    </row>
    <row r="78" spans="2:51">
      <c r="B78" s="43"/>
      <c r="C78" s="152"/>
      <c r="D78" s="153"/>
      <c r="E78" s="140"/>
      <c r="F78" s="42"/>
      <c r="G78" s="51"/>
      <c r="I78" s="55">
        <v>73</v>
      </c>
      <c r="J78" s="33">
        <f t="shared" si="59"/>
        <v>24.570000000000032</v>
      </c>
      <c r="K78" s="33">
        <f t="shared" si="60"/>
        <v>7.8003494846849346</v>
      </c>
      <c r="L78" s="33">
        <f t="shared" si="61"/>
        <v>70</v>
      </c>
      <c r="M78" s="33">
        <f t="shared" si="62"/>
        <v>10</v>
      </c>
      <c r="N78" s="33">
        <f t="shared" si="43"/>
        <v>0</v>
      </c>
      <c r="O78" s="34">
        <f t="shared" si="44"/>
        <v>349.71169201915967</v>
      </c>
      <c r="P78" s="55">
        <v>73</v>
      </c>
      <c r="Q78" s="33">
        <f t="shared" si="57"/>
        <v>14.949999999999989</v>
      </c>
      <c r="R78" s="33">
        <f t="shared" si="63"/>
        <v>487.50000000000006</v>
      </c>
      <c r="S78" s="33">
        <f t="shared" si="64"/>
        <v>224.25000000000003</v>
      </c>
      <c r="T78" s="33">
        <f t="shared" si="45"/>
        <v>55.037571061589908</v>
      </c>
      <c r="U78" s="33">
        <f t="shared" si="58"/>
        <v>70</v>
      </c>
      <c r="V78" s="33">
        <f t="shared" si="46"/>
        <v>10</v>
      </c>
      <c r="W78" s="33">
        <v>0</v>
      </c>
      <c r="X78" s="33">
        <f t="shared" si="47"/>
        <v>779.75918626560235</v>
      </c>
      <c r="Y78" s="38">
        <f t="shared" si="48"/>
        <v>430.04749424644268</v>
      </c>
      <c r="AA78" s="71">
        <v>73</v>
      </c>
      <c r="AB78" s="33">
        <f t="shared" si="49"/>
        <v>0</v>
      </c>
      <c r="AC78" s="304">
        <f t="shared" si="39"/>
        <v>0</v>
      </c>
      <c r="AD78" s="100">
        <f t="shared" si="50"/>
        <v>0</v>
      </c>
      <c r="AE78" s="100">
        <f t="shared" si="51"/>
        <v>0</v>
      </c>
      <c r="AF78" s="193">
        <f t="shared" si="34"/>
        <v>51.404847626926404</v>
      </c>
      <c r="AG78" s="193">
        <f t="shared" si="35"/>
        <v>27.510898878506495</v>
      </c>
      <c r="AH78" s="193">
        <f t="shared" si="36"/>
        <v>0.49729758586143258</v>
      </c>
      <c r="AI78" s="198">
        <f t="shared" si="37"/>
        <v>79.413044091294339</v>
      </c>
      <c r="AK78" s="71">
        <v>73</v>
      </c>
      <c r="AL78" s="33">
        <f t="shared" si="52"/>
        <v>0</v>
      </c>
      <c r="AM78" s="33">
        <f t="shared" si="53"/>
        <v>0</v>
      </c>
      <c r="AN78" s="33">
        <f t="shared" si="54"/>
        <v>0</v>
      </c>
      <c r="AO78" s="33">
        <f t="shared" si="55"/>
        <v>0</v>
      </c>
      <c r="AP78" s="33">
        <f t="shared" si="56"/>
        <v>0</v>
      </c>
      <c r="AQ78" s="193">
        <f t="shared" si="42"/>
        <v>0</v>
      </c>
      <c r="AR78" s="193">
        <f t="shared" si="42"/>
        <v>0</v>
      </c>
      <c r="AS78" s="193">
        <f t="shared" si="42"/>
        <v>0</v>
      </c>
      <c r="AT78" s="193">
        <f t="shared" si="42"/>
        <v>0</v>
      </c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59"/>
        <v>24.990000000000034</v>
      </c>
      <c r="K79" s="33">
        <f t="shared" si="60"/>
        <v>7.9180516212743148</v>
      </c>
      <c r="L79" s="33">
        <f t="shared" si="61"/>
        <v>70</v>
      </c>
      <c r="M79" s="33">
        <f t="shared" si="62"/>
        <v>10</v>
      </c>
      <c r="N79" s="33">
        <f t="shared" si="43"/>
        <v>0</v>
      </c>
      <c r="O79" s="34">
        <f t="shared" si="44"/>
        <v>350.64818990705277</v>
      </c>
      <c r="P79" s="55">
        <v>74</v>
      </c>
      <c r="Q79" s="33">
        <f t="shared" si="57"/>
        <v>14.949999999999989</v>
      </c>
      <c r="R79" s="33">
        <f t="shared" si="63"/>
        <v>502.45000000000005</v>
      </c>
      <c r="S79" s="33">
        <f t="shared" si="64"/>
        <v>231.12700000000004</v>
      </c>
      <c r="T79" s="33">
        <f t="shared" si="45"/>
        <v>56.526295913064935</v>
      </c>
      <c r="U79" s="33">
        <f t="shared" si="58"/>
        <v>70</v>
      </c>
      <c r="V79" s="33">
        <f t="shared" si="46"/>
        <v>10</v>
      </c>
      <c r="W79" s="33">
        <v>0</v>
      </c>
      <c r="X79" s="33">
        <f t="shared" si="47"/>
        <v>794.32949038192146</v>
      </c>
      <c r="Y79" s="38">
        <f t="shared" si="48"/>
        <v>443.68130047486869</v>
      </c>
      <c r="AA79" s="71">
        <v>74</v>
      </c>
      <c r="AB79" s="33">
        <f t="shared" si="49"/>
        <v>0</v>
      </c>
      <c r="AC79" s="304">
        <f t="shared" si="39"/>
        <v>0</v>
      </c>
      <c r="AD79" s="100">
        <f t="shared" si="50"/>
        <v>0</v>
      </c>
      <c r="AE79" s="100">
        <f t="shared" si="51"/>
        <v>0</v>
      </c>
      <c r="AF79" s="193">
        <f t="shared" si="34"/>
        <v>50.396829918823492</v>
      </c>
      <c r="AG79" s="193">
        <f t="shared" si="35"/>
        <v>26.758611901938441</v>
      </c>
      <c r="AH79" s="193">
        <f t="shared" si="36"/>
        <v>0.35164249523031837</v>
      </c>
      <c r="AI79" s="198">
        <f t="shared" si="37"/>
        <v>77.507084315992259</v>
      </c>
      <c r="AK79" s="71">
        <v>74</v>
      </c>
      <c r="AL79" s="33">
        <f t="shared" si="52"/>
        <v>0</v>
      </c>
      <c r="AM79" s="33">
        <f t="shared" si="53"/>
        <v>0</v>
      </c>
      <c r="AN79" s="33">
        <f t="shared" si="54"/>
        <v>0</v>
      </c>
      <c r="AO79" s="33">
        <f t="shared" si="55"/>
        <v>0</v>
      </c>
      <c r="AP79" s="33">
        <f t="shared" si="56"/>
        <v>0</v>
      </c>
      <c r="AQ79" s="193">
        <f t="shared" si="42"/>
        <v>0</v>
      </c>
      <c r="AR79" s="193">
        <f t="shared" si="42"/>
        <v>0</v>
      </c>
      <c r="AS79" s="193">
        <f t="shared" si="42"/>
        <v>0</v>
      </c>
      <c r="AT79" s="193">
        <f t="shared" si="42"/>
        <v>0</v>
      </c>
      <c r="AU79" s="33"/>
      <c r="AV79" s="33"/>
      <c r="AW79" s="33"/>
      <c r="AX79" s="33"/>
      <c r="AY79" s="76"/>
    </row>
    <row r="80" spans="2:51">
      <c r="B80" s="357" t="s">
        <v>259</v>
      </c>
      <c r="C80" s="358"/>
      <c r="D80" s="358"/>
      <c r="E80" s="358"/>
      <c r="F80" s="358"/>
      <c r="G80" s="359"/>
      <c r="H80" s="23"/>
      <c r="I80" s="55">
        <v>75</v>
      </c>
      <c r="J80" s="33">
        <f t="shared" si="59"/>
        <v>25.410000000000036</v>
      </c>
      <c r="K80" s="33">
        <f t="shared" si="60"/>
        <v>8.0355237105104518</v>
      </c>
      <c r="L80" s="33">
        <f t="shared" si="61"/>
        <v>70</v>
      </c>
      <c r="M80" s="33">
        <f t="shared" si="62"/>
        <v>10</v>
      </c>
      <c r="N80" s="33">
        <f t="shared" si="43"/>
        <v>0</v>
      </c>
      <c r="O80" s="34">
        <f t="shared" si="44"/>
        <v>351.58428712913906</v>
      </c>
      <c r="P80" s="55">
        <v>75</v>
      </c>
      <c r="Q80" s="33">
        <f t="shared" si="57"/>
        <v>14.949999999999989</v>
      </c>
      <c r="R80" s="33">
        <f t="shared" si="63"/>
        <v>517.40000000000009</v>
      </c>
      <c r="S80" s="33">
        <f t="shared" si="64"/>
        <v>238.00400000000005</v>
      </c>
      <c r="T80" s="33">
        <f t="shared" si="45"/>
        <v>58.009872846484114</v>
      </c>
      <c r="U80" s="33">
        <f t="shared" si="58"/>
        <v>70</v>
      </c>
      <c r="V80" s="33">
        <f t="shared" si="46"/>
        <v>10</v>
      </c>
      <c r="W80" s="33">
        <v>0</v>
      </c>
      <c r="X80" s="33">
        <f t="shared" si="47"/>
        <v>808.89082854095989</v>
      </c>
      <c r="Y80" s="38">
        <f t="shared" si="48"/>
        <v>457.30654141182083</v>
      </c>
      <c r="AA80" s="71">
        <v>75</v>
      </c>
      <c r="AB80" s="33">
        <f t="shared" si="49"/>
        <v>0</v>
      </c>
      <c r="AC80" s="304">
        <f t="shared" si="39"/>
        <v>0</v>
      </c>
      <c r="AD80" s="100">
        <f t="shared" si="50"/>
        <v>0</v>
      </c>
      <c r="AE80" s="100">
        <f t="shared" si="51"/>
        <v>0</v>
      </c>
      <c r="AF80" s="193">
        <f t="shared" si="34"/>
        <v>49.408578823146385</v>
      </c>
      <c r="AG80" s="193">
        <f t="shared" si="35"/>
        <v>26.02689625230569</v>
      </c>
      <c r="AH80" s="193">
        <f t="shared" si="36"/>
        <v>0.24864879293071634</v>
      </c>
      <c r="AI80" s="198">
        <f t="shared" si="37"/>
        <v>75.684123868382798</v>
      </c>
      <c r="AK80" s="71">
        <v>75</v>
      </c>
      <c r="AL80" s="33">
        <f t="shared" si="52"/>
        <v>0</v>
      </c>
      <c r="AM80" s="33">
        <f t="shared" si="53"/>
        <v>0</v>
      </c>
      <c r="AN80" s="33">
        <f t="shared" si="54"/>
        <v>0</v>
      </c>
      <c r="AO80" s="33">
        <f t="shared" si="55"/>
        <v>0</v>
      </c>
      <c r="AP80" s="33">
        <f t="shared" si="56"/>
        <v>0</v>
      </c>
      <c r="AQ80" s="193">
        <f t="shared" si="42"/>
        <v>0</v>
      </c>
      <c r="AR80" s="193">
        <f t="shared" si="42"/>
        <v>0</v>
      </c>
      <c r="AS80" s="193">
        <f t="shared" si="42"/>
        <v>0</v>
      </c>
      <c r="AT80" s="193">
        <f t="shared" si="42"/>
        <v>0</v>
      </c>
      <c r="AU80" s="33"/>
      <c r="AV80" s="33"/>
      <c r="AW80" s="33"/>
      <c r="AX80" s="33"/>
      <c r="AY80" s="76"/>
    </row>
    <row r="81" spans="1:51">
      <c r="A81" t="s">
        <v>194</v>
      </c>
      <c r="B81" s="138" t="s">
        <v>76</v>
      </c>
      <c r="C81" s="131" t="s">
        <v>156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7"/>
      <c r="I81" s="55">
        <v>76</v>
      </c>
      <c r="J81" s="33">
        <f t="shared" si="59"/>
        <v>25.830000000000037</v>
      </c>
      <c r="K81" s="33">
        <f t="shared" si="60"/>
        <v>8.1527699937405416</v>
      </c>
      <c r="L81" s="33">
        <f t="shared" si="61"/>
        <v>70</v>
      </c>
      <c r="M81" s="33">
        <f t="shared" si="62"/>
        <v>10</v>
      </c>
      <c r="N81" s="33">
        <f t="shared" si="43"/>
        <v>0</v>
      </c>
      <c r="O81" s="34">
        <f t="shared" si="44"/>
        <v>352.51999107243154</v>
      </c>
      <c r="P81" s="55">
        <v>76</v>
      </c>
      <c r="Q81" s="33">
        <f t="shared" si="57"/>
        <v>-33.799999999999955</v>
      </c>
      <c r="R81" s="33">
        <f t="shared" si="63"/>
        <v>483.60000000000014</v>
      </c>
      <c r="S81" s="33">
        <f t="shared" si="64"/>
        <v>222.45600000000007</v>
      </c>
      <c r="T81" s="33">
        <f t="shared" si="45"/>
        <v>54.648339796219865</v>
      </c>
      <c r="U81" s="33">
        <f t="shared" si="58"/>
        <v>70</v>
      </c>
      <c r="V81" s="33">
        <f t="shared" si="46"/>
        <v>10</v>
      </c>
      <c r="W81" s="33">
        <v>0</v>
      </c>
      <c r="X81" s="33">
        <f t="shared" si="47"/>
        <v>775.95672514508306</v>
      </c>
      <c r="Y81" s="38">
        <f t="shared" si="48"/>
        <v>423.43673407265152</v>
      </c>
      <c r="AA81" s="71">
        <v>76</v>
      </c>
      <c r="AB81" s="33">
        <f t="shared" si="49"/>
        <v>0</v>
      </c>
      <c r="AC81" s="304">
        <f t="shared" si="39"/>
        <v>0</v>
      </c>
      <c r="AD81" s="100">
        <f t="shared" si="50"/>
        <v>0</v>
      </c>
      <c r="AE81" s="100">
        <f t="shared" si="51"/>
        <v>0</v>
      </c>
      <c r="AF81" s="193">
        <f t="shared" si="34"/>
        <v>48.439706728681855</v>
      </c>
      <c r="AG81" s="193">
        <f t="shared" si="35"/>
        <v>25.315189405591401</v>
      </c>
      <c r="AH81" s="193">
        <f t="shared" si="36"/>
        <v>0.17582124761515922</v>
      </c>
      <c r="AI81" s="198">
        <f t="shared" si="37"/>
        <v>73.930717381888414</v>
      </c>
      <c r="AK81" s="71">
        <v>76</v>
      </c>
      <c r="AL81" s="33">
        <f t="shared" si="52"/>
        <v>0</v>
      </c>
      <c r="AM81" s="33">
        <f t="shared" si="53"/>
        <v>0</v>
      </c>
      <c r="AN81" s="33">
        <f t="shared" si="54"/>
        <v>0</v>
      </c>
      <c r="AO81" s="33">
        <f t="shared" si="55"/>
        <v>0</v>
      </c>
      <c r="AP81" s="33">
        <f t="shared" si="56"/>
        <v>0</v>
      </c>
      <c r="AQ81" s="193">
        <f t="shared" si="42"/>
        <v>0</v>
      </c>
      <c r="AR81" s="193">
        <f t="shared" si="42"/>
        <v>0</v>
      </c>
      <c r="AS81" s="193">
        <f t="shared" si="42"/>
        <v>0</v>
      </c>
      <c r="AT81" s="193">
        <f t="shared" si="42"/>
        <v>0</v>
      </c>
      <c r="AU81" s="33"/>
      <c r="AV81" s="33"/>
      <c r="AW81" s="33"/>
      <c r="AX81" s="33"/>
      <c r="AY81" s="76"/>
    </row>
    <row r="82" spans="1:51">
      <c r="A82" t="s">
        <v>193</v>
      </c>
      <c r="B82" s="169">
        <f>IF(C25&lt;=$F$18,C25+1,"-")</f>
        <v>16</v>
      </c>
      <c r="C82" s="144">
        <f>D25-D26</f>
        <v>0</v>
      </c>
      <c r="D82" s="145">
        <v>0</v>
      </c>
      <c r="E82" s="170">
        <f>IF(G82+D82&lt;&gt;1,(1-(G82+D82))*56%,0)</f>
        <v>0.56000000000000005</v>
      </c>
      <c r="F82" s="170">
        <f>IF(G82+D82&lt;&gt;1,(1-(G82+D82))*44%,0)</f>
        <v>0.44</v>
      </c>
      <c r="G82" s="146"/>
      <c r="H82" s="58">
        <f t="shared" ref="H82:H94" si="65">IF(C82=0,0,IF(SUM(D82:G82)&lt;&gt;1,"erreur",))</f>
        <v>0</v>
      </c>
      <c r="I82" s="55">
        <v>77</v>
      </c>
      <c r="J82" s="33">
        <f t="shared" si="59"/>
        <v>26.250000000000039</v>
      </c>
      <c r="K82" s="33">
        <f t="shared" si="60"/>
        <v>8.2697945664731147</v>
      </c>
      <c r="L82" s="33">
        <f t="shared" si="61"/>
        <v>70</v>
      </c>
      <c r="M82" s="33">
        <f t="shared" si="62"/>
        <v>10</v>
      </c>
      <c r="N82" s="33">
        <f t="shared" si="43"/>
        <v>0</v>
      </c>
      <c r="O82" s="34">
        <f t="shared" si="44"/>
        <v>353.45530886994078</v>
      </c>
      <c r="P82" s="55">
        <v>77</v>
      </c>
      <c r="Q82" s="33">
        <f t="shared" si="57"/>
        <v>13.650000000000006</v>
      </c>
      <c r="R82" s="33">
        <f t="shared" si="63"/>
        <v>497.25000000000011</v>
      </c>
      <c r="S82" s="33">
        <f t="shared" si="64"/>
        <v>228.73500000000007</v>
      </c>
      <c r="T82" s="33">
        <f t="shared" si="45"/>
        <v>56.009071221135372</v>
      </c>
      <c r="U82" s="33">
        <f t="shared" si="58"/>
        <v>70</v>
      </c>
      <c r="V82" s="33">
        <f t="shared" si="46"/>
        <v>10</v>
      </c>
      <c r="W82" s="33">
        <v>0</v>
      </c>
      <c r="X82" s="33">
        <f t="shared" si="47"/>
        <v>789.2625907101442</v>
      </c>
      <c r="Y82" s="38">
        <f t="shared" si="48"/>
        <v>435.80728184020342</v>
      </c>
      <c r="AA82" s="71">
        <v>77</v>
      </c>
      <c r="AB82" s="33">
        <f t="shared" si="49"/>
        <v>0</v>
      </c>
      <c r="AC82" s="304">
        <f t="shared" si="39"/>
        <v>0</v>
      </c>
      <c r="AD82" s="100">
        <f t="shared" si="50"/>
        <v>0</v>
      </c>
      <c r="AE82" s="100">
        <f t="shared" si="51"/>
        <v>0</v>
      </c>
      <c r="AF82" s="193">
        <f t="shared" si="34"/>
        <v>47.489833625036155</v>
      </c>
      <c r="AG82" s="193">
        <f t="shared" si="35"/>
        <v>24.622944220027552</v>
      </c>
      <c r="AH82" s="193">
        <f t="shared" si="36"/>
        <v>0.12432439646535819</v>
      </c>
      <c r="AI82" s="198">
        <f t="shared" si="37"/>
        <v>72.237102241529058</v>
      </c>
      <c r="AK82" s="71">
        <v>77</v>
      </c>
      <c r="AL82" s="33">
        <f t="shared" si="52"/>
        <v>0</v>
      </c>
      <c r="AM82" s="33">
        <f t="shared" si="53"/>
        <v>0</v>
      </c>
      <c r="AN82" s="33">
        <f t="shared" si="54"/>
        <v>0</v>
      </c>
      <c r="AO82" s="33">
        <f t="shared" si="55"/>
        <v>0</v>
      </c>
      <c r="AP82" s="33">
        <f t="shared" si="56"/>
        <v>0</v>
      </c>
      <c r="AQ82" s="193">
        <f t="shared" si="42"/>
        <v>0</v>
      </c>
      <c r="AR82" s="193">
        <f t="shared" si="42"/>
        <v>0</v>
      </c>
      <c r="AS82" s="193">
        <f t="shared" si="42"/>
        <v>0</v>
      </c>
      <c r="AT82" s="193">
        <f t="shared" si="42"/>
        <v>0</v>
      </c>
      <c r="AU82" s="33"/>
      <c r="AV82" s="33"/>
      <c r="AW82" s="33"/>
      <c r="AX82" s="33"/>
      <c r="AY82" s="76"/>
    </row>
    <row r="83" spans="1:51">
      <c r="A83" t="s">
        <v>193</v>
      </c>
      <c r="B83" s="171">
        <f>IF(C27&lt;=$F$18,C27+1,"-")</f>
        <v>21</v>
      </c>
      <c r="C83" s="147">
        <f>D27-D28</f>
        <v>15</v>
      </c>
      <c r="D83" s="148">
        <v>0</v>
      </c>
      <c r="E83" s="128">
        <f t="shared" ref="E83:E91" si="66">IF(G83+D83&lt;&gt;1,(1-(G83+D83))*56%,0)</f>
        <v>0.56000000000000005</v>
      </c>
      <c r="F83" s="128">
        <f t="shared" ref="F83:F91" si="67">IF(G83+D83&lt;&gt;1,(1-(G83+D83))*44%,0)</f>
        <v>0.44</v>
      </c>
      <c r="G83" s="149"/>
      <c r="H83" s="58">
        <f t="shared" si="65"/>
        <v>0</v>
      </c>
      <c r="I83" s="55">
        <v>78</v>
      </c>
      <c r="J83" s="33">
        <f t="shared" si="59"/>
        <v>26.670000000000041</v>
      </c>
      <c r="K83" s="33">
        <f t="shared" si="60"/>
        <v>8.3866013856443349</v>
      </c>
      <c r="L83" s="33">
        <f t="shared" si="61"/>
        <v>70</v>
      </c>
      <c r="M83" s="33">
        <f t="shared" si="62"/>
        <v>10</v>
      </c>
      <c r="N83" s="33">
        <f t="shared" si="43"/>
        <v>0</v>
      </c>
      <c r="O83" s="34">
        <f t="shared" si="44"/>
        <v>354.3902474133306</v>
      </c>
      <c r="P83" s="55">
        <v>78</v>
      </c>
      <c r="Q83" s="33">
        <f t="shared" si="57"/>
        <v>13.650000000000006</v>
      </c>
      <c r="R83" s="33">
        <f t="shared" si="63"/>
        <v>510.90000000000009</v>
      </c>
      <c r="S83" s="33">
        <f t="shared" si="64"/>
        <v>235.01400000000004</v>
      </c>
      <c r="T83" s="33">
        <f t="shared" si="45"/>
        <v>57.365461071820548</v>
      </c>
      <c r="U83" s="33">
        <f t="shared" si="58"/>
        <v>70</v>
      </c>
      <c r="V83" s="33">
        <f t="shared" si="46"/>
        <v>10</v>
      </c>
      <c r="W83" s="33">
        <v>0</v>
      </c>
      <c r="X83" s="33">
        <f t="shared" si="47"/>
        <v>802.56089470008749</v>
      </c>
      <c r="Y83" s="38">
        <f t="shared" si="48"/>
        <v>448.17064728675689</v>
      </c>
      <c r="AA83" s="71">
        <v>78</v>
      </c>
      <c r="AB83" s="33">
        <f t="shared" si="49"/>
        <v>0</v>
      </c>
      <c r="AC83" s="304">
        <f t="shared" si="39"/>
        <v>0</v>
      </c>
      <c r="AD83" s="100">
        <f t="shared" si="50"/>
        <v>0</v>
      </c>
      <c r="AE83" s="100">
        <f t="shared" si="51"/>
        <v>0</v>
      </c>
      <c r="AF83" s="193">
        <f t="shared" si="34"/>
        <v>46.558586953587557</v>
      </c>
      <c r="AG83" s="193">
        <f t="shared" si="35"/>
        <v>23.949628515466539</v>
      </c>
      <c r="AH83" s="193">
        <f t="shared" si="36"/>
        <v>8.7910623807579621E-2</v>
      </c>
      <c r="AI83" s="198">
        <f t="shared" si="37"/>
        <v>70.596126092861667</v>
      </c>
      <c r="AK83" s="71">
        <v>78</v>
      </c>
      <c r="AL83" s="33">
        <f t="shared" si="52"/>
        <v>0</v>
      </c>
      <c r="AM83" s="33">
        <f t="shared" si="53"/>
        <v>0</v>
      </c>
      <c r="AN83" s="33">
        <f t="shared" si="54"/>
        <v>0</v>
      </c>
      <c r="AO83" s="33">
        <f t="shared" si="55"/>
        <v>0</v>
      </c>
      <c r="AP83" s="33">
        <f t="shared" si="56"/>
        <v>0</v>
      </c>
      <c r="AQ83" s="193">
        <f t="shared" si="42"/>
        <v>0</v>
      </c>
      <c r="AR83" s="193">
        <f t="shared" si="42"/>
        <v>0</v>
      </c>
      <c r="AS83" s="193">
        <f t="shared" si="42"/>
        <v>0</v>
      </c>
      <c r="AT83" s="193">
        <f t="shared" si="42"/>
        <v>0</v>
      </c>
      <c r="AU83" s="33"/>
      <c r="AV83" s="33"/>
      <c r="AW83" s="33"/>
      <c r="AX83" s="33"/>
      <c r="AY83" s="76"/>
    </row>
    <row r="84" spans="1:51">
      <c r="A84" t="s">
        <v>193</v>
      </c>
      <c r="B84" s="186">
        <f>IF(C29&lt;=$F$18,C29+1,"-")</f>
        <v>26</v>
      </c>
      <c r="C84" s="147">
        <f>D29-D30</f>
        <v>35</v>
      </c>
      <c r="D84" s="148">
        <v>0</v>
      </c>
      <c r="E84" s="128">
        <f t="shared" si="66"/>
        <v>0.56000000000000005</v>
      </c>
      <c r="F84" s="128">
        <f t="shared" si="67"/>
        <v>0.44</v>
      </c>
      <c r="G84" s="149"/>
      <c r="H84" s="58">
        <f t="shared" si="65"/>
        <v>0</v>
      </c>
      <c r="I84" s="55">
        <v>79</v>
      </c>
      <c r="J84" s="33">
        <f t="shared" si="59"/>
        <v>27.090000000000042</v>
      </c>
      <c r="K84" s="33">
        <f t="shared" si="60"/>
        <v>8.5031942764136481</v>
      </c>
      <c r="L84" s="33">
        <f t="shared" si="61"/>
        <v>70</v>
      </c>
      <c r="M84" s="33">
        <f t="shared" si="62"/>
        <v>10</v>
      </c>
      <c r="N84" s="33">
        <f t="shared" si="43"/>
        <v>0</v>
      </c>
      <c r="O84" s="34">
        <f t="shared" si="44"/>
        <v>355.32481336475388</v>
      </c>
      <c r="P84" s="55">
        <v>79</v>
      </c>
      <c r="Q84" s="33">
        <f t="shared" si="57"/>
        <v>13.650000000000006</v>
      </c>
      <c r="R84" s="33">
        <f t="shared" si="63"/>
        <v>524.55000000000007</v>
      </c>
      <c r="S84" s="33">
        <f t="shared" si="64"/>
        <v>241.29300000000003</v>
      </c>
      <c r="T84" s="33">
        <f t="shared" si="45"/>
        <v>58.717638676494118</v>
      </c>
      <c r="U84" s="33">
        <f t="shared" si="58"/>
        <v>70</v>
      </c>
      <c r="V84" s="33">
        <f t="shared" si="46"/>
        <v>10</v>
      </c>
      <c r="W84" s="33">
        <v>0</v>
      </c>
      <c r="X84" s="33">
        <f t="shared" si="47"/>
        <v>815.85186236156062</v>
      </c>
      <c r="Y84" s="38">
        <f t="shared" si="48"/>
        <v>460.52704899680674</v>
      </c>
      <c r="AA84" s="71">
        <v>79</v>
      </c>
      <c r="AB84" s="33">
        <f t="shared" si="49"/>
        <v>0</v>
      </c>
      <c r="AC84" s="304">
        <f t="shared" si="39"/>
        <v>0</v>
      </c>
      <c r="AD84" s="100">
        <f t="shared" si="50"/>
        <v>0</v>
      </c>
      <c r="AE84" s="100">
        <f t="shared" si="51"/>
        <v>0</v>
      </c>
      <c r="AF84" s="193">
        <f t="shared" si="34"/>
        <v>45.645601461361686</v>
      </c>
      <c r="AG84" s="193">
        <f t="shared" si="35"/>
        <v>23.294724664254879</v>
      </c>
      <c r="AH84" s="193">
        <f t="shared" si="36"/>
        <v>6.21621982326791E-2</v>
      </c>
      <c r="AI84" s="198">
        <f t="shared" si="37"/>
        <v>69.002488323849249</v>
      </c>
      <c r="AK84" s="71">
        <v>79</v>
      </c>
      <c r="AL84" s="33">
        <f t="shared" si="52"/>
        <v>0</v>
      </c>
      <c r="AM84" s="33">
        <f t="shared" si="53"/>
        <v>0</v>
      </c>
      <c r="AN84" s="33">
        <f t="shared" si="54"/>
        <v>0</v>
      </c>
      <c r="AO84" s="33">
        <f t="shared" si="55"/>
        <v>0</v>
      </c>
      <c r="AP84" s="33">
        <f t="shared" si="56"/>
        <v>0</v>
      </c>
      <c r="AQ84" s="193">
        <f t="shared" si="42"/>
        <v>0</v>
      </c>
      <c r="AR84" s="193">
        <f t="shared" si="42"/>
        <v>0</v>
      </c>
      <c r="AS84" s="193">
        <f t="shared" si="42"/>
        <v>0</v>
      </c>
      <c r="AT84" s="193">
        <f t="shared" si="42"/>
        <v>0</v>
      </c>
      <c r="AU84" s="33"/>
      <c r="AV84" s="33"/>
      <c r="AW84" s="33"/>
      <c r="AX84" s="33"/>
      <c r="AY84" s="76"/>
    </row>
    <row r="85" spans="1:51">
      <c r="A85" t="s">
        <v>193</v>
      </c>
      <c r="B85" s="171">
        <f>IF(C31&lt;=$F$18,C31+1,"-")</f>
        <v>31</v>
      </c>
      <c r="C85" s="147">
        <f>D31-D32</f>
        <v>35</v>
      </c>
      <c r="D85" s="148">
        <v>0</v>
      </c>
      <c r="E85" s="128">
        <f t="shared" si="66"/>
        <v>0.56000000000000005</v>
      </c>
      <c r="F85" s="128">
        <f t="shared" si="67"/>
        <v>0.44</v>
      </c>
      <c r="G85" s="149"/>
      <c r="H85" s="58">
        <f t="shared" si="65"/>
        <v>0</v>
      </c>
      <c r="I85" s="55">
        <v>80</v>
      </c>
      <c r="J85" s="33">
        <f t="shared" si="59"/>
        <v>27.510000000000044</v>
      </c>
      <c r="K85" s="33">
        <f t="shared" si="60"/>
        <v>8.6195769385260075</v>
      </c>
      <c r="L85" s="33">
        <f t="shared" si="61"/>
        <v>70</v>
      </c>
      <c r="M85" s="33">
        <f t="shared" si="62"/>
        <v>10</v>
      </c>
      <c r="N85" s="33">
        <f t="shared" si="43"/>
        <v>0</v>
      </c>
      <c r="O85" s="34">
        <f t="shared" si="44"/>
        <v>356.25901316793284</v>
      </c>
      <c r="P85" s="55">
        <v>80</v>
      </c>
      <c r="Q85" s="33">
        <f t="shared" si="57"/>
        <v>13.650000000000006</v>
      </c>
      <c r="R85" s="33">
        <f t="shared" si="63"/>
        <v>538.20000000000005</v>
      </c>
      <c r="S85" s="33">
        <f t="shared" si="64"/>
        <v>247.57200000000003</v>
      </c>
      <c r="T85" s="33">
        <f t="shared" si="45"/>
        <v>60.065726249156576</v>
      </c>
      <c r="U85" s="33">
        <f t="shared" si="58"/>
        <v>70</v>
      </c>
      <c r="V85" s="33">
        <f t="shared" si="46"/>
        <v>10</v>
      </c>
      <c r="W85" s="33">
        <v>0</v>
      </c>
      <c r="X85" s="33">
        <f t="shared" si="47"/>
        <v>829.13570655061449</v>
      </c>
      <c r="Y85" s="38">
        <f t="shared" si="48"/>
        <v>472.87669338268165</v>
      </c>
      <c r="AA85" s="71">
        <v>80</v>
      </c>
      <c r="AB85" s="33">
        <f t="shared" si="49"/>
        <v>414</v>
      </c>
      <c r="AC85" s="304">
        <f t="shared" si="39"/>
        <v>0.47499999999999998</v>
      </c>
      <c r="AD85" s="100">
        <f t="shared" si="50"/>
        <v>2.8000000000000028E-2</v>
      </c>
      <c r="AE85" s="100">
        <f t="shared" si="51"/>
        <v>2.200000000000002E-2</v>
      </c>
      <c r="AF85" s="193">
        <f t="shared" si="34"/>
        <v>200.75012135475919</v>
      </c>
      <c r="AG85" s="193">
        <f t="shared" si="35"/>
        <v>31.817287988710483</v>
      </c>
      <c r="AH85" s="193">
        <f t="shared" si="36"/>
        <v>6.2107536278946842</v>
      </c>
      <c r="AI85" s="198">
        <f t="shared" si="37"/>
        <v>238.77816297136437</v>
      </c>
      <c r="AK85" s="71">
        <v>80</v>
      </c>
      <c r="AL85" s="33">
        <f t="shared" si="52"/>
        <v>414</v>
      </c>
      <c r="AM85" s="33">
        <f t="shared" si="53"/>
        <v>0.95</v>
      </c>
      <c r="AN85" s="33">
        <f t="shared" si="54"/>
        <v>2.8000000000000028E-2</v>
      </c>
      <c r="AO85" s="33">
        <f t="shared" si="55"/>
        <v>2.200000000000002E-2</v>
      </c>
      <c r="AP85" s="33">
        <f t="shared" si="56"/>
        <v>0</v>
      </c>
      <c r="AQ85" s="193">
        <f t="shared" si="42"/>
        <v>393.29999999999995</v>
      </c>
      <c r="AR85" s="193">
        <f t="shared" si="42"/>
        <v>11.592000000000011</v>
      </c>
      <c r="AS85" s="193">
        <f t="shared" si="42"/>
        <v>9.1080000000000076</v>
      </c>
      <c r="AT85" s="193">
        <f t="shared" si="42"/>
        <v>0</v>
      </c>
      <c r="AU85" s="33"/>
      <c r="AV85" s="33"/>
      <c r="AW85" s="33"/>
      <c r="AX85" s="33"/>
      <c r="AY85" s="76"/>
    </row>
    <row r="86" spans="1:51">
      <c r="A86" t="s">
        <v>193</v>
      </c>
      <c r="B86" s="171">
        <f>IF(C33&lt;=$F$18,C33+1,"-")</f>
        <v>36</v>
      </c>
      <c r="C86" s="147">
        <f>D33-D34</f>
        <v>35</v>
      </c>
      <c r="D86" s="148">
        <v>0.4</v>
      </c>
      <c r="E86" s="128">
        <f t="shared" si="66"/>
        <v>0.33600000000000002</v>
      </c>
      <c r="F86" s="128">
        <f t="shared" si="67"/>
        <v>0.26400000000000001</v>
      </c>
      <c r="G86" s="149"/>
      <c r="H86" s="58">
        <f t="shared" si="65"/>
        <v>0</v>
      </c>
      <c r="I86" s="55">
        <v>81</v>
      </c>
      <c r="J86" s="33">
        <f t="shared" si="59"/>
        <v>0</v>
      </c>
      <c r="K86" s="33">
        <f t="shared" si="60"/>
        <v>0</v>
      </c>
      <c r="L86" s="33">
        <f t="shared" si="61"/>
        <v>0</v>
      </c>
      <c r="M86" s="33">
        <f t="shared" si="62"/>
        <v>0</v>
      </c>
      <c r="N86" s="33">
        <f t="shared" si="43"/>
        <v>0</v>
      </c>
      <c r="O86" s="34">
        <f t="shared" si="44"/>
        <v>0</v>
      </c>
      <c r="P86" s="55">
        <v>81</v>
      </c>
      <c r="Q86" s="33">
        <f t="shared" si="57"/>
        <v>0</v>
      </c>
      <c r="R86" s="33">
        <f t="shared" si="63"/>
        <v>0</v>
      </c>
      <c r="S86" s="33">
        <f t="shared" si="64"/>
        <v>0</v>
      </c>
      <c r="T86" s="33">
        <f t="shared" si="45"/>
        <v>0</v>
      </c>
      <c r="U86" s="33">
        <f t="shared" si="58"/>
        <v>0</v>
      </c>
      <c r="V86" s="33">
        <f t="shared" si="46"/>
        <v>0</v>
      </c>
      <c r="W86" s="33">
        <v>0</v>
      </c>
      <c r="X86" s="33">
        <f t="shared" si="47"/>
        <v>0</v>
      </c>
      <c r="Y86" s="38">
        <f t="shared" si="48"/>
        <v>0</v>
      </c>
      <c r="AA86" s="71">
        <v>81</v>
      </c>
      <c r="AB86" s="33">
        <f t="shared" si="49"/>
        <v>0</v>
      </c>
      <c r="AC86" s="304">
        <f t="shared" si="39"/>
        <v>0</v>
      </c>
      <c r="AD86" s="100">
        <f t="shared" si="50"/>
        <v>0</v>
      </c>
      <c r="AE86" s="100">
        <f t="shared" si="51"/>
        <v>0</v>
      </c>
      <c r="AF86" s="193">
        <f t="shared" si="34"/>
        <v>0</v>
      </c>
      <c r="AG86" s="193">
        <f t="shared" si="35"/>
        <v>0</v>
      </c>
      <c r="AH86" s="193">
        <f t="shared" si="36"/>
        <v>0</v>
      </c>
      <c r="AI86" s="198">
        <f t="shared" si="37"/>
        <v>0</v>
      </c>
      <c r="AK86" s="71">
        <v>81</v>
      </c>
      <c r="AL86" s="33">
        <f t="shared" si="52"/>
        <v>0</v>
      </c>
      <c r="AM86" s="33">
        <f t="shared" si="53"/>
        <v>0</v>
      </c>
      <c r="AN86" s="33">
        <f t="shared" si="54"/>
        <v>0</v>
      </c>
      <c r="AO86" s="33">
        <f t="shared" si="55"/>
        <v>0</v>
      </c>
      <c r="AP86" s="33">
        <f t="shared" si="56"/>
        <v>0</v>
      </c>
      <c r="AQ86" s="193">
        <f t="shared" si="42"/>
        <v>0</v>
      </c>
      <c r="AR86" s="193">
        <f t="shared" si="42"/>
        <v>0</v>
      </c>
      <c r="AS86" s="193">
        <f t="shared" si="42"/>
        <v>0</v>
      </c>
      <c r="AT86" s="193">
        <f t="shared" si="42"/>
        <v>0</v>
      </c>
      <c r="AU86" s="33"/>
      <c r="AV86" s="33"/>
      <c r="AW86" s="33"/>
      <c r="AX86" s="33"/>
      <c r="AY86" s="76"/>
    </row>
    <row r="87" spans="1:51">
      <c r="A87" t="s">
        <v>193</v>
      </c>
      <c r="B87" s="171">
        <f>IF(C35&lt;=$F$18,C35+1,"-")</f>
        <v>41</v>
      </c>
      <c r="C87" s="147">
        <f>D35-D36</f>
        <v>35</v>
      </c>
      <c r="D87" s="148">
        <v>0.5</v>
      </c>
      <c r="E87" s="128">
        <f t="shared" si="66"/>
        <v>0.28000000000000003</v>
      </c>
      <c r="F87" s="128">
        <f t="shared" si="67"/>
        <v>0.22</v>
      </c>
      <c r="G87" s="149"/>
      <c r="H87" s="58">
        <f t="shared" si="65"/>
        <v>0</v>
      </c>
      <c r="I87" s="55">
        <v>82</v>
      </c>
      <c r="J87" s="33">
        <f t="shared" si="59"/>
        <v>0</v>
      </c>
      <c r="K87" s="33">
        <f t="shared" si="60"/>
        <v>0</v>
      </c>
      <c r="L87" s="33">
        <f t="shared" si="61"/>
        <v>0</v>
      </c>
      <c r="M87" s="33">
        <f t="shared" si="62"/>
        <v>0</v>
      </c>
      <c r="N87" s="33">
        <f t="shared" si="43"/>
        <v>0</v>
      </c>
      <c r="O87" s="34">
        <f t="shared" si="44"/>
        <v>0</v>
      </c>
      <c r="P87" s="55">
        <v>82</v>
      </c>
      <c r="Q87" s="33">
        <f t="shared" si="57"/>
        <v>0</v>
      </c>
      <c r="R87" s="33">
        <f t="shared" si="63"/>
        <v>0</v>
      </c>
      <c r="S87" s="33">
        <f t="shared" si="64"/>
        <v>0</v>
      </c>
      <c r="T87" s="33">
        <f t="shared" si="45"/>
        <v>0</v>
      </c>
      <c r="U87" s="33">
        <f t="shared" si="58"/>
        <v>0</v>
      </c>
      <c r="V87" s="33">
        <f t="shared" si="46"/>
        <v>0</v>
      </c>
      <c r="W87" s="33">
        <v>0</v>
      </c>
      <c r="X87" s="33">
        <f t="shared" si="47"/>
        <v>0</v>
      </c>
      <c r="Y87" s="38">
        <f t="shared" si="48"/>
        <v>0</v>
      </c>
      <c r="AA87" s="71">
        <v>82</v>
      </c>
      <c r="AB87" s="33">
        <f t="shared" si="49"/>
        <v>0</v>
      </c>
      <c r="AC87" s="304">
        <f t="shared" si="39"/>
        <v>0</v>
      </c>
      <c r="AD87" s="100">
        <f t="shared" si="50"/>
        <v>0</v>
      </c>
      <c r="AE87" s="100">
        <f t="shared" si="51"/>
        <v>0</v>
      </c>
      <c r="AF87" s="193">
        <f t="shared" si="34"/>
        <v>0</v>
      </c>
      <c r="AG87" s="193">
        <f t="shared" si="35"/>
        <v>0</v>
      </c>
      <c r="AH87" s="193">
        <f t="shared" si="36"/>
        <v>0</v>
      </c>
      <c r="AI87" s="198">
        <f t="shared" si="37"/>
        <v>0</v>
      </c>
      <c r="AK87" s="71">
        <v>82</v>
      </c>
      <c r="AL87" s="33">
        <f t="shared" si="52"/>
        <v>0</v>
      </c>
      <c r="AM87" s="33">
        <f t="shared" si="53"/>
        <v>0</v>
      </c>
      <c r="AN87" s="33">
        <f t="shared" si="54"/>
        <v>0</v>
      </c>
      <c r="AO87" s="33">
        <f t="shared" si="55"/>
        <v>0</v>
      </c>
      <c r="AP87" s="33">
        <f t="shared" si="56"/>
        <v>0</v>
      </c>
      <c r="AQ87" s="193">
        <f t="shared" si="42"/>
        <v>0</v>
      </c>
      <c r="AR87" s="193">
        <f t="shared" si="42"/>
        <v>0</v>
      </c>
      <c r="AS87" s="193">
        <f t="shared" si="42"/>
        <v>0</v>
      </c>
      <c r="AT87" s="193">
        <f t="shared" si="42"/>
        <v>0</v>
      </c>
      <c r="AU87" s="33"/>
      <c r="AV87" s="33"/>
      <c r="AW87" s="33"/>
      <c r="AX87" s="33"/>
      <c r="AY87" s="76"/>
    </row>
    <row r="88" spans="1:51">
      <c r="A88" t="s">
        <v>193</v>
      </c>
      <c r="B88" s="171">
        <f>IF(C37&lt;=$F$18,C37+1,"-")</f>
        <v>46</v>
      </c>
      <c r="C88" s="147">
        <f>D37-D38</f>
        <v>35</v>
      </c>
      <c r="D88" s="148">
        <v>0.6</v>
      </c>
      <c r="E88" s="128">
        <f t="shared" si="66"/>
        <v>0.22400000000000003</v>
      </c>
      <c r="F88" s="128">
        <f t="shared" si="67"/>
        <v>0.17600000000000002</v>
      </c>
      <c r="G88" s="149"/>
      <c r="H88" s="58">
        <f t="shared" si="65"/>
        <v>0</v>
      </c>
      <c r="I88" s="55">
        <v>83</v>
      </c>
      <c r="J88" s="33">
        <f t="shared" si="59"/>
        <v>0</v>
      </c>
      <c r="K88" s="33">
        <f t="shared" si="60"/>
        <v>0</v>
      </c>
      <c r="L88" s="33">
        <f t="shared" si="61"/>
        <v>0</v>
      </c>
      <c r="M88" s="33">
        <f t="shared" si="62"/>
        <v>0</v>
      </c>
      <c r="N88" s="33">
        <f t="shared" si="43"/>
        <v>0</v>
      </c>
      <c r="O88" s="34">
        <f t="shared" si="44"/>
        <v>0</v>
      </c>
      <c r="P88" s="55">
        <v>83</v>
      </c>
      <c r="Q88" s="33">
        <f t="shared" si="57"/>
        <v>0</v>
      </c>
      <c r="R88" s="33">
        <f t="shared" si="63"/>
        <v>0</v>
      </c>
      <c r="S88" s="33">
        <f t="shared" si="64"/>
        <v>0</v>
      </c>
      <c r="T88" s="33">
        <f t="shared" si="45"/>
        <v>0</v>
      </c>
      <c r="U88" s="33">
        <f t="shared" si="58"/>
        <v>0</v>
      </c>
      <c r="V88" s="33">
        <f t="shared" si="46"/>
        <v>0</v>
      </c>
      <c r="W88" s="33">
        <v>0</v>
      </c>
      <c r="X88" s="33">
        <f t="shared" si="47"/>
        <v>0</v>
      </c>
      <c r="Y88" s="38">
        <f t="shared" si="48"/>
        <v>0</v>
      </c>
      <c r="AA88" s="71">
        <v>83</v>
      </c>
      <c r="AB88" s="33">
        <f t="shared" si="49"/>
        <v>0</v>
      </c>
      <c r="AC88" s="304">
        <f t="shared" si="39"/>
        <v>0</v>
      </c>
      <c r="AD88" s="100">
        <f t="shared" si="50"/>
        <v>0</v>
      </c>
      <c r="AE88" s="100">
        <f t="shared" si="51"/>
        <v>0</v>
      </c>
      <c r="AF88" s="193">
        <f t="shared" si="34"/>
        <v>0</v>
      </c>
      <c r="AG88" s="193">
        <f t="shared" si="35"/>
        <v>0</v>
      </c>
      <c r="AH88" s="193">
        <f t="shared" si="36"/>
        <v>0</v>
      </c>
      <c r="AI88" s="198">
        <f t="shared" si="37"/>
        <v>0</v>
      </c>
      <c r="AK88" s="71">
        <v>83</v>
      </c>
      <c r="AL88" s="33">
        <f t="shared" si="52"/>
        <v>0</v>
      </c>
      <c r="AM88" s="33">
        <f t="shared" si="53"/>
        <v>0</v>
      </c>
      <c r="AN88" s="33">
        <f t="shared" si="54"/>
        <v>0</v>
      </c>
      <c r="AO88" s="33">
        <f t="shared" si="55"/>
        <v>0</v>
      </c>
      <c r="AP88" s="33">
        <f t="shared" si="56"/>
        <v>0</v>
      </c>
      <c r="AQ88" s="193">
        <f t="shared" si="42"/>
        <v>0</v>
      </c>
      <c r="AR88" s="193">
        <f t="shared" si="42"/>
        <v>0</v>
      </c>
      <c r="AS88" s="193">
        <f t="shared" si="42"/>
        <v>0</v>
      </c>
      <c r="AT88" s="193">
        <f t="shared" si="42"/>
        <v>0</v>
      </c>
      <c r="AU88" s="33"/>
      <c r="AV88" s="33"/>
      <c r="AW88" s="33"/>
      <c r="AX88" s="33"/>
      <c r="AY88" s="76"/>
    </row>
    <row r="89" spans="1:51">
      <c r="A89" t="s">
        <v>193</v>
      </c>
      <c r="B89" s="171">
        <f>IF(C39&lt;=$F$18,C39+1,"-")</f>
        <v>51</v>
      </c>
      <c r="C89" s="147">
        <f>D39-D40</f>
        <v>35</v>
      </c>
      <c r="D89" s="148">
        <v>0.7</v>
      </c>
      <c r="E89" s="128">
        <f t="shared" si="66"/>
        <v>0.16800000000000004</v>
      </c>
      <c r="F89" s="128">
        <f t="shared" si="67"/>
        <v>0.13200000000000003</v>
      </c>
      <c r="G89" s="149"/>
      <c r="H89" s="58">
        <f t="shared" si="65"/>
        <v>0</v>
      </c>
      <c r="I89" s="55">
        <v>84</v>
      </c>
      <c r="J89" s="33">
        <f t="shared" si="59"/>
        <v>0</v>
      </c>
      <c r="K89" s="33">
        <f t="shared" si="60"/>
        <v>0</v>
      </c>
      <c r="L89" s="33">
        <f t="shared" si="61"/>
        <v>0</v>
      </c>
      <c r="M89" s="33">
        <f t="shared" si="62"/>
        <v>0</v>
      </c>
      <c r="N89" s="33">
        <f t="shared" si="43"/>
        <v>0</v>
      </c>
      <c r="O89" s="34">
        <f t="shared" si="44"/>
        <v>0</v>
      </c>
      <c r="P89" s="55">
        <v>84</v>
      </c>
      <c r="Q89" s="33">
        <f t="shared" si="57"/>
        <v>0</v>
      </c>
      <c r="R89" s="33">
        <f t="shared" si="63"/>
        <v>0</v>
      </c>
      <c r="S89" s="33">
        <f t="shared" si="64"/>
        <v>0</v>
      </c>
      <c r="T89" s="33">
        <f t="shared" si="45"/>
        <v>0</v>
      </c>
      <c r="U89" s="33">
        <f t="shared" si="58"/>
        <v>0</v>
      </c>
      <c r="V89" s="33">
        <f t="shared" si="46"/>
        <v>0</v>
      </c>
      <c r="W89" s="33">
        <v>0</v>
      </c>
      <c r="X89" s="33">
        <f t="shared" si="47"/>
        <v>0</v>
      </c>
      <c r="Y89" s="38">
        <f t="shared" si="48"/>
        <v>0</v>
      </c>
      <c r="AA89" s="71">
        <v>84</v>
      </c>
      <c r="AB89" s="33">
        <f t="shared" si="49"/>
        <v>0</v>
      </c>
      <c r="AC89" s="304">
        <f t="shared" si="39"/>
        <v>0</v>
      </c>
      <c r="AD89" s="100">
        <f t="shared" si="50"/>
        <v>0</v>
      </c>
      <c r="AE89" s="100">
        <f t="shared" si="51"/>
        <v>0</v>
      </c>
      <c r="AF89" s="193">
        <f t="shared" si="34"/>
        <v>0</v>
      </c>
      <c r="AG89" s="193">
        <f t="shared" si="35"/>
        <v>0</v>
      </c>
      <c r="AH89" s="193">
        <f t="shared" si="36"/>
        <v>0</v>
      </c>
      <c r="AI89" s="198">
        <f t="shared" si="37"/>
        <v>0</v>
      </c>
      <c r="AK89" s="71">
        <v>84</v>
      </c>
      <c r="AL89" s="33">
        <f t="shared" si="52"/>
        <v>0</v>
      </c>
      <c r="AM89" s="33">
        <f t="shared" si="53"/>
        <v>0</v>
      </c>
      <c r="AN89" s="33">
        <f t="shared" si="54"/>
        <v>0</v>
      </c>
      <c r="AO89" s="33">
        <f t="shared" si="55"/>
        <v>0</v>
      </c>
      <c r="AP89" s="33">
        <f t="shared" si="56"/>
        <v>0</v>
      </c>
      <c r="AQ89" s="193">
        <f t="shared" si="42"/>
        <v>0</v>
      </c>
      <c r="AR89" s="193">
        <f t="shared" si="42"/>
        <v>0</v>
      </c>
      <c r="AS89" s="193">
        <f t="shared" si="42"/>
        <v>0</v>
      </c>
      <c r="AT89" s="193">
        <f t="shared" si="42"/>
        <v>0</v>
      </c>
      <c r="AU89" s="33"/>
      <c r="AV89" s="33"/>
      <c r="AW89" s="33"/>
      <c r="AX89" s="33"/>
      <c r="AY89" s="76"/>
    </row>
    <row r="90" spans="1:51">
      <c r="A90" t="s">
        <v>193</v>
      </c>
      <c r="B90" s="171">
        <f>IF(C41&lt;=$F$18,C41+1,"-")</f>
        <v>56</v>
      </c>
      <c r="C90" s="147">
        <f>D41-D42</f>
        <v>33</v>
      </c>
      <c r="D90" s="148">
        <v>0.8</v>
      </c>
      <c r="E90" s="128">
        <f t="shared" si="66"/>
        <v>0.11199999999999999</v>
      </c>
      <c r="F90" s="128">
        <f t="shared" si="67"/>
        <v>8.7999999999999981E-2</v>
      </c>
      <c r="G90" s="149"/>
      <c r="H90" s="58">
        <f t="shared" si="65"/>
        <v>0</v>
      </c>
      <c r="I90" s="55">
        <v>85</v>
      </c>
      <c r="J90" s="33">
        <f t="shared" si="59"/>
        <v>0</v>
      </c>
      <c r="K90" s="33">
        <f t="shared" si="60"/>
        <v>0</v>
      </c>
      <c r="L90" s="33">
        <f t="shared" si="61"/>
        <v>0</v>
      </c>
      <c r="M90" s="33">
        <f t="shared" si="62"/>
        <v>0</v>
      </c>
      <c r="N90" s="33">
        <f t="shared" si="43"/>
        <v>0</v>
      </c>
      <c r="O90" s="34">
        <f t="shared" si="44"/>
        <v>0</v>
      </c>
      <c r="P90" s="55">
        <v>85</v>
      </c>
      <c r="Q90" s="33">
        <f t="shared" si="57"/>
        <v>0</v>
      </c>
      <c r="R90" s="33">
        <f t="shared" si="63"/>
        <v>0</v>
      </c>
      <c r="S90" s="33">
        <f t="shared" si="64"/>
        <v>0</v>
      </c>
      <c r="T90" s="33">
        <f t="shared" si="45"/>
        <v>0</v>
      </c>
      <c r="U90" s="33">
        <f t="shared" si="58"/>
        <v>0</v>
      </c>
      <c r="V90" s="33">
        <f t="shared" si="46"/>
        <v>0</v>
      </c>
      <c r="W90" s="33">
        <v>0</v>
      </c>
      <c r="X90" s="33">
        <f t="shared" si="47"/>
        <v>0</v>
      </c>
      <c r="Y90" s="38">
        <f t="shared" si="48"/>
        <v>0</v>
      </c>
      <c r="AA90" s="71">
        <v>85</v>
      </c>
      <c r="AB90" s="33">
        <f t="shared" si="49"/>
        <v>0</v>
      </c>
      <c r="AC90" s="304">
        <f t="shared" si="39"/>
        <v>0</v>
      </c>
      <c r="AD90" s="100">
        <f t="shared" si="50"/>
        <v>0</v>
      </c>
      <c r="AE90" s="100">
        <f t="shared" si="51"/>
        <v>0</v>
      </c>
      <c r="AF90" s="193">
        <f t="shared" si="34"/>
        <v>0</v>
      </c>
      <c r="AG90" s="193">
        <f t="shared" si="35"/>
        <v>0</v>
      </c>
      <c r="AH90" s="193">
        <f t="shared" si="36"/>
        <v>0</v>
      </c>
      <c r="AI90" s="198">
        <f t="shared" si="37"/>
        <v>0</v>
      </c>
      <c r="AK90" s="71">
        <v>85</v>
      </c>
      <c r="AL90" s="33">
        <f t="shared" si="52"/>
        <v>0</v>
      </c>
      <c r="AM90" s="33">
        <f t="shared" si="53"/>
        <v>0</v>
      </c>
      <c r="AN90" s="33">
        <f t="shared" si="54"/>
        <v>0</v>
      </c>
      <c r="AO90" s="33">
        <f t="shared" si="55"/>
        <v>0</v>
      </c>
      <c r="AP90" s="33">
        <f t="shared" si="56"/>
        <v>0</v>
      </c>
      <c r="AQ90" s="193">
        <f t="shared" si="42"/>
        <v>0</v>
      </c>
      <c r="AR90" s="193">
        <f t="shared" si="42"/>
        <v>0</v>
      </c>
      <c r="AS90" s="193">
        <f t="shared" si="42"/>
        <v>0</v>
      </c>
      <c r="AT90" s="193">
        <f t="shared" si="42"/>
        <v>0</v>
      </c>
      <c r="AU90" s="33"/>
      <c r="AV90" s="33"/>
      <c r="AW90" s="33"/>
      <c r="AX90" s="33"/>
      <c r="AY90" s="76"/>
    </row>
    <row r="91" spans="1:51">
      <c r="A91" t="s">
        <v>193</v>
      </c>
      <c r="B91" s="171">
        <f>IF(C43&lt;=$F$18,C43+1,"-")</f>
        <v>61</v>
      </c>
      <c r="C91" s="147">
        <f>D43-D44</f>
        <v>30</v>
      </c>
      <c r="D91" s="148">
        <v>0.9</v>
      </c>
      <c r="E91" s="128">
        <f t="shared" si="66"/>
        <v>5.5999999999999994E-2</v>
      </c>
      <c r="F91" s="128">
        <f t="shared" si="67"/>
        <v>4.3999999999999991E-2</v>
      </c>
      <c r="G91" s="149"/>
      <c r="H91" s="58">
        <f t="shared" si="65"/>
        <v>0</v>
      </c>
      <c r="I91" s="55">
        <v>86</v>
      </c>
      <c r="J91" s="33">
        <f t="shared" si="59"/>
        <v>0</v>
      </c>
      <c r="K91" s="33">
        <f t="shared" si="60"/>
        <v>0</v>
      </c>
      <c r="L91" s="33">
        <f t="shared" si="61"/>
        <v>0</v>
      </c>
      <c r="M91" s="33">
        <f t="shared" si="62"/>
        <v>0</v>
      </c>
      <c r="N91" s="33">
        <f t="shared" si="43"/>
        <v>0</v>
      </c>
      <c r="O91" s="34">
        <f t="shared" si="44"/>
        <v>0</v>
      </c>
      <c r="P91" s="55">
        <v>86</v>
      </c>
      <c r="Q91" s="33">
        <f t="shared" si="57"/>
        <v>0</v>
      </c>
      <c r="R91" s="33">
        <f t="shared" si="63"/>
        <v>0</v>
      </c>
      <c r="S91" s="33">
        <f t="shared" si="64"/>
        <v>0</v>
      </c>
      <c r="T91" s="33">
        <f t="shared" si="45"/>
        <v>0</v>
      </c>
      <c r="U91" s="33">
        <f t="shared" si="58"/>
        <v>0</v>
      </c>
      <c r="V91" s="33">
        <f t="shared" si="46"/>
        <v>0</v>
      </c>
      <c r="W91" s="33">
        <v>0</v>
      </c>
      <c r="X91" s="33">
        <f t="shared" si="47"/>
        <v>0</v>
      </c>
      <c r="Y91" s="38">
        <f t="shared" si="48"/>
        <v>0</v>
      </c>
      <c r="AA91" s="71">
        <v>86</v>
      </c>
      <c r="AB91" s="33">
        <f t="shared" si="49"/>
        <v>0</v>
      </c>
      <c r="AC91" s="304">
        <f t="shared" si="39"/>
        <v>0</v>
      </c>
      <c r="AD91" s="100">
        <f t="shared" si="50"/>
        <v>0</v>
      </c>
      <c r="AE91" s="100">
        <f t="shared" si="51"/>
        <v>0</v>
      </c>
      <c r="AF91" s="193">
        <f t="shared" ref="AF91:AF154" si="68">IF(OR(AA91&lt;=$F$18,AA91&lt;=30),EXP(-LN(2)/$D$104)*AF90+((1-EXP(-LN(2)/$D$104))/(LN(2)/$D$104))*$AB91*AC91*0.475*$F$19*44/12,)</f>
        <v>0</v>
      </c>
      <c r="AG91" s="193">
        <f t="shared" ref="AG91:AG154" si="69">IF(OR(AA91&lt;=$F$18,AA91&lt;=30),EXP(-LN(2)/$D$106)*AG90+((1-EXP(-LN(2)/$D$106))/(LN(2)/$D$106))*$AB91*AD91*0.475*$F$19*44/12,)</f>
        <v>0</v>
      </c>
      <c r="AH91" s="193">
        <f t="shared" ref="AH91:AH154" si="70">IF(OR(AA91&lt;=$F$18,AA91&lt;=30),EXP(-LN(2)/$D$105)*AH90+((1-EXP(-LN(2)/$D$105))/(LN(2)/$D$105))*$AB91*AE91*0.475*$F$19*44/12,)</f>
        <v>0</v>
      </c>
      <c r="AI91" s="198">
        <f t="shared" ref="AI91:AI154" si="71">IF(OR(AA91&lt;=$F$18,AA91&lt;=30),SUM(AF91:AH91),)</f>
        <v>0</v>
      </c>
      <c r="AK91" s="71">
        <v>86</v>
      </c>
      <c r="AL91" s="33">
        <f t="shared" si="52"/>
        <v>0</v>
      </c>
      <c r="AM91" s="33">
        <f t="shared" si="53"/>
        <v>0</v>
      </c>
      <c r="AN91" s="33">
        <f t="shared" si="54"/>
        <v>0</v>
      </c>
      <c r="AO91" s="33">
        <f t="shared" si="55"/>
        <v>0</v>
      </c>
      <c r="AP91" s="33">
        <f t="shared" si="56"/>
        <v>0</v>
      </c>
      <c r="AQ91" s="193">
        <f t="shared" si="42"/>
        <v>0</v>
      </c>
      <c r="AR91" s="193">
        <f t="shared" si="42"/>
        <v>0</v>
      </c>
      <c r="AS91" s="193">
        <f t="shared" si="42"/>
        <v>0</v>
      </c>
      <c r="AT91" s="193">
        <f t="shared" si="42"/>
        <v>0</v>
      </c>
      <c r="AU91" s="33"/>
      <c r="AV91" s="33"/>
      <c r="AW91" s="33"/>
      <c r="AX91" s="33"/>
      <c r="AY91" s="76"/>
    </row>
    <row r="92" spans="1:51">
      <c r="A92" t="s">
        <v>193</v>
      </c>
      <c r="B92" s="171">
        <f>IF(C45&lt;=$F$18,C45+1,"-")</f>
        <v>66</v>
      </c>
      <c r="C92" s="147">
        <f>D45-D46</f>
        <v>28</v>
      </c>
      <c r="D92" s="148">
        <v>0.9</v>
      </c>
      <c r="E92" s="128">
        <f>IF(G92+D92&lt;&gt;1,(1-(G92+D92))*56%,0)</f>
        <v>5.5999999999999994E-2</v>
      </c>
      <c r="F92" s="128">
        <f>IF(G92+D92&lt;&gt;1,(1-(G92+D92))*44%,0)</f>
        <v>4.3999999999999991E-2</v>
      </c>
      <c r="G92" s="149"/>
      <c r="H92" s="58">
        <f t="shared" si="65"/>
        <v>0</v>
      </c>
      <c r="I92" s="55">
        <v>87</v>
      </c>
      <c r="J92" s="33">
        <f t="shared" si="59"/>
        <v>0</v>
      </c>
      <c r="K92" s="33">
        <f t="shared" si="60"/>
        <v>0</v>
      </c>
      <c r="L92" s="33">
        <f t="shared" si="61"/>
        <v>0</v>
      </c>
      <c r="M92" s="33">
        <f t="shared" si="62"/>
        <v>0</v>
      </c>
      <c r="N92" s="33">
        <f t="shared" si="43"/>
        <v>0</v>
      </c>
      <c r="O92" s="34">
        <f t="shared" si="44"/>
        <v>0</v>
      </c>
      <c r="P92" s="55">
        <v>87</v>
      </c>
      <c r="Q92" s="33">
        <f t="shared" si="57"/>
        <v>0</v>
      </c>
      <c r="R92" s="33">
        <f t="shared" si="63"/>
        <v>0</v>
      </c>
      <c r="S92" s="33">
        <f t="shared" si="64"/>
        <v>0</v>
      </c>
      <c r="T92" s="33">
        <f t="shared" si="45"/>
        <v>0</v>
      </c>
      <c r="U92" s="33">
        <f t="shared" si="58"/>
        <v>0</v>
      </c>
      <c r="V92" s="33">
        <f t="shared" si="46"/>
        <v>0</v>
      </c>
      <c r="W92" s="33">
        <v>0</v>
      </c>
      <c r="X92" s="33">
        <f t="shared" si="47"/>
        <v>0</v>
      </c>
      <c r="Y92" s="38">
        <f t="shared" si="48"/>
        <v>0</v>
      </c>
      <c r="AA92" s="71">
        <v>87</v>
      </c>
      <c r="AB92" s="33">
        <f t="shared" si="49"/>
        <v>0</v>
      </c>
      <c r="AC92" s="304">
        <f t="shared" si="39"/>
        <v>0</v>
      </c>
      <c r="AD92" s="100">
        <f t="shared" si="50"/>
        <v>0</v>
      </c>
      <c r="AE92" s="100">
        <f t="shared" si="51"/>
        <v>0</v>
      </c>
      <c r="AF92" s="193">
        <f t="shared" si="68"/>
        <v>0</v>
      </c>
      <c r="AG92" s="193">
        <f t="shared" si="69"/>
        <v>0</v>
      </c>
      <c r="AH92" s="193">
        <f t="shared" si="70"/>
        <v>0</v>
      </c>
      <c r="AI92" s="198">
        <f t="shared" si="71"/>
        <v>0</v>
      </c>
      <c r="AK92" s="71">
        <v>87</v>
      </c>
      <c r="AL92" s="33">
        <f t="shared" si="52"/>
        <v>0</v>
      </c>
      <c r="AM92" s="33">
        <f t="shared" si="53"/>
        <v>0</v>
      </c>
      <c r="AN92" s="33">
        <f t="shared" si="54"/>
        <v>0</v>
      </c>
      <c r="AO92" s="33">
        <f t="shared" si="55"/>
        <v>0</v>
      </c>
      <c r="AP92" s="33">
        <f t="shared" si="56"/>
        <v>0</v>
      </c>
      <c r="AQ92" s="193">
        <f t="shared" si="42"/>
        <v>0</v>
      </c>
      <c r="AR92" s="193">
        <f t="shared" si="42"/>
        <v>0</v>
      </c>
      <c r="AS92" s="193">
        <f t="shared" si="42"/>
        <v>0</v>
      </c>
      <c r="AT92" s="193">
        <f t="shared" si="42"/>
        <v>0</v>
      </c>
      <c r="AU92" s="33"/>
      <c r="AV92" s="33"/>
      <c r="AW92" s="33"/>
      <c r="AX92" s="33"/>
      <c r="AY92" s="76"/>
    </row>
    <row r="93" spans="1:51">
      <c r="A93" t="s">
        <v>193</v>
      </c>
      <c r="B93" s="171">
        <f>IF(C47&lt;=$F$18,C47+1,"-")</f>
        <v>71</v>
      </c>
      <c r="C93" s="147">
        <f>D47-D48</f>
        <v>27</v>
      </c>
      <c r="D93" s="148">
        <v>0.9</v>
      </c>
      <c r="E93" s="128">
        <f>IF(G93+D93&lt;&gt;1,(1-(G93+D93))*56%,0)</f>
        <v>5.5999999999999994E-2</v>
      </c>
      <c r="F93" s="128">
        <f>IF(G93+D93&lt;&gt;1,(1-(G93+D93))*44%,0)</f>
        <v>4.3999999999999991E-2</v>
      </c>
      <c r="G93" s="149"/>
      <c r="H93" s="58">
        <f t="shared" si="65"/>
        <v>0</v>
      </c>
      <c r="I93" s="55">
        <v>88</v>
      </c>
      <c r="J93" s="33">
        <f t="shared" si="59"/>
        <v>0</v>
      </c>
      <c r="K93" s="33">
        <f t="shared" si="60"/>
        <v>0</v>
      </c>
      <c r="L93" s="33">
        <f t="shared" si="61"/>
        <v>0</v>
      </c>
      <c r="M93" s="33">
        <f t="shared" si="62"/>
        <v>0</v>
      </c>
      <c r="N93" s="33">
        <f t="shared" si="43"/>
        <v>0</v>
      </c>
      <c r="O93" s="34">
        <f t="shared" si="44"/>
        <v>0</v>
      </c>
      <c r="P93" s="55">
        <v>88</v>
      </c>
      <c r="Q93" s="33">
        <f t="shared" si="57"/>
        <v>0</v>
      </c>
      <c r="R93" s="33">
        <f t="shared" si="63"/>
        <v>0</v>
      </c>
      <c r="S93" s="33">
        <f t="shared" si="64"/>
        <v>0</v>
      </c>
      <c r="T93" s="33">
        <f t="shared" si="45"/>
        <v>0</v>
      </c>
      <c r="U93" s="33">
        <f t="shared" si="58"/>
        <v>0</v>
      </c>
      <c r="V93" s="33">
        <f t="shared" si="46"/>
        <v>0</v>
      </c>
      <c r="W93" s="33">
        <v>0</v>
      </c>
      <c r="X93" s="33">
        <f t="shared" si="47"/>
        <v>0</v>
      </c>
      <c r="Y93" s="38">
        <f t="shared" si="48"/>
        <v>0</v>
      </c>
      <c r="AA93" s="71">
        <v>88</v>
      </c>
      <c r="AB93" s="33">
        <f t="shared" si="49"/>
        <v>0</v>
      </c>
      <c r="AC93" s="304">
        <f t="shared" si="39"/>
        <v>0</v>
      </c>
      <c r="AD93" s="100">
        <f t="shared" si="50"/>
        <v>0</v>
      </c>
      <c r="AE93" s="100">
        <f t="shared" si="51"/>
        <v>0</v>
      </c>
      <c r="AF93" s="193">
        <f t="shared" si="68"/>
        <v>0</v>
      </c>
      <c r="AG93" s="193">
        <f t="shared" si="69"/>
        <v>0</v>
      </c>
      <c r="AH93" s="193">
        <f t="shared" si="70"/>
        <v>0</v>
      </c>
      <c r="AI93" s="198">
        <f t="shared" si="71"/>
        <v>0</v>
      </c>
      <c r="AK93" s="71">
        <v>88</v>
      </c>
      <c r="AL93" s="33">
        <f t="shared" si="52"/>
        <v>0</v>
      </c>
      <c r="AM93" s="33">
        <f t="shared" si="53"/>
        <v>0</v>
      </c>
      <c r="AN93" s="33">
        <f t="shared" si="54"/>
        <v>0</v>
      </c>
      <c r="AO93" s="33">
        <f t="shared" si="55"/>
        <v>0</v>
      </c>
      <c r="AP93" s="33">
        <f t="shared" si="56"/>
        <v>0</v>
      </c>
      <c r="AQ93" s="193">
        <f t="shared" si="42"/>
        <v>0</v>
      </c>
      <c r="AR93" s="193">
        <f t="shared" si="42"/>
        <v>0</v>
      </c>
      <c r="AS93" s="193">
        <f t="shared" si="42"/>
        <v>0</v>
      </c>
      <c r="AT93" s="193">
        <f t="shared" si="42"/>
        <v>0</v>
      </c>
      <c r="AU93" s="33"/>
      <c r="AV93" s="33"/>
      <c r="AW93" s="33"/>
      <c r="AX93" s="33"/>
      <c r="AY93" s="76"/>
    </row>
    <row r="94" spans="1:51">
      <c r="B94" s="183">
        <f>F18</f>
        <v>80</v>
      </c>
      <c r="C94" s="180">
        <f>VLOOKUP(B94,C25:D78,2)</f>
        <v>414</v>
      </c>
      <c r="D94" s="335">
        <v>0.95</v>
      </c>
      <c r="E94" s="336">
        <f>IF(G94+D94&lt;&gt;1,(1-(G94+D94))*56%,0)</f>
        <v>2.8000000000000028E-2</v>
      </c>
      <c r="F94" s="336">
        <f>IF(G94+D94&lt;&gt;1,(1-(G94+D94))*44%,0)</f>
        <v>2.200000000000002E-2</v>
      </c>
      <c r="G94" s="150"/>
      <c r="H94" s="58">
        <f t="shared" si="65"/>
        <v>0</v>
      </c>
      <c r="I94" s="55">
        <v>89</v>
      </c>
      <c r="J94" s="33">
        <f t="shared" si="59"/>
        <v>0</v>
      </c>
      <c r="K94" s="33">
        <f t="shared" si="60"/>
        <v>0</v>
      </c>
      <c r="L94" s="33">
        <f t="shared" si="61"/>
        <v>0</v>
      </c>
      <c r="M94" s="33">
        <f t="shared" si="62"/>
        <v>0</v>
      </c>
      <c r="N94" s="33">
        <f t="shared" si="43"/>
        <v>0</v>
      </c>
      <c r="O94" s="34">
        <f t="shared" si="44"/>
        <v>0</v>
      </c>
      <c r="P94" s="55">
        <v>89</v>
      </c>
      <c r="Q94" s="33">
        <f t="shared" si="57"/>
        <v>0</v>
      </c>
      <c r="R94" s="33">
        <f t="shared" si="63"/>
        <v>0</v>
      </c>
      <c r="S94" s="33">
        <f t="shared" si="64"/>
        <v>0</v>
      </c>
      <c r="T94" s="33">
        <f t="shared" si="45"/>
        <v>0</v>
      </c>
      <c r="U94" s="33">
        <f t="shared" si="58"/>
        <v>0</v>
      </c>
      <c r="V94" s="33">
        <f t="shared" si="46"/>
        <v>0</v>
      </c>
      <c r="W94" s="33">
        <v>0</v>
      </c>
      <c r="X94" s="33">
        <f t="shared" si="47"/>
        <v>0</v>
      </c>
      <c r="Y94" s="38">
        <f t="shared" si="48"/>
        <v>0</v>
      </c>
      <c r="AA94" s="71">
        <v>89</v>
      </c>
      <c r="AB94" s="33">
        <f t="shared" si="49"/>
        <v>0</v>
      </c>
      <c r="AC94" s="304">
        <f t="shared" si="39"/>
        <v>0</v>
      </c>
      <c r="AD94" s="100">
        <f t="shared" si="50"/>
        <v>0</v>
      </c>
      <c r="AE94" s="100">
        <f t="shared" si="51"/>
        <v>0</v>
      </c>
      <c r="AF94" s="193">
        <f t="shared" si="68"/>
        <v>0</v>
      </c>
      <c r="AG94" s="193">
        <f t="shared" si="69"/>
        <v>0</v>
      </c>
      <c r="AH94" s="193">
        <f t="shared" si="70"/>
        <v>0</v>
      </c>
      <c r="AI94" s="198">
        <f t="shared" si="71"/>
        <v>0</v>
      </c>
      <c r="AK94" s="71">
        <v>89</v>
      </c>
      <c r="AL94" s="33">
        <f t="shared" si="52"/>
        <v>0</v>
      </c>
      <c r="AM94" s="33">
        <f t="shared" si="53"/>
        <v>0</v>
      </c>
      <c r="AN94" s="33">
        <f t="shared" si="54"/>
        <v>0</v>
      </c>
      <c r="AO94" s="33">
        <f t="shared" si="55"/>
        <v>0</v>
      </c>
      <c r="AP94" s="33">
        <f t="shared" si="56"/>
        <v>0</v>
      </c>
      <c r="AQ94" s="193">
        <f t="shared" si="42"/>
        <v>0</v>
      </c>
      <c r="AR94" s="193">
        <f t="shared" si="42"/>
        <v>0</v>
      </c>
      <c r="AS94" s="193">
        <f t="shared" si="42"/>
        <v>0</v>
      </c>
      <c r="AT94" s="193">
        <f t="shared" si="42"/>
        <v>0</v>
      </c>
      <c r="AU94" s="33"/>
      <c r="AV94" s="33"/>
      <c r="AW94" s="33"/>
      <c r="AX94" s="33"/>
      <c r="AY94" s="76"/>
    </row>
    <row r="95" spans="1:51">
      <c r="I95" s="55">
        <v>90</v>
      </c>
      <c r="J95" s="33">
        <f t="shared" si="59"/>
        <v>0</v>
      </c>
      <c r="K95" s="33">
        <f t="shared" si="60"/>
        <v>0</v>
      </c>
      <c r="L95" s="33">
        <f t="shared" si="61"/>
        <v>0</v>
      </c>
      <c r="M95" s="33">
        <f t="shared" si="62"/>
        <v>0</v>
      </c>
      <c r="N95" s="33">
        <f t="shared" si="43"/>
        <v>0</v>
      </c>
      <c r="O95" s="34">
        <f t="shared" si="44"/>
        <v>0</v>
      </c>
      <c r="P95" s="55">
        <v>90</v>
      </c>
      <c r="Q95" s="33">
        <f t="shared" si="57"/>
        <v>0</v>
      </c>
      <c r="R95" s="33">
        <f t="shared" si="63"/>
        <v>0</v>
      </c>
      <c r="S95" s="33">
        <f t="shared" si="64"/>
        <v>0</v>
      </c>
      <c r="T95" s="33">
        <f t="shared" si="45"/>
        <v>0</v>
      </c>
      <c r="U95" s="33">
        <f t="shared" si="58"/>
        <v>0</v>
      </c>
      <c r="V95" s="33">
        <f t="shared" si="46"/>
        <v>0</v>
      </c>
      <c r="W95" s="33">
        <v>0</v>
      </c>
      <c r="X95" s="33">
        <f t="shared" si="47"/>
        <v>0</v>
      </c>
      <c r="Y95" s="38">
        <f t="shared" si="48"/>
        <v>0</v>
      </c>
      <c r="AA95" s="71">
        <v>90</v>
      </c>
      <c r="AB95" s="33">
        <f t="shared" si="49"/>
        <v>0</v>
      </c>
      <c r="AC95" s="304">
        <f t="shared" ref="AC95:AC158" si="72">IF(AA95&lt;=$F$18,IFERROR(VLOOKUP($AA95,$B$82:$G$94,3,FALSE),0),)*50%</f>
        <v>0</v>
      </c>
      <c r="AD95" s="100">
        <f t="shared" si="50"/>
        <v>0</v>
      </c>
      <c r="AE95" s="100">
        <f t="shared" si="51"/>
        <v>0</v>
      </c>
      <c r="AF95" s="193">
        <f t="shared" si="68"/>
        <v>0</v>
      </c>
      <c r="AG95" s="193">
        <f t="shared" si="69"/>
        <v>0</v>
      </c>
      <c r="AH95" s="193">
        <f t="shared" si="70"/>
        <v>0</v>
      </c>
      <c r="AI95" s="198">
        <f t="shared" si="71"/>
        <v>0</v>
      </c>
      <c r="AK95" s="71">
        <v>90</v>
      </c>
      <c r="AL95" s="33">
        <f t="shared" si="52"/>
        <v>0</v>
      </c>
      <c r="AM95" s="33">
        <f t="shared" si="53"/>
        <v>0</v>
      </c>
      <c r="AN95" s="33">
        <f t="shared" si="54"/>
        <v>0</v>
      </c>
      <c r="AO95" s="33">
        <f t="shared" si="55"/>
        <v>0</v>
      </c>
      <c r="AP95" s="33">
        <f t="shared" si="56"/>
        <v>0</v>
      </c>
      <c r="AQ95" s="193">
        <f t="shared" si="42"/>
        <v>0</v>
      </c>
      <c r="AR95" s="193">
        <f t="shared" si="42"/>
        <v>0</v>
      </c>
      <c r="AS95" s="193">
        <f t="shared" si="42"/>
        <v>0</v>
      </c>
      <c r="AT95" s="193">
        <f t="shared" si="42"/>
        <v>0</v>
      </c>
      <c r="AU95" s="33"/>
      <c r="AV95" s="33"/>
      <c r="AW95" s="33"/>
      <c r="AX95" s="33"/>
      <c r="AY95" s="76"/>
    </row>
    <row r="96" spans="1:51">
      <c r="C96" s="67" t="s">
        <v>154</v>
      </c>
      <c r="D96" t="s">
        <v>137</v>
      </c>
      <c r="E96" s="6"/>
      <c r="I96" s="55">
        <v>91</v>
      </c>
      <c r="J96" s="33">
        <f t="shared" si="59"/>
        <v>0</v>
      </c>
      <c r="K96" s="33">
        <f t="shared" si="60"/>
        <v>0</v>
      </c>
      <c r="L96" s="33">
        <f t="shared" si="61"/>
        <v>0</v>
      </c>
      <c r="M96" s="33">
        <f t="shared" si="62"/>
        <v>0</v>
      </c>
      <c r="N96" s="33">
        <f t="shared" si="43"/>
        <v>0</v>
      </c>
      <c r="O96" s="34">
        <f t="shared" si="44"/>
        <v>0</v>
      </c>
      <c r="P96" s="55">
        <v>91</v>
      </c>
      <c r="Q96" s="33">
        <f t="shared" si="57"/>
        <v>0</v>
      </c>
      <c r="R96" s="33">
        <f t="shared" si="63"/>
        <v>0</v>
      </c>
      <c r="S96" s="33">
        <f t="shared" si="64"/>
        <v>0</v>
      </c>
      <c r="T96" s="33">
        <f t="shared" si="45"/>
        <v>0</v>
      </c>
      <c r="U96" s="33">
        <f t="shared" si="58"/>
        <v>0</v>
      </c>
      <c r="V96" s="33">
        <f t="shared" si="46"/>
        <v>0</v>
      </c>
      <c r="W96" s="33">
        <v>0</v>
      </c>
      <c r="X96" s="33">
        <f t="shared" si="47"/>
        <v>0</v>
      </c>
      <c r="Y96" s="38">
        <f t="shared" si="48"/>
        <v>0</v>
      </c>
      <c r="AA96" s="71">
        <v>91</v>
      </c>
      <c r="AB96" s="33">
        <f t="shared" si="49"/>
        <v>0</v>
      </c>
      <c r="AC96" s="304">
        <f t="shared" si="72"/>
        <v>0</v>
      </c>
      <c r="AD96" s="100">
        <f t="shared" si="50"/>
        <v>0</v>
      </c>
      <c r="AE96" s="100">
        <f t="shared" si="51"/>
        <v>0</v>
      </c>
      <c r="AF96" s="193">
        <f t="shared" si="68"/>
        <v>0</v>
      </c>
      <c r="AG96" s="193">
        <f t="shared" si="69"/>
        <v>0</v>
      </c>
      <c r="AH96" s="193">
        <f t="shared" si="70"/>
        <v>0</v>
      </c>
      <c r="AI96" s="198">
        <f t="shared" si="71"/>
        <v>0</v>
      </c>
      <c r="AK96" s="71">
        <v>91</v>
      </c>
      <c r="AL96" s="33">
        <f t="shared" si="52"/>
        <v>0</v>
      </c>
      <c r="AM96" s="33">
        <f t="shared" si="53"/>
        <v>0</v>
      </c>
      <c r="AN96" s="33">
        <f t="shared" si="54"/>
        <v>0</v>
      </c>
      <c r="AO96" s="33">
        <f t="shared" si="55"/>
        <v>0</v>
      </c>
      <c r="AP96" s="33">
        <f t="shared" si="56"/>
        <v>0</v>
      </c>
      <c r="AQ96" s="193">
        <f t="shared" si="42"/>
        <v>0</v>
      </c>
      <c r="AR96" s="193">
        <f t="shared" si="42"/>
        <v>0</v>
      </c>
      <c r="AS96" s="193">
        <f t="shared" si="42"/>
        <v>0</v>
      </c>
      <c r="AT96" s="193">
        <f t="shared" si="42"/>
        <v>0</v>
      </c>
      <c r="AU96" s="33"/>
      <c r="AV96" s="33"/>
      <c r="AW96" s="33"/>
      <c r="AX96" s="33"/>
      <c r="AY96" s="76"/>
    </row>
    <row r="97" spans="2:51">
      <c r="B97" s="2" t="s">
        <v>0</v>
      </c>
      <c r="C97">
        <v>32</v>
      </c>
      <c r="D97">
        <v>0</v>
      </c>
      <c r="E97" s="6"/>
      <c r="I97" s="55">
        <v>92</v>
      </c>
      <c r="J97" s="33">
        <f t="shared" si="59"/>
        <v>0</v>
      </c>
      <c r="K97" s="33">
        <f t="shared" si="60"/>
        <v>0</v>
      </c>
      <c r="L97" s="33">
        <f t="shared" si="61"/>
        <v>0</v>
      </c>
      <c r="M97" s="33">
        <f t="shared" si="62"/>
        <v>0</v>
      </c>
      <c r="N97" s="33">
        <f t="shared" si="43"/>
        <v>0</v>
      </c>
      <c r="O97" s="34">
        <f t="shared" si="44"/>
        <v>0</v>
      </c>
      <c r="P97" s="55">
        <v>92</v>
      </c>
      <c r="Q97" s="33">
        <f t="shared" si="57"/>
        <v>0</v>
      </c>
      <c r="R97" s="33">
        <f t="shared" si="63"/>
        <v>0</v>
      </c>
      <c r="S97" s="33">
        <f t="shared" si="64"/>
        <v>0</v>
      </c>
      <c r="T97" s="33">
        <f t="shared" si="45"/>
        <v>0</v>
      </c>
      <c r="U97" s="33">
        <f t="shared" si="58"/>
        <v>0</v>
      </c>
      <c r="V97" s="33">
        <f t="shared" si="46"/>
        <v>0</v>
      </c>
      <c r="W97" s="33">
        <v>0</v>
      </c>
      <c r="X97" s="33">
        <f t="shared" si="47"/>
        <v>0</v>
      </c>
      <c r="Y97" s="38">
        <f t="shared" si="48"/>
        <v>0</v>
      </c>
      <c r="AA97" s="71">
        <v>92</v>
      </c>
      <c r="AB97" s="33">
        <f t="shared" si="49"/>
        <v>0</v>
      </c>
      <c r="AC97" s="304">
        <f t="shared" si="72"/>
        <v>0</v>
      </c>
      <c r="AD97" s="100">
        <f t="shared" si="50"/>
        <v>0</v>
      </c>
      <c r="AE97" s="100">
        <f t="shared" si="51"/>
        <v>0</v>
      </c>
      <c r="AF97" s="193">
        <f t="shared" si="68"/>
        <v>0</v>
      </c>
      <c r="AG97" s="193">
        <f t="shared" si="69"/>
        <v>0</v>
      </c>
      <c r="AH97" s="193">
        <f t="shared" si="70"/>
        <v>0</v>
      </c>
      <c r="AI97" s="198">
        <f t="shared" si="71"/>
        <v>0</v>
      </c>
      <c r="AK97" s="71">
        <v>92</v>
      </c>
      <c r="AL97" s="33">
        <f t="shared" si="52"/>
        <v>0</v>
      </c>
      <c r="AM97" s="33">
        <f t="shared" si="53"/>
        <v>0</v>
      </c>
      <c r="AN97" s="33">
        <f t="shared" si="54"/>
        <v>0</v>
      </c>
      <c r="AO97" s="33">
        <f t="shared" si="55"/>
        <v>0</v>
      </c>
      <c r="AP97" s="33">
        <f t="shared" si="56"/>
        <v>0</v>
      </c>
      <c r="AQ97" s="193">
        <f t="shared" si="42"/>
        <v>0</v>
      </c>
      <c r="AR97" s="193">
        <f t="shared" si="42"/>
        <v>0</v>
      </c>
      <c r="AS97" s="193">
        <f t="shared" si="42"/>
        <v>0</v>
      </c>
      <c r="AT97" s="193">
        <f t="shared" si="42"/>
        <v>0</v>
      </c>
      <c r="AU97" s="33"/>
      <c r="AV97" s="33"/>
      <c r="AW97" s="33"/>
      <c r="AX97" s="33"/>
      <c r="AY97" s="76"/>
    </row>
    <row r="98" spans="2:51">
      <c r="B98" s="2" t="s">
        <v>1</v>
      </c>
      <c r="C98">
        <v>45</v>
      </c>
      <c r="D98">
        <v>0</v>
      </c>
      <c r="E98" s="6"/>
      <c r="I98" s="55">
        <v>93</v>
      </c>
      <c r="J98" s="33">
        <f t="shared" si="59"/>
        <v>0</v>
      </c>
      <c r="K98" s="33">
        <f t="shared" si="60"/>
        <v>0</v>
      </c>
      <c r="L98" s="33">
        <f t="shared" si="61"/>
        <v>0</v>
      </c>
      <c r="M98" s="33">
        <f t="shared" si="62"/>
        <v>0</v>
      </c>
      <c r="N98" s="33">
        <f t="shared" si="43"/>
        <v>0</v>
      </c>
      <c r="O98" s="34">
        <f t="shared" si="44"/>
        <v>0</v>
      </c>
      <c r="P98" s="55">
        <v>93</v>
      </c>
      <c r="Q98" s="33">
        <f t="shared" si="57"/>
        <v>0</v>
      </c>
      <c r="R98" s="33">
        <f t="shared" si="63"/>
        <v>0</v>
      </c>
      <c r="S98" s="33">
        <f t="shared" si="64"/>
        <v>0</v>
      </c>
      <c r="T98" s="33">
        <f t="shared" si="45"/>
        <v>0</v>
      </c>
      <c r="U98" s="33">
        <f t="shared" si="58"/>
        <v>0</v>
      </c>
      <c r="V98" s="33">
        <f t="shared" si="46"/>
        <v>0</v>
      </c>
      <c r="W98" s="33">
        <v>0</v>
      </c>
      <c r="X98" s="33">
        <f t="shared" si="47"/>
        <v>0</v>
      </c>
      <c r="Y98" s="38">
        <f t="shared" si="48"/>
        <v>0</v>
      </c>
      <c r="AA98" s="71">
        <v>93</v>
      </c>
      <c r="AB98" s="33">
        <f t="shared" si="49"/>
        <v>0</v>
      </c>
      <c r="AC98" s="304">
        <f t="shared" si="72"/>
        <v>0</v>
      </c>
      <c r="AD98" s="100">
        <f t="shared" si="50"/>
        <v>0</v>
      </c>
      <c r="AE98" s="100">
        <f t="shared" si="51"/>
        <v>0</v>
      </c>
      <c r="AF98" s="193">
        <f t="shared" si="68"/>
        <v>0</v>
      </c>
      <c r="AG98" s="193">
        <f t="shared" si="69"/>
        <v>0</v>
      </c>
      <c r="AH98" s="193">
        <f t="shared" si="70"/>
        <v>0</v>
      </c>
      <c r="AI98" s="198">
        <f t="shared" si="71"/>
        <v>0</v>
      </c>
      <c r="AK98" s="71">
        <v>93</v>
      </c>
      <c r="AL98" s="33">
        <f t="shared" si="52"/>
        <v>0</v>
      </c>
      <c r="AM98" s="33">
        <f t="shared" si="53"/>
        <v>0</v>
      </c>
      <c r="AN98" s="33">
        <f t="shared" si="54"/>
        <v>0</v>
      </c>
      <c r="AO98" s="33">
        <f t="shared" si="55"/>
        <v>0</v>
      </c>
      <c r="AP98" s="33">
        <f t="shared" si="56"/>
        <v>0</v>
      </c>
      <c r="AQ98" s="193">
        <f t="shared" si="42"/>
        <v>0</v>
      </c>
      <c r="AR98" s="193">
        <f t="shared" si="42"/>
        <v>0</v>
      </c>
      <c r="AS98" s="193">
        <f t="shared" si="42"/>
        <v>0</v>
      </c>
      <c r="AT98" s="193">
        <f t="shared" si="42"/>
        <v>0</v>
      </c>
      <c r="AU98" s="33"/>
      <c r="AV98" s="33"/>
      <c r="AW98" s="33"/>
      <c r="AX98" s="33"/>
      <c r="AY98" s="76"/>
    </row>
    <row r="99" spans="2:51">
      <c r="B99" s="2" t="s">
        <v>2</v>
      </c>
      <c r="C99">
        <v>70</v>
      </c>
      <c r="D99">
        <v>0</v>
      </c>
      <c r="E99" s="6"/>
      <c r="I99" s="55">
        <v>94</v>
      </c>
      <c r="J99" s="33">
        <f t="shared" si="59"/>
        <v>0</v>
      </c>
      <c r="K99" s="33">
        <f t="shared" si="60"/>
        <v>0</v>
      </c>
      <c r="L99" s="33">
        <f t="shared" si="61"/>
        <v>0</v>
      </c>
      <c r="M99" s="33">
        <f t="shared" si="62"/>
        <v>0</v>
      </c>
      <c r="N99" s="33">
        <f t="shared" si="43"/>
        <v>0</v>
      </c>
      <c r="O99" s="34">
        <f t="shared" si="44"/>
        <v>0</v>
      </c>
      <c r="P99" s="55">
        <v>94</v>
      </c>
      <c r="Q99" s="33">
        <f t="shared" si="57"/>
        <v>0</v>
      </c>
      <c r="R99" s="33">
        <f t="shared" si="63"/>
        <v>0</v>
      </c>
      <c r="S99" s="33">
        <f t="shared" si="64"/>
        <v>0</v>
      </c>
      <c r="T99" s="33">
        <f t="shared" si="45"/>
        <v>0</v>
      </c>
      <c r="U99" s="33">
        <f t="shared" si="58"/>
        <v>0</v>
      </c>
      <c r="V99" s="33">
        <f t="shared" si="46"/>
        <v>0</v>
      </c>
      <c r="W99" s="33">
        <v>0</v>
      </c>
      <c r="X99" s="33">
        <f t="shared" si="47"/>
        <v>0</v>
      </c>
      <c r="Y99" s="38">
        <f t="shared" si="48"/>
        <v>0</v>
      </c>
      <c r="AA99" s="71">
        <v>94</v>
      </c>
      <c r="AB99" s="33">
        <f t="shared" si="49"/>
        <v>0</v>
      </c>
      <c r="AC99" s="304">
        <f t="shared" si="72"/>
        <v>0</v>
      </c>
      <c r="AD99" s="100">
        <f t="shared" si="50"/>
        <v>0</v>
      </c>
      <c r="AE99" s="100">
        <f t="shared" si="51"/>
        <v>0</v>
      </c>
      <c r="AF99" s="193">
        <f t="shared" si="68"/>
        <v>0</v>
      </c>
      <c r="AG99" s="193">
        <f t="shared" si="69"/>
        <v>0</v>
      </c>
      <c r="AH99" s="193">
        <f t="shared" si="70"/>
        <v>0</v>
      </c>
      <c r="AI99" s="198">
        <f t="shared" si="71"/>
        <v>0</v>
      </c>
      <c r="AK99" s="71">
        <v>94</v>
      </c>
      <c r="AL99" s="33">
        <f t="shared" si="52"/>
        <v>0</v>
      </c>
      <c r="AM99" s="33">
        <f t="shared" si="53"/>
        <v>0</v>
      </c>
      <c r="AN99" s="33">
        <f t="shared" si="54"/>
        <v>0</v>
      </c>
      <c r="AO99" s="33">
        <f t="shared" si="55"/>
        <v>0</v>
      </c>
      <c r="AP99" s="33">
        <f t="shared" si="56"/>
        <v>0</v>
      </c>
      <c r="AQ99" s="193">
        <f t="shared" si="42"/>
        <v>0</v>
      </c>
      <c r="AR99" s="193">
        <f t="shared" si="42"/>
        <v>0</v>
      </c>
      <c r="AS99" s="193">
        <f t="shared" si="42"/>
        <v>0</v>
      </c>
      <c r="AT99" s="193">
        <f t="shared" si="42"/>
        <v>0</v>
      </c>
      <c r="AU99" s="33"/>
      <c r="AV99" s="33"/>
      <c r="AW99" s="33"/>
      <c r="AX99" s="33"/>
      <c r="AY99" s="76"/>
    </row>
    <row r="100" spans="2:51">
      <c r="B100" s="2" t="s">
        <v>135</v>
      </c>
      <c r="C100">
        <v>70</v>
      </c>
      <c r="D100">
        <v>0</v>
      </c>
      <c r="E100" s="6"/>
      <c r="I100" s="55">
        <v>95</v>
      </c>
      <c r="J100" s="33">
        <f t="shared" si="59"/>
        <v>0</v>
      </c>
      <c r="K100" s="33">
        <f t="shared" si="60"/>
        <v>0</v>
      </c>
      <c r="L100" s="33">
        <f t="shared" si="61"/>
        <v>0</v>
      </c>
      <c r="M100" s="33">
        <f t="shared" si="62"/>
        <v>0</v>
      </c>
      <c r="N100" s="33">
        <f t="shared" si="43"/>
        <v>0</v>
      </c>
      <c r="O100" s="34">
        <f t="shared" si="44"/>
        <v>0</v>
      </c>
      <c r="P100" s="55">
        <v>95</v>
      </c>
      <c r="Q100" s="33">
        <f t="shared" si="57"/>
        <v>0</v>
      </c>
      <c r="R100" s="33">
        <f t="shared" si="63"/>
        <v>0</v>
      </c>
      <c r="S100" s="33">
        <f t="shared" si="64"/>
        <v>0</v>
      </c>
      <c r="T100" s="33">
        <f t="shared" si="45"/>
        <v>0</v>
      </c>
      <c r="U100" s="33">
        <f t="shared" si="58"/>
        <v>0</v>
      </c>
      <c r="V100" s="33">
        <f t="shared" si="46"/>
        <v>0</v>
      </c>
      <c r="W100" s="33">
        <v>0</v>
      </c>
      <c r="X100" s="33">
        <f t="shared" si="47"/>
        <v>0</v>
      </c>
      <c r="Y100" s="38">
        <f t="shared" si="48"/>
        <v>0</v>
      </c>
      <c r="AA100" s="71">
        <v>95</v>
      </c>
      <c r="AB100" s="33">
        <f t="shared" si="49"/>
        <v>0</v>
      </c>
      <c r="AC100" s="304">
        <f t="shared" si="72"/>
        <v>0</v>
      </c>
      <c r="AD100" s="100">
        <f t="shared" si="50"/>
        <v>0</v>
      </c>
      <c r="AE100" s="100">
        <f t="shared" si="51"/>
        <v>0</v>
      </c>
      <c r="AF100" s="193">
        <f t="shared" si="68"/>
        <v>0</v>
      </c>
      <c r="AG100" s="193">
        <f t="shared" si="69"/>
        <v>0</v>
      </c>
      <c r="AH100" s="193">
        <f t="shared" si="70"/>
        <v>0</v>
      </c>
      <c r="AI100" s="198">
        <f t="shared" si="71"/>
        <v>0</v>
      </c>
      <c r="AK100" s="71">
        <v>95</v>
      </c>
      <c r="AL100" s="33">
        <f t="shared" si="52"/>
        <v>0</v>
      </c>
      <c r="AM100" s="33">
        <f t="shared" si="53"/>
        <v>0</v>
      </c>
      <c r="AN100" s="33">
        <f t="shared" si="54"/>
        <v>0</v>
      </c>
      <c r="AO100" s="33">
        <f t="shared" si="55"/>
        <v>0</v>
      </c>
      <c r="AP100" s="33">
        <f t="shared" si="56"/>
        <v>0</v>
      </c>
      <c r="AQ100" s="193">
        <f t="shared" si="42"/>
        <v>0</v>
      </c>
      <c r="AR100" s="193">
        <f t="shared" si="42"/>
        <v>0</v>
      </c>
      <c r="AS100" s="193">
        <f t="shared" si="42"/>
        <v>0</v>
      </c>
      <c r="AT100" s="193">
        <f t="shared" si="42"/>
        <v>0</v>
      </c>
      <c r="AU100" s="33"/>
      <c r="AV100" s="33"/>
      <c r="AW100" s="33"/>
      <c r="AX100" s="33"/>
      <c r="AY100" s="76"/>
    </row>
    <row r="101" spans="2:51">
      <c r="C101" s="27"/>
      <c r="E101" s="6"/>
      <c r="I101" s="55">
        <v>96</v>
      </c>
      <c r="J101" s="33">
        <f t="shared" si="59"/>
        <v>0</v>
      </c>
      <c r="K101" s="33">
        <f t="shared" si="60"/>
        <v>0</v>
      </c>
      <c r="L101" s="33">
        <f t="shared" si="61"/>
        <v>0</v>
      </c>
      <c r="M101" s="33">
        <f t="shared" si="62"/>
        <v>0</v>
      </c>
      <c r="N101" s="33">
        <f t="shared" si="43"/>
        <v>0</v>
      </c>
      <c r="O101" s="34">
        <f t="shared" si="44"/>
        <v>0</v>
      </c>
      <c r="P101" s="55">
        <v>96</v>
      </c>
      <c r="Q101" s="33">
        <f t="shared" si="57"/>
        <v>0</v>
      </c>
      <c r="R101" s="33">
        <f t="shared" si="63"/>
        <v>0</v>
      </c>
      <c r="S101" s="33">
        <f t="shared" si="64"/>
        <v>0</v>
      </c>
      <c r="T101" s="33">
        <f t="shared" si="45"/>
        <v>0</v>
      </c>
      <c r="U101" s="33">
        <f t="shared" si="58"/>
        <v>0</v>
      </c>
      <c r="V101" s="33">
        <f t="shared" si="46"/>
        <v>0</v>
      </c>
      <c r="W101" s="33">
        <v>0</v>
      </c>
      <c r="X101" s="33">
        <f t="shared" si="47"/>
        <v>0</v>
      </c>
      <c r="Y101" s="38">
        <f t="shared" si="48"/>
        <v>0</v>
      </c>
      <c r="AA101" s="71">
        <v>96</v>
      </c>
      <c r="AB101" s="33">
        <f t="shared" si="49"/>
        <v>0</v>
      </c>
      <c r="AC101" s="304">
        <f t="shared" si="72"/>
        <v>0</v>
      </c>
      <c r="AD101" s="100">
        <f t="shared" si="50"/>
        <v>0</v>
      </c>
      <c r="AE101" s="100">
        <f t="shared" si="51"/>
        <v>0</v>
      </c>
      <c r="AF101" s="193">
        <f t="shared" si="68"/>
        <v>0</v>
      </c>
      <c r="AG101" s="193">
        <f t="shared" si="69"/>
        <v>0</v>
      </c>
      <c r="AH101" s="193">
        <f t="shared" si="70"/>
        <v>0</v>
      </c>
      <c r="AI101" s="198">
        <f t="shared" si="71"/>
        <v>0</v>
      </c>
      <c r="AK101" s="71">
        <v>96</v>
      </c>
      <c r="AL101" s="33">
        <f t="shared" si="52"/>
        <v>0</v>
      </c>
      <c r="AM101" s="33">
        <f t="shared" si="53"/>
        <v>0</v>
      </c>
      <c r="AN101" s="33">
        <f t="shared" si="54"/>
        <v>0</v>
      </c>
      <c r="AO101" s="33">
        <f t="shared" si="55"/>
        <v>0</v>
      </c>
      <c r="AP101" s="33">
        <f t="shared" si="56"/>
        <v>0</v>
      </c>
      <c r="AQ101" s="193">
        <f t="shared" si="42"/>
        <v>0</v>
      </c>
      <c r="AR101" s="193">
        <f t="shared" si="42"/>
        <v>0</v>
      </c>
      <c r="AS101" s="193">
        <f t="shared" si="42"/>
        <v>0</v>
      </c>
      <c r="AT101" s="193">
        <f t="shared" si="42"/>
        <v>0</v>
      </c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59"/>
        <v>0</v>
      </c>
      <c r="K102" s="33">
        <f t="shared" si="60"/>
        <v>0</v>
      </c>
      <c r="L102" s="33">
        <f t="shared" si="61"/>
        <v>0</v>
      </c>
      <c r="M102" s="33">
        <f t="shared" si="62"/>
        <v>0</v>
      </c>
      <c r="N102" s="33">
        <f t="shared" si="43"/>
        <v>0</v>
      </c>
      <c r="O102" s="34">
        <f t="shared" si="44"/>
        <v>0</v>
      </c>
      <c r="P102" s="55">
        <v>97</v>
      </c>
      <c r="Q102" s="33">
        <f t="shared" si="57"/>
        <v>0</v>
      </c>
      <c r="R102" s="33">
        <f t="shared" si="63"/>
        <v>0</v>
      </c>
      <c r="S102" s="33">
        <f t="shared" si="64"/>
        <v>0</v>
      </c>
      <c r="T102" s="33">
        <f t="shared" si="45"/>
        <v>0</v>
      </c>
      <c r="U102" s="33">
        <f t="shared" si="58"/>
        <v>0</v>
      </c>
      <c r="V102" s="33">
        <f t="shared" si="46"/>
        <v>0</v>
      </c>
      <c r="W102" s="33">
        <v>0</v>
      </c>
      <c r="X102" s="33">
        <f t="shared" si="47"/>
        <v>0</v>
      </c>
      <c r="Y102" s="38">
        <f t="shared" si="48"/>
        <v>0</v>
      </c>
      <c r="AA102" s="71">
        <v>97</v>
      </c>
      <c r="AB102" s="33">
        <f t="shared" si="49"/>
        <v>0</v>
      </c>
      <c r="AC102" s="304">
        <f t="shared" si="72"/>
        <v>0</v>
      </c>
      <c r="AD102" s="100">
        <f t="shared" si="50"/>
        <v>0</v>
      </c>
      <c r="AE102" s="100">
        <f t="shared" si="51"/>
        <v>0</v>
      </c>
      <c r="AF102" s="193">
        <f t="shared" si="68"/>
        <v>0</v>
      </c>
      <c r="AG102" s="193">
        <f t="shared" si="69"/>
        <v>0</v>
      </c>
      <c r="AH102" s="193">
        <f t="shared" si="70"/>
        <v>0</v>
      </c>
      <c r="AI102" s="198">
        <f t="shared" si="71"/>
        <v>0</v>
      </c>
      <c r="AK102" s="71">
        <v>97</v>
      </c>
      <c r="AL102" s="33">
        <f t="shared" si="52"/>
        <v>0</v>
      </c>
      <c r="AM102" s="33">
        <f t="shared" si="53"/>
        <v>0</v>
      </c>
      <c r="AN102" s="33">
        <f t="shared" si="54"/>
        <v>0</v>
      </c>
      <c r="AO102" s="33">
        <f t="shared" si="55"/>
        <v>0</v>
      </c>
      <c r="AP102" s="33">
        <f t="shared" si="56"/>
        <v>0</v>
      </c>
      <c r="AQ102" s="193">
        <f t="shared" si="42"/>
        <v>0</v>
      </c>
      <c r="AR102" s="193">
        <f t="shared" si="42"/>
        <v>0</v>
      </c>
      <c r="AS102" s="193">
        <f t="shared" si="42"/>
        <v>0</v>
      </c>
      <c r="AT102" s="193">
        <f t="shared" si="42"/>
        <v>0</v>
      </c>
      <c r="AU102" s="33"/>
      <c r="AV102" s="33"/>
      <c r="AW102" s="33"/>
      <c r="AX102" s="33"/>
      <c r="AY102" s="76"/>
    </row>
    <row r="103" spans="2:51" ht="16">
      <c r="C103" s="25" t="s">
        <v>157</v>
      </c>
      <c r="D103" s="137" t="s">
        <v>158</v>
      </c>
      <c r="F103" s="189" t="s">
        <v>232</v>
      </c>
      <c r="I103" s="55">
        <v>98</v>
      </c>
      <c r="J103" s="33">
        <f t="shared" si="59"/>
        <v>0</v>
      </c>
      <c r="K103" s="33">
        <f t="shared" si="60"/>
        <v>0</v>
      </c>
      <c r="L103" s="33">
        <f t="shared" si="61"/>
        <v>0</v>
      </c>
      <c r="M103" s="33">
        <f t="shared" si="62"/>
        <v>0</v>
      </c>
      <c r="N103" s="33">
        <f t="shared" si="43"/>
        <v>0</v>
      </c>
      <c r="O103" s="34">
        <f t="shared" si="44"/>
        <v>0</v>
      </c>
      <c r="P103" s="55">
        <v>98</v>
      </c>
      <c r="Q103" s="33">
        <f t="shared" si="57"/>
        <v>0</v>
      </c>
      <c r="R103" s="33">
        <f t="shared" si="63"/>
        <v>0</v>
      </c>
      <c r="S103" s="33">
        <f t="shared" si="64"/>
        <v>0</v>
      </c>
      <c r="T103" s="33">
        <f t="shared" si="45"/>
        <v>0</v>
      </c>
      <c r="U103" s="33">
        <f t="shared" si="58"/>
        <v>0</v>
      </c>
      <c r="V103" s="33">
        <f t="shared" si="46"/>
        <v>0</v>
      </c>
      <c r="W103" s="33">
        <v>0</v>
      </c>
      <c r="X103" s="33">
        <f t="shared" si="47"/>
        <v>0</v>
      </c>
      <c r="Y103" s="38">
        <f t="shared" si="48"/>
        <v>0</v>
      </c>
      <c r="AA103" s="71">
        <v>98</v>
      </c>
      <c r="AB103" s="33">
        <f t="shared" si="49"/>
        <v>0</v>
      </c>
      <c r="AC103" s="304">
        <f t="shared" si="72"/>
        <v>0</v>
      </c>
      <c r="AD103" s="100">
        <f t="shared" si="50"/>
        <v>0</v>
      </c>
      <c r="AE103" s="100">
        <f t="shared" si="51"/>
        <v>0</v>
      </c>
      <c r="AF103" s="193">
        <f t="shared" si="68"/>
        <v>0</v>
      </c>
      <c r="AG103" s="193">
        <f t="shared" si="69"/>
        <v>0</v>
      </c>
      <c r="AH103" s="193">
        <f t="shared" si="70"/>
        <v>0</v>
      </c>
      <c r="AI103" s="198">
        <f t="shared" si="71"/>
        <v>0</v>
      </c>
      <c r="AK103" s="71">
        <v>98</v>
      </c>
      <c r="AL103" s="33">
        <f t="shared" si="52"/>
        <v>0</v>
      </c>
      <c r="AM103" s="33">
        <f t="shared" si="53"/>
        <v>0</v>
      </c>
      <c r="AN103" s="33">
        <f t="shared" si="54"/>
        <v>0</v>
      </c>
      <c r="AO103" s="33">
        <f t="shared" si="55"/>
        <v>0</v>
      </c>
      <c r="AP103" s="33">
        <f t="shared" si="56"/>
        <v>0</v>
      </c>
      <c r="AQ103" s="193">
        <f t="shared" si="42"/>
        <v>0</v>
      </c>
      <c r="AR103" s="193">
        <f t="shared" si="42"/>
        <v>0</v>
      </c>
      <c r="AS103" s="193">
        <f t="shared" si="42"/>
        <v>0</v>
      </c>
      <c r="AT103" s="193">
        <f t="shared" si="42"/>
        <v>0</v>
      </c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188" t="s">
        <v>228</v>
      </c>
      <c r="G104" s="24">
        <v>0.25</v>
      </c>
      <c r="I104" s="55">
        <v>99</v>
      </c>
      <c r="J104" s="33">
        <f t="shared" si="59"/>
        <v>0</v>
      </c>
      <c r="K104" s="33">
        <f t="shared" si="60"/>
        <v>0</v>
      </c>
      <c r="L104" s="33">
        <f t="shared" si="61"/>
        <v>0</v>
      </c>
      <c r="M104" s="33">
        <f t="shared" si="62"/>
        <v>0</v>
      </c>
      <c r="N104" s="33">
        <f t="shared" si="43"/>
        <v>0</v>
      </c>
      <c r="O104" s="34">
        <f t="shared" si="44"/>
        <v>0</v>
      </c>
      <c r="P104" s="55">
        <v>99</v>
      </c>
      <c r="Q104" s="33">
        <f t="shared" si="57"/>
        <v>0</v>
      </c>
      <c r="R104" s="33">
        <f t="shared" si="63"/>
        <v>0</v>
      </c>
      <c r="S104" s="33">
        <f t="shared" si="64"/>
        <v>0</v>
      </c>
      <c r="T104" s="33">
        <f t="shared" si="45"/>
        <v>0</v>
      </c>
      <c r="U104" s="33">
        <f t="shared" si="58"/>
        <v>0</v>
      </c>
      <c r="V104" s="33">
        <f t="shared" si="46"/>
        <v>0</v>
      </c>
      <c r="W104" s="33">
        <v>0</v>
      </c>
      <c r="X104" s="33">
        <f t="shared" si="47"/>
        <v>0</v>
      </c>
      <c r="Y104" s="38">
        <f t="shared" si="48"/>
        <v>0</v>
      </c>
      <c r="AA104" s="71">
        <v>99</v>
      </c>
      <c r="AB104" s="33">
        <f t="shared" si="49"/>
        <v>0</v>
      </c>
      <c r="AC104" s="304">
        <f t="shared" si="72"/>
        <v>0</v>
      </c>
      <c r="AD104" s="100">
        <f t="shared" si="50"/>
        <v>0</v>
      </c>
      <c r="AE104" s="100">
        <f t="shared" si="51"/>
        <v>0</v>
      </c>
      <c r="AF104" s="193">
        <f t="shared" si="68"/>
        <v>0</v>
      </c>
      <c r="AG104" s="193">
        <f t="shared" si="69"/>
        <v>0</v>
      </c>
      <c r="AH104" s="193">
        <f t="shared" si="70"/>
        <v>0</v>
      </c>
      <c r="AI104" s="198">
        <f t="shared" si="71"/>
        <v>0</v>
      </c>
      <c r="AK104" s="71">
        <v>99</v>
      </c>
      <c r="AL104" s="33">
        <f t="shared" si="52"/>
        <v>0</v>
      </c>
      <c r="AM104" s="33">
        <f t="shared" si="53"/>
        <v>0</v>
      </c>
      <c r="AN104" s="33">
        <f t="shared" si="54"/>
        <v>0</v>
      </c>
      <c r="AO104" s="33">
        <f t="shared" si="55"/>
        <v>0</v>
      </c>
      <c r="AP104" s="33">
        <f t="shared" si="56"/>
        <v>0</v>
      </c>
      <c r="AQ104" s="193">
        <f t="shared" si="42"/>
        <v>0</v>
      </c>
      <c r="AR104" s="193">
        <f t="shared" si="42"/>
        <v>0</v>
      </c>
      <c r="AS104" s="193">
        <f t="shared" si="42"/>
        <v>0</v>
      </c>
      <c r="AT104" s="193">
        <f t="shared" si="42"/>
        <v>0</v>
      </c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188" t="s">
        <v>230</v>
      </c>
      <c r="G105" s="24">
        <v>1.03</v>
      </c>
      <c r="I105" s="55">
        <v>100</v>
      </c>
      <c r="J105" s="33">
        <f t="shared" si="59"/>
        <v>0</v>
      </c>
      <c r="K105" s="33">
        <f t="shared" si="60"/>
        <v>0</v>
      </c>
      <c r="L105" s="33">
        <f t="shared" si="61"/>
        <v>0</v>
      </c>
      <c r="M105" s="33">
        <f t="shared" si="62"/>
        <v>0</v>
      </c>
      <c r="N105" s="33">
        <f t="shared" si="43"/>
        <v>0</v>
      </c>
      <c r="O105" s="34">
        <f t="shared" si="44"/>
        <v>0</v>
      </c>
      <c r="P105" s="55">
        <v>100</v>
      </c>
      <c r="Q105" s="33">
        <f t="shared" si="57"/>
        <v>0</v>
      </c>
      <c r="R105" s="33">
        <f t="shared" si="63"/>
        <v>0</v>
      </c>
      <c r="S105" s="33">
        <f t="shared" si="64"/>
        <v>0</v>
      </c>
      <c r="T105" s="33">
        <f t="shared" si="45"/>
        <v>0</v>
      </c>
      <c r="U105" s="33">
        <f t="shared" si="58"/>
        <v>0</v>
      </c>
      <c r="V105" s="33">
        <f t="shared" si="46"/>
        <v>0</v>
      </c>
      <c r="W105" s="33">
        <v>0</v>
      </c>
      <c r="X105" s="33">
        <f t="shared" si="47"/>
        <v>0</v>
      </c>
      <c r="Y105" s="38">
        <f t="shared" si="48"/>
        <v>0</v>
      </c>
      <c r="AA105" s="71">
        <v>100</v>
      </c>
      <c r="AB105" s="33">
        <f t="shared" si="49"/>
        <v>0</v>
      </c>
      <c r="AC105" s="304">
        <f t="shared" si="72"/>
        <v>0</v>
      </c>
      <c r="AD105" s="100">
        <f t="shared" si="50"/>
        <v>0</v>
      </c>
      <c r="AE105" s="100">
        <f t="shared" si="51"/>
        <v>0</v>
      </c>
      <c r="AF105" s="193">
        <f t="shared" si="68"/>
        <v>0</v>
      </c>
      <c r="AG105" s="193">
        <f t="shared" si="69"/>
        <v>0</v>
      </c>
      <c r="AH105" s="193">
        <f t="shared" si="70"/>
        <v>0</v>
      </c>
      <c r="AI105" s="198">
        <f t="shared" si="71"/>
        <v>0</v>
      </c>
      <c r="AK105" s="71">
        <v>100</v>
      </c>
      <c r="AL105" s="33">
        <f t="shared" si="52"/>
        <v>0</v>
      </c>
      <c r="AM105" s="33">
        <f t="shared" si="53"/>
        <v>0</v>
      </c>
      <c r="AN105" s="33">
        <f t="shared" si="54"/>
        <v>0</v>
      </c>
      <c r="AO105" s="33">
        <f t="shared" si="55"/>
        <v>0</v>
      </c>
      <c r="AP105" s="33">
        <f t="shared" si="56"/>
        <v>0</v>
      </c>
      <c r="AQ105" s="193">
        <f t="shared" si="42"/>
        <v>0</v>
      </c>
      <c r="AR105" s="193">
        <f t="shared" si="42"/>
        <v>0</v>
      </c>
      <c r="AS105" s="193">
        <f t="shared" si="42"/>
        <v>0</v>
      </c>
      <c r="AT105" s="193">
        <f t="shared" ref="AT105:AT168" si="73">IF($AK105&lt;=$F$18,$AL105*AP105,)</f>
        <v>0</v>
      </c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188" t="s">
        <v>231</v>
      </c>
      <c r="G106" s="24">
        <v>0.59</v>
      </c>
      <c r="I106" s="55">
        <v>101</v>
      </c>
      <c r="J106" s="33">
        <f t="shared" si="59"/>
        <v>0</v>
      </c>
      <c r="K106" s="33">
        <f t="shared" si="60"/>
        <v>0</v>
      </c>
      <c r="L106" s="33">
        <f t="shared" si="61"/>
        <v>0</v>
      </c>
      <c r="M106" s="33">
        <f t="shared" si="62"/>
        <v>0</v>
      </c>
      <c r="N106" s="33">
        <f t="shared" si="43"/>
        <v>0</v>
      </c>
      <c r="O106" s="34">
        <f t="shared" si="44"/>
        <v>0</v>
      </c>
      <c r="P106" s="55">
        <v>101</v>
      </c>
      <c r="Q106" s="33">
        <f t="shared" si="57"/>
        <v>0</v>
      </c>
      <c r="R106" s="33">
        <f t="shared" si="63"/>
        <v>0</v>
      </c>
      <c r="S106" s="33">
        <f t="shared" si="64"/>
        <v>0</v>
      </c>
      <c r="T106" s="33">
        <f t="shared" si="45"/>
        <v>0</v>
      </c>
      <c r="U106" s="33">
        <f t="shared" si="58"/>
        <v>0</v>
      </c>
      <c r="V106" s="33">
        <f t="shared" si="46"/>
        <v>0</v>
      </c>
      <c r="W106" s="33">
        <v>0</v>
      </c>
      <c r="X106" s="33">
        <f t="shared" si="47"/>
        <v>0</v>
      </c>
      <c r="Y106" s="38">
        <f t="shared" si="48"/>
        <v>0</v>
      </c>
      <c r="AA106" s="71">
        <v>101</v>
      </c>
      <c r="AB106" s="33">
        <f t="shared" si="49"/>
        <v>0</v>
      </c>
      <c r="AC106" s="304">
        <f t="shared" si="72"/>
        <v>0</v>
      </c>
      <c r="AD106" s="100">
        <f t="shared" si="50"/>
        <v>0</v>
      </c>
      <c r="AE106" s="100">
        <f t="shared" si="51"/>
        <v>0</v>
      </c>
      <c r="AF106" s="193">
        <f t="shared" si="68"/>
        <v>0</v>
      </c>
      <c r="AG106" s="193">
        <f t="shared" si="69"/>
        <v>0</v>
      </c>
      <c r="AH106" s="193">
        <f t="shared" si="70"/>
        <v>0</v>
      </c>
      <c r="AI106" s="198">
        <f t="shared" si="71"/>
        <v>0</v>
      </c>
      <c r="AK106" s="71">
        <v>101</v>
      </c>
      <c r="AL106" s="33">
        <f t="shared" si="52"/>
        <v>0</v>
      </c>
      <c r="AM106" s="33">
        <f t="shared" si="53"/>
        <v>0</v>
      </c>
      <c r="AN106" s="33">
        <f t="shared" si="54"/>
        <v>0</v>
      </c>
      <c r="AO106" s="33">
        <f t="shared" si="55"/>
        <v>0</v>
      </c>
      <c r="AP106" s="33">
        <f t="shared" si="56"/>
        <v>0</v>
      </c>
      <c r="AQ106" s="193">
        <f t="shared" ref="AQ106:AT169" si="74">IF($AK106&lt;=$F$18,$AL106*AM106,)</f>
        <v>0</v>
      </c>
      <c r="AR106" s="193">
        <f t="shared" si="74"/>
        <v>0</v>
      </c>
      <c r="AS106" s="193">
        <f t="shared" si="74"/>
        <v>0</v>
      </c>
      <c r="AT106" s="193">
        <f t="shared" si="73"/>
        <v>0</v>
      </c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88" t="s">
        <v>229</v>
      </c>
      <c r="G107" s="24">
        <v>0.43</v>
      </c>
      <c r="I107" s="55">
        <v>102</v>
      </c>
      <c r="J107" s="33">
        <f t="shared" si="59"/>
        <v>0</v>
      </c>
      <c r="K107" s="33">
        <f t="shared" si="60"/>
        <v>0</v>
      </c>
      <c r="L107" s="33">
        <f t="shared" si="61"/>
        <v>0</v>
      </c>
      <c r="M107" s="33">
        <f t="shared" si="62"/>
        <v>0</v>
      </c>
      <c r="N107" s="33">
        <f t="shared" si="43"/>
        <v>0</v>
      </c>
      <c r="O107" s="34">
        <f t="shared" si="44"/>
        <v>0</v>
      </c>
      <c r="P107" s="55">
        <v>102</v>
      </c>
      <c r="Q107" s="33">
        <f t="shared" si="57"/>
        <v>0</v>
      </c>
      <c r="R107" s="33">
        <f t="shared" si="63"/>
        <v>0</v>
      </c>
      <c r="S107" s="33">
        <f t="shared" si="64"/>
        <v>0</v>
      </c>
      <c r="T107" s="33">
        <f t="shared" si="45"/>
        <v>0</v>
      </c>
      <c r="U107" s="33">
        <f t="shared" si="58"/>
        <v>0</v>
      </c>
      <c r="V107" s="33">
        <f t="shared" si="46"/>
        <v>0</v>
      </c>
      <c r="W107" s="33">
        <v>0</v>
      </c>
      <c r="X107" s="33">
        <f t="shared" si="47"/>
        <v>0</v>
      </c>
      <c r="Y107" s="38">
        <f t="shared" si="48"/>
        <v>0</v>
      </c>
      <c r="AA107" s="71">
        <v>102</v>
      </c>
      <c r="AB107" s="33">
        <f t="shared" si="49"/>
        <v>0</v>
      </c>
      <c r="AC107" s="304">
        <f t="shared" si="72"/>
        <v>0</v>
      </c>
      <c r="AD107" s="100">
        <f t="shared" si="50"/>
        <v>0</v>
      </c>
      <c r="AE107" s="100">
        <f t="shared" si="51"/>
        <v>0</v>
      </c>
      <c r="AF107" s="193">
        <f t="shared" si="68"/>
        <v>0</v>
      </c>
      <c r="AG107" s="193">
        <f t="shared" si="69"/>
        <v>0</v>
      </c>
      <c r="AH107" s="193">
        <f t="shared" si="70"/>
        <v>0</v>
      </c>
      <c r="AI107" s="198">
        <f t="shared" si="71"/>
        <v>0</v>
      </c>
      <c r="AK107" s="71">
        <v>102</v>
      </c>
      <c r="AL107" s="33">
        <f t="shared" si="52"/>
        <v>0</v>
      </c>
      <c r="AM107" s="33">
        <f t="shared" si="53"/>
        <v>0</v>
      </c>
      <c r="AN107" s="33">
        <f t="shared" si="54"/>
        <v>0</v>
      </c>
      <c r="AO107" s="33">
        <f t="shared" si="55"/>
        <v>0</v>
      </c>
      <c r="AP107" s="33">
        <f t="shared" si="56"/>
        <v>0</v>
      </c>
      <c r="AQ107" s="193">
        <f t="shared" si="74"/>
        <v>0</v>
      </c>
      <c r="AR107" s="193">
        <f t="shared" si="74"/>
        <v>0</v>
      </c>
      <c r="AS107" s="193">
        <f t="shared" si="74"/>
        <v>0</v>
      </c>
      <c r="AT107" s="193">
        <f t="shared" si="73"/>
        <v>0</v>
      </c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190" t="s">
        <v>233</v>
      </c>
      <c r="G108" s="191">
        <f>VLOOKUP(VLOOKUP(F17,C131:E195,3,FALSE),F104:G107,2,FALSE)</f>
        <v>0.59</v>
      </c>
      <c r="I108" s="55">
        <v>103</v>
      </c>
      <c r="J108" s="33">
        <f t="shared" si="59"/>
        <v>0</v>
      </c>
      <c r="K108" s="33">
        <f t="shared" si="60"/>
        <v>0</v>
      </c>
      <c r="L108" s="33">
        <f t="shared" si="61"/>
        <v>0</v>
      </c>
      <c r="M108" s="33">
        <f t="shared" si="62"/>
        <v>0</v>
      </c>
      <c r="N108" s="33">
        <f t="shared" si="43"/>
        <v>0</v>
      </c>
      <c r="O108" s="34">
        <f t="shared" si="44"/>
        <v>0</v>
      </c>
      <c r="P108" s="55">
        <v>103</v>
      </c>
      <c r="Q108" s="33">
        <f t="shared" si="57"/>
        <v>0</v>
      </c>
      <c r="R108" s="33">
        <f t="shared" si="63"/>
        <v>0</v>
      </c>
      <c r="S108" s="33">
        <f t="shared" si="64"/>
        <v>0</v>
      </c>
      <c r="T108" s="33">
        <f t="shared" si="45"/>
        <v>0</v>
      </c>
      <c r="U108" s="33">
        <f t="shared" si="58"/>
        <v>0</v>
      </c>
      <c r="V108" s="33">
        <f t="shared" si="46"/>
        <v>0</v>
      </c>
      <c r="W108" s="33">
        <v>0</v>
      </c>
      <c r="X108" s="33">
        <f t="shared" si="47"/>
        <v>0</v>
      </c>
      <c r="Y108" s="38">
        <f t="shared" si="48"/>
        <v>0</v>
      </c>
      <c r="AA108" s="71">
        <v>103</v>
      </c>
      <c r="AB108" s="33">
        <f t="shared" si="49"/>
        <v>0</v>
      </c>
      <c r="AC108" s="304">
        <f t="shared" si="72"/>
        <v>0</v>
      </c>
      <c r="AD108" s="100">
        <f t="shared" si="50"/>
        <v>0</v>
      </c>
      <c r="AE108" s="100">
        <f t="shared" si="51"/>
        <v>0</v>
      </c>
      <c r="AF108" s="193">
        <f t="shared" si="68"/>
        <v>0</v>
      </c>
      <c r="AG108" s="193">
        <f t="shared" si="69"/>
        <v>0</v>
      </c>
      <c r="AH108" s="193">
        <f t="shared" si="70"/>
        <v>0</v>
      </c>
      <c r="AI108" s="198">
        <f t="shared" si="71"/>
        <v>0</v>
      </c>
      <c r="AK108" s="71">
        <v>103</v>
      </c>
      <c r="AL108" s="33">
        <f t="shared" si="52"/>
        <v>0</v>
      </c>
      <c r="AM108" s="33">
        <f t="shared" si="53"/>
        <v>0</v>
      </c>
      <c r="AN108" s="33">
        <f t="shared" si="54"/>
        <v>0</v>
      </c>
      <c r="AO108" s="33">
        <f t="shared" si="55"/>
        <v>0</v>
      </c>
      <c r="AP108" s="33">
        <f t="shared" si="56"/>
        <v>0</v>
      </c>
      <c r="AQ108" s="193">
        <f t="shared" si="74"/>
        <v>0</v>
      </c>
      <c r="AR108" s="193">
        <f t="shared" si="74"/>
        <v>0</v>
      </c>
      <c r="AS108" s="193">
        <f t="shared" si="74"/>
        <v>0</v>
      </c>
      <c r="AT108" s="193">
        <f t="shared" si="73"/>
        <v>0</v>
      </c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59"/>
        <v>0</v>
      </c>
      <c r="K109" s="33">
        <f t="shared" si="60"/>
        <v>0</v>
      </c>
      <c r="L109" s="33">
        <f t="shared" si="61"/>
        <v>0</v>
      </c>
      <c r="M109" s="33">
        <f t="shared" si="62"/>
        <v>0</v>
      </c>
      <c r="N109" s="33">
        <f t="shared" si="43"/>
        <v>0</v>
      </c>
      <c r="O109" s="34">
        <f t="shared" si="44"/>
        <v>0</v>
      </c>
      <c r="P109" s="55">
        <v>104</v>
      </c>
      <c r="Q109" s="33">
        <f t="shared" si="57"/>
        <v>0</v>
      </c>
      <c r="R109" s="33">
        <f t="shared" si="63"/>
        <v>0</v>
      </c>
      <c r="S109" s="33">
        <f t="shared" si="64"/>
        <v>0</v>
      </c>
      <c r="T109" s="33">
        <f t="shared" si="45"/>
        <v>0</v>
      </c>
      <c r="U109" s="33">
        <f t="shared" si="58"/>
        <v>0</v>
      </c>
      <c r="V109" s="33">
        <f t="shared" si="46"/>
        <v>0</v>
      </c>
      <c r="W109" s="33">
        <v>0</v>
      </c>
      <c r="X109" s="33">
        <f t="shared" si="47"/>
        <v>0</v>
      </c>
      <c r="Y109" s="38">
        <f t="shared" si="48"/>
        <v>0</v>
      </c>
      <c r="AA109" s="71">
        <v>104</v>
      </c>
      <c r="AB109" s="33">
        <f t="shared" si="49"/>
        <v>0</v>
      </c>
      <c r="AC109" s="304">
        <f t="shared" si="72"/>
        <v>0</v>
      </c>
      <c r="AD109" s="100">
        <f t="shared" si="50"/>
        <v>0</v>
      </c>
      <c r="AE109" s="100">
        <f t="shared" si="51"/>
        <v>0</v>
      </c>
      <c r="AF109" s="193">
        <f t="shared" si="68"/>
        <v>0</v>
      </c>
      <c r="AG109" s="193">
        <f t="shared" si="69"/>
        <v>0</v>
      </c>
      <c r="AH109" s="193">
        <f t="shared" si="70"/>
        <v>0</v>
      </c>
      <c r="AI109" s="198">
        <f t="shared" si="71"/>
        <v>0</v>
      </c>
      <c r="AK109" s="71">
        <v>104</v>
      </c>
      <c r="AL109" s="33">
        <f t="shared" si="52"/>
        <v>0</v>
      </c>
      <c r="AM109" s="33">
        <f t="shared" si="53"/>
        <v>0</v>
      </c>
      <c r="AN109" s="33">
        <f t="shared" si="54"/>
        <v>0</v>
      </c>
      <c r="AO109" s="33">
        <f t="shared" si="55"/>
        <v>0</v>
      </c>
      <c r="AP109" s="33">
        <f t="shared" si="56"/>
        <v>0</v>
      </c>
      <c r="AQ109" s="193">
        <f t="shared" si="74"/>
        <v>0</v>
      </c>
      <c r="AR109" s="193">
        <f t="shared" si="74"/>
        <v>0</v>
      </c>
      <c r="AS109" s="193">
        <f t="shared" si="74"/>
        <v>0</v>
      </c>
      <c r="AT109" s="193">
        <f t="shared" si="73"/>
        <v>0</v>
      </c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59"/>
        <v>0</v>
      </c>
      <c r="K110" s="33">
        <f t="shared" si="60"/>
        <v>0</v>
      </c>
      <c r="L110" s="33">
        <f t="shared" si="61"/>
        <v>0</v>
      </c>
      <c r="M110" s="33">
        <f t="shared" si="62"/>
        <v>0</v>
      </c>
      <c r="N110" s="33">
        <f t="shared" si="43"/>
        <v>0</v>
      </c>
      <c r="O110" s="34">
        <f t="shared" si="44"/>
        <v>0</v>
      </c>
      <c r="P110" s="55">
        <v>105</v>
      </c>
      <c r="Q110" s="33">
        <f t="shared" si="57"/>
        <v>0</v>
      </c>
      <c r="R110" s="33">
        <f t="shared" si="63"/>
        <v>0</v>
      </c>
      <c r="S110" s="33">
        <f t="shared" si="64"/>
        <v>0</v>
      </c>
      <c r="T110" s="33">
        <f t="shared" si="45"/>
        <v>0</v>
      </c>
      <c r="U110" s="33">
        <f t="shared" si="58"/>
        <v>0</v>
      </c>
      <c r="V110" s="33">
        <f t="shared" si="46"/>
        <v>0</v>
      </c>
      <c r="W110" s="33">
        <v>0</v>
      </c>
      <c r="X110" s="33">
        <f t="shared" si="47"/>
        <v>0</v>
      </c>
      <c r="Y110" s="38">
        <f t="shared" si="48"/>
        <v>0</v>
      </c>
      <c r="AA110" s="71">
        <v>105</v>
      </c>
      <c r="AB110" s="33">
        <f t="shared" si="49"/>
        <v>0</v>
      </c>
      <c r="AC110" s="304">
        <f t="shared" si="72"/>
        <v>0</v>
      </c>
      <c r="AD110" s="100">
        <f t="shared" si="50"/>
        <v>0</v>
      </c>
      <c r="AE110" s="100">
        <f t="shared" si="51"/>
        <v>0</v>
      </c>
      <c r="AF110" s="193">
        <f t="shared" si="68"/>
        <v>0</v>
      </c>
      <c r="AG110" s="193">
        <f t="shared" si="69"/>
        <v>0</v>
      </c>
      <c r="AH110" s="193">
        <f t="shared" si="70"/>
        <v>0</v>
      </c>
      <c r="AI110" s="198">
        <f t="shared" si="71"/>
        <v>0</v>
      </c>
      <c r="AK110" s="71">
        <v>105</v>
      </c>
      <c r="AL110" s="33">
        <f t="shared" si="52"/>
        <v>0</v>
      </c>
      <c r="AM110" s="33">
        <f t="shared" si="53"/>
        <v>0</v>
      </c>
      <c r="AN110" s="33">
        <f t="shared" si="54"/>
        <v>0</v>
      </c>
      <c r="AO110" s="33">
        <f t="shared" si="55"/>
        <v>0</v>
      </c>
      <c r="AP110" s="33">
        <f t="shared" si="56"/>
        <v>0</v>
      </c>
      <c r="AQ110" s="193">
        <f t="shared" si="74"/>
        <v>0</v>
      </c>
      <c r="AR110" s="193">
        <f t="shared" si="74"/>
        <v>0</v>
      </c>
      <c r="AS110" s="193">
        <f t="shared" si="74"/>
        <v>0</v>
      </c>
      <c r="AT110" s="193">
        <f t="shared" si="73"/>
        <v>0</v>
      </c>
      <c r="AU110" s="33"/>
      <c r="AV110" s="33"/>
      <c r="AW110" s="33"/>
      <c r="AX110" s="33"/>
      <c r="AY110" s="76"/>
    </row>
    <row r="111" spans="2:51">
      <c r="C111" s="137" t="s">
        <v>169</v>
      </c>
      <c r="D111" s="137"/>
      <c r="E111" s="137"/>
      <c r="I111" s="55">
        <v>106</v>
      </c>
      <c r="J111" s="33">
        <f t="shared" si="59"/>
        <v>0</v>
      </c>
      <c r="K111" s="33">
        <f t="shared" si="60"/>
        <v>0</v>
      </c>
      <c r="L111" s="33">
        <f t="shared" si="61"/>
        <v>0</v>
      </c>
      <c r="M111" s="33">
        <f t="shared" si="62"/>
        <v>0</v>
      </c>
      <c r="N111" s="33">
        <f t="shared" si="43"/>
        <v>0</v>
      </c>
      <c r="O111" s="34">
        <f t="shared" si="44"/>
        <v>0</v>
      </c>
      <c r="P111" s="55">
        <v>106</v>
      </c>
      <c r="Q111" s="33">
        <f t="shared" si="57"/>
        <v>0</v>
      </c>
      <c r="R111" s="33">
        <f t="shared" si="63"/>
        <v>0</v>
      </c>
      <c r="S111" s="33">
        <f t="shared" si="64"/>
        <v>0</v>
      </c>
      <c r="T111" s="33">
        <f t="shared" si="45"/>
        <v>0</v>
      </c>
      <c r="U111" s="33">
        <f t="shared" si="58"/>
        <v>0</v>
      </c>
      <c r="V111" s="33">
        <f t="shared" si="46"/>
        <v>0</v>
      </c>
      <c r="W111" s="33">
        <v>0</v>
      </c>
      <c r="X111" s="33">
        <f t="shared" si="47"/>
        <v>0</v>
      </c>
      <c r="Y111" s="38">
        <f t="shared" si="48"/>
        <v>0</v>
      </c>
      <c r="AA111" s="71">
        <v>106</v>
      </c>
      <c r="AB111" s="33">
        <f t="shared" si="49"/>
        <v>0</v>
      </c>
      <c r="AC111" s="304">
        <f t="shared" si="72"/>
        <v>0</v>
      </c>
      <c r="AD111" s="100">
        <f t="shared" si="50"/>
        <v>0</v>
      </c>
      <c r="AE111" s="100">
        <f t="shared" si="51"/>
        <v>0</v>
      </c>
      <c r="AF111" s="193">
        <f t="shared" si="68"/>
        <v>0</v>
      </c>
      <c r="AG111" s="193">
        <f t="shared" si="69"/>
        <v>0</v>
      </c>
      <c r="AH111" s="193">
        <f t="shared" si="70"/>
        <v>0</v>
      </c>
      <c r="AI111" s="198">
        <f t="shared" si="71"/>
        <v>0</v>
      </c>
      <c r="AK111" s="71">
        <v>106</v>
      </c>
      <c r="AL111" s="33">
        <f t="shared" si="52"/>
        <v>0</v>
      </c>
      <c r="AM111" s="33">
        <f t="shared" si="53"/>
        <v>0</v>
      </c>
      <c r="AN111" s="33">
        <f t="shared" si="54"/>
        <v>0</v>
      </c>
      <c r="AO111" s="33">
        <f t="shared" si="55"/>
        <v>0</v>
      </c>
      <c r="AP111" s="33">
        <f t="shared" si="56"/>
        <v>0</v>
      </c>
      <c r="AQ111" s="193">
        <f t="shared" si="74"/>
        <v>0</v>
      </c>
      <c r="AR111" s="193">
        <f t="shared" si="74"/>
        <v>0</v>
      </c>
      <c r="AS111" s="193">
        <f t="shared" si="74"/>
        <v>0</v>
      </c>
      <c r="AT111" s="193">
        <f t="shared" si="73"/>
        <v>0</v>
      </c>
      <c r="AU111" s="33"/>
      <c r="AV111" s="33"/>
      <c r="AW111" s="33"/>
      <c r="AX111" s="33"/>
      <c r="AY111" s="76"/>
    </row>
    <row r="112" spans="2:51">
      <c r="C112" s="74" t="s">
        <v>145</v>
      </c>
      <c r="D112" s="74" t="s">
        <v>72</v>
      </c>
      <c r="E112" s="74" t="s">
        <v>166</v>
      </c>
      <c r="I112" s="55">
        <v>107</v>
      </c>
      <c r="J112" s="33">
        <f t="shared" si="59"/>
        <v>0</v>
      </c>
      <c r="K112" s="33">
        <f t="shared" si="60"/>
        <v>0</v>
      </c>
      <c r="L112" s="33">
        <f t="shared" si="61"/>
        <v>0</v>
      </c>
      <c r="M112" s="33">
        <f t="shared" si="62"/>
        <v>0</v>
      </c>
      <c r="N112" s="33">
        <f t="shared" si="43"/>
        <v>0</v>
      </c>
      <c r="O112" s="34">
        <f t="shared" si="44"/>
        <v>0</v>
      </c>
      <c r="P112" s="55">
        <v>107</v>
      </c>
      <c r="Q112" s="33">
        <f t="shared" si="57"/>
        <v>0</v>
      </c>
      <c r="R112" s="33">
        <f t="shared" si="63"/>
        <v>0</v>
      </c>
      <c r="S112" s="33">
        <f t="shared" si="64"/>
        <v>0</v>
      </c>
      <c r="T112" s="33">
        <f t="shared" si="45"/>
        <v>0</v>
      </c>
      <c r="U112" s="33">
        <f t="shared" si="58"/>
        <v>0</v>
      </c>
      <c r="V112" s="33">
        <f t="shared" si="46"/>
        <v>0</v>
      </c>
      <c r="W112" s="33">
        <v>0</v>
      </c>
      <c r="X112" s="33">
        <f t="shared" si="47"/>
        <v>0</v>
      </c>
      <c r="Y112" s="38">
        <f t="shared" si="48"/>
        <v>0</v>
      </c>
      <c r="AA112" s="71">
        <v>107</v>
      </c>
      <c r="AB112" s="33">
        <f t="shared" si="49"/>
        <v>0</v>
      </c>
      <c r="AC112" s="304">
        <f t="shared" si="72"/>
        <v>0</v>
      </c>
      <c r="AD112" s="100">
        <f t="shared" si="50"/>
        <v>0</v>
      </c>
      <c r="AE112" s="100">
        <f t="shared" si="51"/>
        <v>0</v>
      </c>
      <c r="AF112" s="193">
        <f t="shared" si="68"/>
        <v>0</v>
      </c>
      <c r="AG112" s="193">
        <f t="shared" si="69"/>
        <v>0</v>
      </c>
      <c r="AH112" s="193">
        <f t="shared" si="70"/>
        <v>0</v>
      </c>
      <c r="AI112" s="198">
        <f t="shared" si="71"/>
        <v>0</v>
      </c>
      <c r="AK112" s="71">
        <v>107</v>
      </c>
      <c r="AL112" s="33">
        <f t="shared" si="52"/>
        <v>0</v>
      </c>
      <c r="AM112" s="33">
        <f t="shared" si="53"/>
        <v>0</v>
      </c>
      <c r="AN112" s="33">
        <f t="shared" si="54"/>
        <v>0</v>
      </c>
      <c r="AO112" s="33">
        <f t="shared" si="55"/>
        <v>0</v>
      </c>
      <c r="AP112" s="33">
        <f t="shared" si="56"/>
        <v>0</v>
      </c>
      <c r="AQ112" s="193">
        <f t="shared" si="74"/>
        <v>0</v>
      </c>
      <c r="AR112" s="193">
        <f t="shared" si="74"/>
        <v>0</v>
      </c>
      <c r="AS112" s="193">
        <f t="shared" si="74"/>
        <v>0</v>
      </c>
      <c r="AT112" s="193">
        <f t="shared" si="73"/>
        <v>0</v>
      </c>
      <c r="AU112" s="33"/>
      <c r="AV112" s="33"/>
      <c r="AW112" s="33"/>
      <c r="AX112" s="33"/>
      <c r="AY112" s="76"/>
    </row>
    <row r="113" spans="2:51">
      <c r="B113" s="67" t="s">
        <v>167</v>
      </c>
      <c r="C113" s="79">
        <f>1/$F$18*SUM(X6:X205)</f>
        <v>566.50166276397329</v>
      </c>
      <c r="D113" s="79">
        <f>1/$F$10*SUM(O6:O205)</f>
        <v>317.21666452353406</v>
      </c>
      <c r="E113" s="78">
        <f>C113-D113</f>
        <v>249.28499824043922</v>
      </c>
      <c r="I113" s="55">
        <v>108</v>
      </c>
      <c r="J113" s="33">
        <f t="shared" si="59"/>
        <v>0</v>
      </c>
      <c r="K113" s="33">
        <f t="shared" si="60"/>
        <v>0</v>
      </c>
      <c r="L113" s="33">
        <f t="shared" si="61"/>
        <v>0</v>
      </c>
      <c r="M113" s="33">
        <f t="shared" si="62"/>
        <v>0</v>
      </c>
      <c r="N113" s="33">
        <f t="shared" si="43"/>
        <v>0</v>
      </c>
      <c r="O113" s="34">
        <f t="shared" si="44"/>
        <v>0</v>
      </c>
      <c r="P113" s="55">
        <v>108</v>
      </c>
      <c r="Q113" s="33">
        <f t="shared" si="57"/>
        <v>0</v>
      </c>
      <c r="R113" s="33">
        <f t="shared" si="63"/>
        <v>0</v>
      </c>
      <c r="S113" s="33">
        <f t="shared" si="64"/>
        <v>0</v>
      </c>
      <c r="T113" s="33">
        <f t="shared" si="45"/>
        <v>0</v>
      </c>
      <c r="U113" s="33">
        <f t="shared" si="58"/>
        <v>0</v>
      </c>
      <c r="V113" s="33">
        <f t="shared" si="46"/>
        <v>0</v>
      </c>
      <c r="W113" s="33">
        <v>0</v>
      </c>
      <c r="X113" s="33">
        <f t="shared" si="47"/>
        <v>0</v>
      </c>
      <c r="Y113" s="38">
        <f t="shared" si="48"/>
        <v>0</v>
      </c>
      <c r="AA113" s="71">
        <v>108</v>
      </c>
      <c r="AB113" s="33">
        <f t="shared" si="49"/>
        <v>0</v>
      </c>
      <c r="AC113" s="304">
        <f t="shared" si="72"/>
        <v>0</v>
      </c>
      <c r="AD113" s="100">
        <f t="shared" si="50"/>
        <v>0</v>
      </c>
      <c r="AE113" s="100">
        <f t="shared" si="51"/>
        <v>0</v>
      </c>
      <c r="AF113" s="193">
        <f t="shared" si="68"/>
        <v>0</v>
      </c>
      <c r="AG113" s="193">
        <f t="shared" si="69"/>
        <v>0</v>
      </c>
      <c r="AH113" s="193">
        <f t="shared" si="70"/>
        <v>0</v>
      </c>
      <c r="AI113" s="198">
        <f t="shared" si="71"/>
        <v>0</v>
      </c>
      <c r="AK113" s="71">
        <v>108</v>
      </c>
      <c r="AL113" s="33">
        <f t="shared" si="52"/>
        <v>0</v>
      </c>
      <c r="AM113" s="33">
        <f t="shared" si="53"/>
        <v>0</v>
      </c>
      <c r="AN113" s="33">
        <f t="shared" si="54"/>
        <v>0</v>
      </c>
      <c r="AO113" s="33">
        <f t="shared" si="55"/>
        <v>0</v>
      </c>
      <c r="AP113" s="33">
        <f t="shared" si="56"/>
        <v>0</v>
      </c>
      <c r="AQ113" s="193">
        <f t="shared" si="74"/>
        <v>0</v>
      </c>
      <c r="AR113" s="193">
        <f t="shared" si="74"/>
        <v>0</v>
      </c>
      <c r="AS113" s="193">
        <f t="shared" si="74"/>
        <v>0</v>
      </c>
      <c r="AT113" s="193">
        <f t="shared" si="73"/>
        <v>0</v>
      </c>
      <c r="AU113" s="33"/>
      <c r="AV113" s="33"/>
      <c r="AW113" s="33"/>
      <c r="AX113" s="33"/>
      <c r="AY113" s="76"/>
    </row>
    <row r="114" spans="2:51">
      <c r="B114" s="67" t="s">
        <v>168</v>
      </c>
      <c r="C114" s="79">
        <f>X35</f>
        <v>543.78895515812701</v>
      </c>
      <c r="D114" s="79">
        <f>O35</f>
        <v>308.87301463228226</v>
      </c>
      <c r="E114" s="78">
        <f>VLOOKUP(30,I5:Y205,17,FALSE)</f>
        <v>234.91594052584475</v>
      </c>
      <c r="I114" s="55">
        <v>109</v>
      </c>
      <c r="J114" s="33">
        <f t="shared" si="59"/>
        <v>0</v>
      </c>
      <c r="K114" s="33">
        <f t="shared" si="60"/>
        <v>0</v>
      </c>
      <c r="L114" s="33">
        <f t="shared" si="61"/>
        <v>0</v>
      </c>
      <c r="M114" s="33">
        <f t="shared" si="62"/>
        <v>0</v>
      </c>
      <c r="N114" s="33">
        <f t="shared" si="43"/>
        <v>0</v>
      </c>
      <c r="O114" s="34">
        <f t="shared" si="44"/>
        <v>0</v>
      </c>
      <c r="P114" s="55">
        <v>109</v>
      </c>
      <c r="Q114" s="33">
        <f t="shared" si="57"/>
        <v>0</v>
      </c>
      <c r="R114" s="33">
        <f t="shared" si="63"/>
        <v>0</v>
      </c>
      <c r="S114" s="33">
        <f t="shared" si="64"/>
        <v>0</v>
      </c>
      <c r="T114" s="33">
        <f t="shared" si="45"/>
        <v>0</v>
      </c>
      <c r="U114" s="33">
        <f t="shared" si="58"/>
        <v>0</v>
      </c>
      <c r="V114" s="33">
        <f t="shared" si="46"/>
        <v>0</v>
      </c>
      <c r="W114" s="33">
        <v>0</v>
      </c>
      <c r="X114" s="33">
        <f t="shared" si="47"/>
        <v>0</v>
      </c>
      <c r="Y114" s="38">
        <f t="shared" si="48"/>
        <v>0</v>
      </c>
      <c r="AA114" s="71">
        <v>109</v>
      </c>
      <c r="AB114" s="33">
        <f t="shared" si="49"/>
        <v>0</v>
      </c>
      <c r="AC114" s="304">
        <f t="shared" si="72"/>
        <v>0</v>
      </c>
      <c r="AD114" s="100">
        <f t="shared" si="50"/>
        <v>0</v>
      </c>
      <c r="AE114" s="100">
        <f t="shared" si="51"/>
        <v>0</v>
      </c>
      <c r="AF114" s="193">
        <f t="shared" si="68"/>
        <v>0</v>
      </c>
      <c r="AG114" s="193">
        <f t="shared" si="69"/>
        <v>0</v>
      </c>
      <c r="AH114" s="193">
        <f t="shared" si="70"/>
        <v>0</v>
      </c>
      <c r="AI114" s="198">
        <f t="shared" si="71"/>
        <v>0</v>
      </c>
      <c r="AK114" s="71">
        <v>109</v>
      </c>
      <c r="AL114" s="33">
        <f t="shared" si="52"/>
        <v>0</v>
      </c>
      <c r="AM114" s="33">
        <f t="shared" si="53"/>
        <v>0</v>
      </c>
      <c r="AN114" s="33">
        <f t="shared" si="54"/>
        <v>0</v>
      </c>
      <c r="AO114" s="33">
        <f t="shared" si="55"/>
        <v>0</v>
      </c>
      <c r="AP114" s="33">
        <f t="shared" si="56"/>
        <v>0</v>
      </c>
      <c r="AQ114" s="193">
        <f t="shared" si="74"/>
        <v>0</v>
      </c>
      <c r="AR114" s="193">
        <f t="shared" si="74"/>
        <v>0</v>
      </c>
      <c r="AS114" s="193">
        <f t="shared" si="74"/>
        <v>0</v>
      </c>
      <c r="AT114" s="193">
        <f t="shared" si="73"/>
        <v>0</v>
      </c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59"/>
        <v>0</v>
      </c>
      <c r="K115" s="33">
        <f t="shared" si="60"/>
        <v>0</v>
      </c>
      <c r="L115" s="33">
        <f t="shared" si="61"/>
        <v>0</v>
      </c>
      <c r="M115" s="33">
        <f t="shared" si="62"/>
        <v>0</v>
      </c>
      <c r="N115" s="33">
        <f t="shared" si="43"/>
        <v>0</v>
      </c>
      <c r="O115" s="34">
        <f t="shared" si="44"/>
        <v>0</v>
      </c>
      <c r="P115" s="55">
        <v>110</v>
      </c>
      <c r="Q115" s="33">
        <f t="shared" si="57"/>
        <v>0</v>
      </c>
      <c r="R115" s="33">
        <f t="shared" si="63"/>
        <v>0</v>
      </c>
      <c r="S115" s="33">
        <f t="shared" si="64"/>
        <v>0</v>
      </c>
      <c r="T115" s="33">
        <f t="shared" si="45"/>
        <v>0</v>
      </c>
      <c r="U115" s="33">
        <f t="shared" si="58"/>
        <v>0</v>
      </c>
      <c r="V115" s="33">
        <f t="shared" si="46"/>
        <v>0</v>
      </c>
      <c r="W115" s="33">
        <v>0</v>
      </c>
      <c r="X115" s="33">
        <f t="shared" si="47"/>
        <v>0</v>
      </c>
      <c r="Y115" s="38">
        <f t="shared" si="48"/>
        <v>0</v>
      </c>
      <c r="AA115" s="71">
        <v>110</v>
      </c>
      <c r="AB115" s="33">
        <f t="shared" si="49"/>
        <v>0</v>
      </c>
      <c r="AC115" s="304">
        <f t="shared" si="72"/>
        <v>0</v>
      </c>
      <c r="AD115" s="100">
        <f t="shared" si="50"/>
        <v>0</v>
      </c>
      <c r="AE115" s="100">
        <f t="shared" si="51"/>
        <v>0</v>
      </c>
      <c r="AF115" s="193">
        <f t="shared" si="68"/>
        <v>0</v>
      </c>
      <c r="AG115" s="193">
        <f t="shared" si="69"/>
        <v>0</v>
      </c>
      <c r="AH115" s="193">
        <f t="shared" si="70"/>
        <v>0</v>
      </c>
      <c r="AI115" s="198">
        <f t="shared" si="71"/>
        <v>0</v>
      </c>
      <c r="AK115" s="71">
        <v>110</v>
      </c>
      <c r="AL115" s="33">
        <f t="shared" si="52"/>
        <v>0</v>
      </c>
      <c r="AM115" s="33">
        <f t="shared" si="53"/>
        <v>0</v>
      </c>
      <c r="AN115" s="33">
        <f t="shared" si="54"/>
        <v>0</v>
      </c>
      <c r="AO115" s="33">
        <f t="shared" si="55"/>
        <v>0</v>
      </c>
      <c r="AP115" s="33">
        <f t="shared" si="56"/>
        <v>0</v>
      </c>
      <c r="AQ115" s="193">
        <f t="shared" si="74"/>
        <v>0</v>
      </c>
      <c r="AR115" s="193">
        <f t="shared" si="74"/>
        <v>0</v>
      </c>
      <c r="AS115" s="193">
        <f t="shared" si="74"/>
        <v>0</v>
      </c>
      <c r="AT115" s="193">
        <f t="shared" si="73"/>
        <v>0</v>
      </c>
      <c r="AU115" s="33"/>
      <c r="AV115" s="33"/>
      <c r="AW115" s="33"/>
      <c r="AX115" s="33"/>
      <c r="AY115" s="76"/>
    </row>
    <row r="116" spans="2:51">
      <c r="C116" s="134" t="s">
        <v>125</v>
      </c>
      <c r="D116" s="134"/>
      <c r="E116" s="134"/>
      <c r="I116" s="55">
        <v>111</v>
      </c>
      <c r="J116" s="33">
        <f t="shared" si="59"/>
        <v>0</v>
      </c>
      <c r="K116" s="33">
        <f t="shared" si="60"/>
        <v>0</v>
      </c>
      <c r="L116" s="33">
        <f t="shared" si="61"/>
        <v>0</v>
      </c>
      <c r="M116" s="33">
        <f t="shared" si="62"/>
        <v>0</v>
      </c>
      <c r="N116" s="33">
        <f t="shared" si="43"/>
        <v>0</v>
      </c>
      <c r="O116" s="34">
        <f t="shared" si="44"/>
        <v>0</v>
      </c>
      <c r="P116" s="55">
        <v>111</v>
      </c>
      <c r="Q116" s="33">
        <f t="shared" si="57"/>
        <v>0</v>
      </c>
      <c r="R116" s="33">
        <f t="shared" si="63"/>
        <v>0</v>
      </c>
      <c r="S116" s="33">
        <f t="shared" si="64"/>
        <v>0</v>
      </c>
      <c r="T116" s="33">
        <f t="shared" si="45"/>
        <v>0</v>
      </c>
      <c r="U116" s="33">
        <f t="shared" si="58"/>
        <v>0</v>
      </c>
      <c r="V116" s="33">
        <f t="shared" si="46"/>
        <v>0</v>
      </c>
      <c r="W116" s="33">
        <v>0</v>
      </c>
      <c r="X116" s="33">
        <f t="shared" si="47"/>
        <v>0</v>
      </c>
      <c r="Y116" s="38">
        <f t="shared" si="48"/>
        <v>0</v>
      </c>
      <c r="AA116" s="71">
        <v>111</v>
      </c>
      <c r="AB116" s="33">
        <f t="shared" si="49"/>
        <v>0</v>
      </c>
      <c r="AC116" s="304">
        <f t="shared" si="72"/>
        <v>0</v>
      </c>
      <c r="AD116" s="100">
        <f t="shared" si="50"/>
        <v>0</v>
      </c>
      <c r="AE116" s="100">
        <f t="shared" si="51"/>
        <v>0</v>
      </c>
      <c r="AF116" s="193">
        <f t="shared" si="68"/>
        <v>0</v>
      </c>
      <c r="AG116" s="193">
        <f t="shared" si="69"/>
        <v>0</v>
      </c>
      <c r="AH116" s="193">
        <f t="shared" si="70"/>
        <v>0</v>
      </c>
      <c r="AI116" s="198">
        <f t="shared" si="71"/>
        <v>0</v>
      </c>
      <c r="AK116" s="71">
        <v>111</v>
      </c>
      <c r="AL116" s="33">
        <f t="shared" si="52"/>
        <v>0</v>
      </c>
      <c r="AM116" s="33">
        <f t="shared" si="53"/>
        <v>0</v>
      </c>
      <c r="AN116" s="33">
        <f t="shared" si="54"/>
        <v>0</v>
      </c>
      <c r="AO116" s="33">
        <f t="shared" si="55"/>
        <v>0</v>
      </c>
      <c r="AP116" s="33">
        <f t="shared" si="56"/>
        <v>0</v>
      </c>
      <c r="AQ116" s="193">
        <f t="shared" si="74"/>
        <v>0</v>
      </c>
      <c r="AR116" s="193">
        <f t="shared" si="74"/>
        <v>0</v>
      </c>
      <c r="AS116" s="193">
        <f t="shared" si="74"/>
        <v>0</v>
      </c>
      <c r="AT116" s="193">
        <f t="shared" si="73"/>
        <v>0</v>
      </c>
      <c r="AU116" s="33"/>
      <c r="AV116" s="33"/>
      <c r="AW116" s="33"/>
      <c r="AX116" s="33"/>
      <c r="AY116" s="76"/>
    </row>
    <row r="117" spans="2:51">
      <c r="C117" s="134" t="s">
        <v>145</v>
      </c>
      <c r="D117" s="134" t="s">
        <v>72</v>
      </c>
      <c r="E117" s="81" t="s">
        <v>166</v>
      </c>
      <c r="I117" s="55">
        <v>112</v>
      </c>
      <c r="J117" s="33">
        <f t="shared" si="59"/>
        <v>0</v>
      </c>
      <c r="K117" s="33">
        <f t="shared" si="60"/>
        <v>0</v>
      </c>
      <c r="L117" s="33">
        <f t="shared" si="61"/>
        <v>0</v>
      </c>
      <c r="M117" s="33">
        <f t="shared" si="62"/>
        <v>0</v>
      </c>
      <c r="N117" s="33">
        <f t="shared" si="43"/>
        <v>0</v>
      </c>
      <c r="O117" s="34">
        <f t="shared" si="44"/>
        <v>0</v>
      </c>
      <c r="P117" s="55">
        <v>112</v>
      </c>
      <c r="Q117" s="33">
        <f t="shared" si="57"/>
        <v>0</v>
      </c>
      <c r="R117" s="33">
        <f t="shared" si="63"/>
        <v>0</v>
      </c>
      <c r="S117" s="33">
        <f t="shared" si="64"/>
        <v>0</v>
      </c>
      <c r="T117" s="33">
        <f t="shared" si="45"/>
        <v>0</v>
      </c>
      <c r="U117" s="33">
        <f t="shared" si="58"/>
        <v>0</v>
      </c>
      <c r="V117" s="33">
        <f t="shared" si="46"/>
        <v>0</v>
      </c>
      <c r="W117" s="33">
        <v>0</v>
      </c>
      <c r="X117" s="33">
        <f t="shared" si="47"/>
        <v>0</v>
      </c>
      <c r="Y117" s="38">
        <f t="shared" si="48"/>
        <v>0</v>
      </c>
      <c r="AA117" s="71">
        <v>112</v>
      </c>
      <c r="AB117" s="33">
        <f t="shared" si="49"/>
        <v>0</v>
      </c>
      <c r="AC117" s="304">
        <f t="shared" si="72"/>
        <v>0</v>
      </c>
      <c r="AD117" s="100">
        <f t="shared" si="50"/>
        <v>0</v>
      </c>
      <c r="AE117" s="100">
        <f t="shared" si="51"/>
        <v>0</v>
      </c>
      <c r="AF117" s="193">
        <f t="shared" si="68"/>
        <v>0</v>
      </c>
      <c r="AG117" s="193">
        <f t="shared" si="69"/>
        <v>0</v>
      </c>
      <c r="AH117" s="193">
        <f t="shared" si="70"/>
        <v>0</v>
      </c>
      <c r="AI117" s="198">
        <f t="shared" si="71"/>
        <v>0</v>
      </c>
      <c r="AK117" s="71">
        <v>112</v>
      </c>
      <c r="AL117" s="33">
        <f t="shared" si="52"/>
        <v>0</v>
      </c>
      <c r="AM117" s="33">
        <f t="shared" si="53"/>
        <v>0</v>
      </c>
      <c r="AN117" s="33">
        <f t="shared" si="54"/>
        <v>0</v>
      </c>
      <c r="AO117" s="33">
        <f t="shared" si="55"/>
        <v>0</v>
      </c>
      <c r="AP117" s="33">
        <f t="shared" si="56"/>
        <v>0</v>
      </c>
      <c r="AQ117" s="193">
        <f t="shared" si="74"/>
        <v>0</v>
      </c>
      <c r="AR117" s="193">
        <f t="shared" si="74"/>
        <v>0</v>
      </c>
      <c r="AS117" s="193">
        <f t="shared" si="74"/>
        <v>0</v>
      </c>
      <c r="AT117" s="193">
        <f t="shared" si="73"/>
        <v>0</v>
      </c>
      <c r="AU117" s="33"/>
      <c r="AV117" s="33"/>
      <c r="AW117" s="33"/>
      <c r="AX117" s="33"/>
      <c r="AY117" s="76"/>
    </row>
    <row r="118" spans="2:51">
      <c r="B118" s="67" t="s">
        <v>261</v>
      </c>
      <c r="C118" s="302">
        <f>1/30*SUM(AI6:AI35)</f>
        <v>5.8725400035188393</v>
      </c>
      <c r="D118" s="79">
        <v>0</v>
      </c>
      <c r="E118" s="78">
        <f>C118-D118</f>
        <v>5.8725400035188393</v>
      </c>
      <c r="I118" s="55">
        <v>113</v>
      </c>
      <c r="J118" s="33">
        <f t="shared" si="59"/>
        <v>0</v>
      </c>
      <c r="K118" s="33">
        <f t="shared" si="60"/>
        <v>0</v>
      </c>
      <c r="L118" s="33">
        <f t="shared" si="61"/>
        <v>0</v>
      </c>
      <c r="M118" s="33">
        <f t="shared" si="62"/>
        <v>0</v>
      </c>
      <c r="N118" s="33">
        <f t="shared" si="43"/>
        <v>0</v>
      </c>
      <c r="O118" s="34">
        <f t="shared" si="44"/>
        <v>0</v>
      </c>
      <c r="P118" s="55">
        <v>113</v>
      </c>
      <c r="Q118" s="33">
        <f t="shared" si="57"/>
        <v>0</v>
      </c>
      <c r="R118" s="33">
        <f t="shared" si="63"/>
        <v>0</v>
      </c>
      <c r="S118" s="33">
        <f t="shared" si="64"/>
        <v>0</v>
      </c>
      <c r="T118" s="33">
        <f t="shared" si="45"/>
        <v>0</v>
      </c>
      <c r="U118" s="33">
        <f t="shared" si="58"/>
        <v>0</v>
      </c>
      <c r="V118" s="33">
        <f t="shared" si="46"/>
        <v>0</v>
      </c>
      <c r="W118" s="33">
        <v>0</v>
      </c>
      <c r="X118" s="33">
        <f t="shared" si="47"/>
        <v>0</v>
      </c>
      <c r="Y118" s="38">
        <f t="shared" si="48"/>
        <v>0</v>
      </c>
      <c r="AA118" s="71">
        <v>113</v>
      </c>
      <c r="AB118" s="33">
        <f t="shared" si="49"/>
        <v>0</v>
      </c>
      <c r="AC118" s="304">
        <f t="shared" si="72"/>
        <v>0</v>
      </c>
      <c r="AD118" s="100">
        <f t="shared" si="50"/>
        <v>0</v>
      </c>
      <c r="AE118" s="100">
        <f t="shared" si="51"/>
        <v>0</v>
      </c>
      <c r="AF118" s="193">
        <f t="shared" si="68"/>
        <v>0</v>
      </c>
      <c r="AG118" s="193">
        <f t="shared" si="69"/>
        <v>0</v>
      </c>
      <c r="AH118" s="193">
        <f t="shared" si="70"/>
        <v>0</v>
      </c>
      <c r="AI118" s="198">
        <f t="shared" si="71"/>
        <v>0</v>
      </c>
      <c r="AK118" s="71">
        <v>113</v>
      </c>
      <c r="AL118" s="33">
        <f t="shared" si="52"/>
        <v>0</v>
      </c>
      <c r="AM118" s="33">
        <f t="shared" si="53"/>
        <v>0</v>
      </c>
      <c r="AN118" s="33">
        <f t="shared" si="54"/>
        <v>0</v>
      </c>
      <c r="AO118" s="33">
        <f t="shared" si="55"/>
        <v>0</v>
      </c>
      <c r="AP118" s="33">
        <f t="shared" si="56"/>
        <v>0</v>
      </c>
      <c r="AQ118" s="193">
        <f t="shared" si="74"/>
        <v>0</v>
      </c>
      <c r="AR118" s="193">
        <f t="shared" si="74"/>
        <v>0</v>
      </c>
      <c r="AS118" s="193">
        <f t="shared" si="74"/>
        <v>0</v>
      </c>
      <c r="AT118" s="193">
        <f t="shared" si="73"/>
        <v>0</v>
      </c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59"/>
        <v>0</v>
      </c>
      <c r="K119" s="33">
        <f t="shared" si="60"/>
        <v>0</v>
      </c>
      <c r="L119" s="33">
        <f t="shared" si="61"/>
        <v>0</v>
      </c>
      <c r="M119" s="33">
        <f t="shared" si="62"/>
        <v>0</v>
      </c>
      <c r="N119" s="33">
        <f t="shared" si="43"/>
        <v>0</v>
      </c>
      <c r="O119" s="34">
        <f t="shared" si="44"/>
        <v>0</v>
      </c>
      <c r="P119" s="55">
        <v>114</v>
      </c>
      <c r="Q119" s="33">
        <f t="shared" si="57"/>
        <v>0</v>
      </c>
      <c r="R119" s="33">
        <f t="shared" si="63"/>
        <v>0</v>
      </c>
      <c r="S119" s="33">
        <f t="shared" si="64"/>
        <v>0</v>
      </c>
      <c r="T119" s="33">
        <f t="shared" si="45"/>
        <v>0</v>
      </c>
      <c r="U119" s="33">
        <f t="shared" si="58"/>
        <v>0</v>
      </c>
      <c r="V119" s="33">
        <f t="shared" si="46"/>
        <v>0</v>
      </c>
      <c r="W119" s="33">
        <v>0</v>
      </c>
      <c r="X119" s="33">
        <f t="shared" si="47"/>
        <v>0</v>
      </c>
      <c r="Y119" s="38">
        <f t="shared" si="48"/>
        <v>0</v>
      </c>
      <c r="AA119" s="71">
        <v>114</v>
      </c>
      <c r="AB119" s="33">
        <f t="shared" si="49"/>
        <v>0</v>
      </c>
      <c r="AC119" s="304">
        <f t="shared" si="72"/>
        <v>0</v>
      </c>
      <c r="AD119" s="100">
        <f t="shared" si="50"/>
        <v>0</v>
      </c>
      <c r="AE119" s="100">
        <f t="shared" si="51"/>
        <v>0</v>
      </c>
      <c r="AF119" s="193">
        <f t="shared" si="68"/>
        <v>0</v>
      </c>
      <c r="AG119" s="193">
        <f t="shared" si="69"/>
        <v>0</v>
      </c>
      <c r="AH119" s="193">
        <f t="shared" si="70"/>
        <v>0</v>
      </c>
      <c r="AI119" s="198">
        <f t="shared" si="71"/>
        <v>0</v>
      </c>
      <c r="AK119" s="71">
        <v>114</v>
      </c>
      <c r="AL119" s="33">
        <f t="shared" si="52"/>
        <v>0</v>
      </c>
      <c r="AM119" s="33">
        <f t="shared" si="53"/>
        <v>0</v>
      </c>
      <c r="AN119" s="33">
        <f t="shared" si="54"/>
        <v>0</v>
      </c>
      <c r="AO119" s="33">
        <f t="shared" si="55"/>
        <v>0</v>
      </c>
      <c r="AP119" s="33">
        <f t="shared" si="56"/>
        <v>0</v>
      </c>
      <c r="AQ119" s="193">
        <f t="shared" si="74"/>
        <v>0</v>
      </c>
      <c r="AR119" s="193">
        <f t="shared" si="74"/>
        <v>0</v>
      </c>
      <c r="AS119" s="193">
        <f t="shared" si="74"/>
        <v>0</v>
      </c>
      <c r="AT119" s="193">
        <f t="shared" si="73"/>
        <v>0</v>
      </c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59"/>
        <v>0</v>
      </c>
      <c r="K120" s="33">
        <f t="shared" si="60"/>
        <v>0</v>
      </c>
      <c r="L120" s="33">
        <f t="shared" si="61"/>
        <v>0</v>
      </c>
      <c r="M120" s="33">
        <f t="shared" si="62"/>
        <v>0</v>
      </c>
      <c r="N120" s="33">
        <f t="shared" si="43"/>
        <v>0</v>
      </c>
      <c r="O120" s="34">
        <f t="shared" si="44"/>
        <v>0</v>
      </c>
      <c r="P120" s="55">
        <v>115</v>
      </c>
      <c r="Q120" s="33">
        <f t="shared" si="57"/>
        <v>0</v>
      </c>
      <c r="R120" s="33">
        <f t="shared" si="63"/>
        <v>0</v>
      </c>
      <c r="S120" s="33">
        <f t="shared" si="64"/>
        <v>0</v>
      </c>
      <c r="T120" s="33">
        <f t="shared" si="45"/>
        <v>0</v>
      </c>
      <c r="U120" s="33">
        <f t="shared" si="58"/>
        <v>0</v>
      </c>
      <c r="V120" s="33">
        <f t="shared" si="46"/>
        <v>0</v>
      </c>
      <c r="W120" s="33">
        <v>0</v>
      </c>
      <c r="X120" s="33">
        <f t="shared" si="47"/>
        <v>0</v>
      </c>
      <c r="Y120" s="38">
        <f t="shared" si="48"/>
        <v>0</v>
      </c>
      <c r="AA120" s="71">
        <v>115</v>
      </c>
      <c r="AB120" s="33">
        <f t="shared" si="49"/>
        <v>0</v>
      </c>
      <c r="AC120" s="304">
        <f t="shared" si="72"/>
        <v>0</v>
      </c>
      <c r="AD120" s="100">
        <f t="shared" si="50"/>
        <v>0</v>
      </c>
      <c r="AE120" s="100">
        <f t="shared" si="51"/>
        <v>0</v>
      </c>
      <c r="AF120" s="193">
        <f t="shared" si="68"/>
        <v>0</v>
      </c>
      <c r="AG120" s="193">
        <f t="shared" si="69"/>
        <v>0</v>
      </c>
      <c r="AH120" s="193">
        <f t="shared" si="70"/>
        <v>0</v>
      </c>
      <c r="AI120" s="198">
        <f t="shared" si="71"/>
        <v>0</v>
      </c>
      <c r="AK120" s="71">
        <v>115</v>
      </c>
      <c r="AL120" s="33">
        <f t="shared" si="52"/>
        <v>0</v>
      </c>
      <c r="AM120" s="33">
        <f t="shared" si="53"/>
        <v>0</v>
      </c>
      <c r="AN120" s="33">
        <f t="shared" si="54"/>
        <v>0</v>
      </c>
      <c r="AO120" s="33">
        <f t="shared" si="55"/>
        <v>0</v>
      </c>
      <c r="AP120" s="33">
        <f t="shared" si="56"/>
        <v>0</v>
      </c>
      <c r="AQ120" s="193">
        <f t="shared" si="74"/>
        <v>0</v>
      </c>
      <c r="AR120" s="193">
        <f t="shared" si="74"/>
        <v>0</v>
      </c>
      <c r="AS120" s="193">
        <f t="shared" si="74"/>
        <v>0</v>
      </c>
      <c r="AT120" s="193">
        <f t="shared" si="73"/>
        <v>0</v>
      </c>
      <c r="AU120" s="33"/>
      <c r="AV120" s="33"/>
      <c r="AW120" s="33"/>
      <c r="AX120" s="33"/>
      <c r="AY120" s="76"/>
    </row>
    <row r="121" spans="2:51">
      <c r="C121" s="134" t="s">
        <v>160</v>
      </c>
      <c r="D121" s="134"/>
      <c r="E121" s="134"/>
      <c r="I121" s="55">
        <v>116</v>
      </c>
      <c r="J121" s="33">
        <f t="shared" si="59"/>
        <v>0</v>
      </c>
      <c r="K121" s="33">
        <f t="shared" si="60"/>
        <v>0</v>
      </c>
      <c r="L121" s="33">
        <f t="shared" si="61"/>
        <v>0</v>
      </c>
      <c r="M121" s="33">
        <f t="shared" si="62"/>
        <v>0</v>
      </c>
      <c r="N121" s="33">
        <f t="shared" si="43"/>
        <v>0</v>
      </c>
      <c r="O121" s="34">
        <f t="shared" si="44"/>
        <v>0</v>
      </c>
      <c r="P121" s="55">
        <v>116</v>
      </c>
      <c r="Q121" s="33">
        <f t="shared" si="57"/>
        <v>0</v>
      </c>
      <c r="R121" s="33">
        <f t="shared" si="63"/>
        <v>0</v>
      </c>
      <c r="S121" s="33">
        <f t="shared" si="64"/>
        <v>0</v>
      </c>
      <c r="T121" s="33">
        <f t="shared" si="45"/>
        <v>0</v>
      </c>
      <c r="U121" s="33">
        <f t="shared" si="58"/>
        <v>0</v>
      </c>
      <c r="V121" s="33">
        <f t="shared" si="46"/>
        <v>0</v>
      </c>
      <c r="W121" s="33">
        <v>0</v>
      </c>
      <c r="X121" s="33">
        <f t="shared" si="47"/>
        <v>0</v>
      </c>
      <c r="Y121" s="38">
        <f t="shared" si="48"/>
        <v>0</v>
      </c>
      <c r="AA121" s="71">
        <v>116</v>
      </c>
      <c r="AB121" s="33">
        <f t="shared" si="49"/>
        <v>0</v>
      </c>
      <c r="AC121" s="304">
        <f t="shared" si="72"/>
        <v>0</v>
      </c>
      <c r="AD121" s="100">
        <f t="shared" si="50"/>
        <v>0</v>
      </c>
      <c r="AE121" s="100">
        <f t="shared" si="51"/>
        <v>0</v>
      </c>
      <c r="AF121" s="193">
        <f t="shared" si="68"/>
        <v>0</v>
      </c>
      <c r="AG121" s="193">
        <f t="shared" si="69"/>
        <v>0</v>
      </c>
      <c r="AH121" s="193">
        <f t="shared" si="70"/>
        <v>0</v>
      </c>
      <c r="AI121" s="198">
        <f t="shared" si="71"/>
        <v>0</v>
      </c>
      <c r="AK121" s="71">
        <v>116</v>
      </c>
      <c r="AL121" s="33">
        <f t="shared" si="52"/>
        <v>0</v>
      </c>
      <c r="AM121" s="33">
        <f t="shared" si="53"/>
        <v>0</v>
      </c>
      <c r="AN121" s="33">
        <f t="shared" si="54"/>
        <v>0</v>
      </c>
      <c r="AO121" s="33">
        <f t="shared" si="55"/>
        <v>0</v>
      </c>
      <c r="AP121" s="33">
        <f t="shared" si="56"/>
        <v>0</v>
      </c>
      <c r="AQ121" s="193">
        <f t="shared" si="74"/>
        <v>0</v>
      </c>
      <c r="AR121" s="193">
        <f t="shared" si="74"/>
        <v>0</v>
      </c>
      <c r="AS121" s="193">
        <f t="shared" si="74"/>
        <v>0</v>
      </c>
      <c r="AT121" s="193">
        <f t="shared" si="73"/>
        <v>0</v>
      </c>
      <c r="AU121" s="33"/>
      <c r="AV121" s="33"/>
      <c r="AW121" s="33"/>
      <c r="AX121" s="33"/>
      <c r="AY121" s="76"/>
    </row>
    <row r="122" spans="2:51">
      <c r="C122" s="134" t="s">
        <v>145</v>
      </c>
      <c r="D122" s="134" t="s">
        <v>72</v>
      </c>
      <c r="E122" s="81" t="s">
        <v>166</v>
      </c>
      <c r="I122" s="55">
        <v>117</v>
      </c>
      <c r="J122" s="33">
        <f t="shared" si="59"/>
        <v>0</v>
      </c>
      <c r="K122" s="33">
        <f t="shared" si="60"/>
        <v>0</v>
      </c>
      <c r="L122" s="33">
        <f t="shared" si="61"/>
        <v>0</v>
      </c>
      <c r="M122" s="33">
        <f t="shared" si="62"/>
        <v>0</v>
      </c>
      <c r="N122" s="33">
        <f t="shared" si="43"/>
        <v>0</v>
      </c>
      <c r="O122" s="34">
        <f t="shared" si="44"/>
        <v>0</v>
      </c>
      <c r="P122" s="55">
        <v>117</v>
      </c>
      <c r="Q122" s="33">
        <f t="shared" si="57"/>
        <v>0</v>
      </c>
      <c r="R122" s="33">
        <f t="shared" si="63"/>
        <v>0</v>
      </c>
      <c r="S122" s="33">
        <f t="shared" si="64"/>
        <v>0</v>
      </c>
      <c r="T122" s="33">
        <f t="shared" si="45"/>
        <v>0</v>
      </c>
      <c r="U122" s="33">
        <f t="shared" si="58"/>
        <v>0</v>
      </c>
      <c r="V122" s="33">
        <f t="shared" si="46"/>
        <v>0</v>
      </c>
      <c r="W122" s="33">
        <v>0</v>
      </c>
      <c r="X122" s="33">
        <f t="shared" si="47"/>
        <v>0</v>
      </c>
      <c r="Y122" s="38">
        <f t="shared" si="48"/>
        <v>0</v>
      </c>
      <c r="AA122" s="71">
        <v>117</v>
      </c>
      <c r="AB122" s="33">
        <f t="shared" si="49"/>
        <v>0</v>
      </c>
      <c r="AC122" s="304">
        <f t="shared" si="72"/>
        <v>0</v>
      </c>
      <c r="AD122" s="100">
        <f t="shared" si="50"/>
        <v>0</v>
      </c>
      <c r="AE122" s="100">
        <f t="shared" si="51"/>
        <v>0</v>
      </c>
      <c r="AF122" s="193">
        <f t="shared" si="68"/>
        <v>0</v>
      </c>
      <c r="AG122" s="193">
        <f t="shared" si="69"/>
        <v>0</v>
      </c>
      <c r="AH122" s="193">
        <f t="shared" si="70"/>
        <v>0</v>
      </c>
      <c r="AI122" s="198">
        <f t="shared" si="71"/>
        <v>0</v>
      </c>
      <c r="AK122" s="71">
        <v>117</v>
      </c>
      <c r="AL122" s="33">
        <f t="shared" si="52"/>
        <v>0</v>
      </c>
      <c r="AM122" s="33">
        <f t="shared" si="53"/>
        <v>0</v>
      </c>
      <c r="AN122" s="33">
        <f t="shared" si="54"/>
        <v>0</v>
      </c>
      <c r="AO122" s="33">
        <f t="shared" si="55"/>
        <v>0</v>
      </c>
      <c r="AP122" s="33">
        <f t="shared" si="56"/>
        <v>0</v>
      </c>
      <c r="AQ122" s="193">
        <f t="shared" si="74"/>
        <v>0</v>
      </c>
      <c r="AR122" s="193">
        <f t="shared" si="74"/>
        <v>0</v>
      </c>
      <c r="AS122" s="193">
        <f t="shared" si="74"/>
        <v>0</v>
      </c>
      <c r="AT122" s="193">
        <f t="shared" si="73"/>
        <v>0</v>
      </c>
      <c r="AU122" s="33"/>
      <c r="AV122" s="33"/>
      <c r="AW122" s="33"/>
      <c r="AX122" s="33"/>
      <c r="AY122" s="76"/>
    </row>
    <row r="123" spans="2:51">
      <c r="B123" s="67" t="s">
        <v>168</v>
      </c>
      <c r="C123" s="82">
        <f>AY35</f>
        <v>29.5</v>
      </c>
      <c r="D123" s="303">
        <f>IF(AND(D8=B100,F12=C194),J34*50%*G107,0)</f>
        <v>2.6187</v>
      </c>
      <c r="E123" s="78">
        <f>C123-D123</f>
        <v>26.8813</v>
      </c>
      <c r="I123" s="55">
        <v>118</v>
      </c>
      <c r="J123" s="33">
        <f t="shared" si="59"/>
        <v>0</v>
      </c>
      <c r="K123" s="33">
        <f t="shared" si="60"/>
        <v>0</v>
      </c>
      <c r="L123" s="33">
        <f t="shared" si="61"/>
        <v>0</v>
      </c>
      <c r="M123" s="33">
        <f t="shared" si="62"/>
        <v>0</v>
      </c>
      <c r="N123" s="33">
        <f t="shared" si="43"/>
        <v>0</v>
      </c>
      <c r="O123" s="34">
        <f t="shared" si="44"/>
        <v>0</v>
      </c>
      <c r="P123" s="55">
        <v>118</v>
      </c>
      <c r="Q123" s="33">
        <f t="shared" si="57"/>
        <v>0</v>
      </c>
      <c r="R123" s="33">
        <f t="shared" si="63"/>
        <v>0</v>
      </c>
      <c r="S123" s="33">
        <f t="shared" si="64"/>
        <v>0</v>
      </c>
      <c r="T123" s="33">
        <f t="shared" si="45"/>
        <v>0</v>
      </c>
      <c r="U123" s="33">
        <f t="shared" si="58"/>
        <v>0</v>
      </c>
      <c r="V123" s="33">
        <f t="shared" si="46"/>
        <v>0</v>
      </c>
      <c r="W123" s="33">
        <v>0</v>
      </c>
      <c r="X123" s="33">
        <f t="shared" si="47"/>
        <v>0</v>
      </c>
      <c r="Y123" s="38">
        <f t="shared" si="48"/>
        <v>0</v>
      </c>
      <c r="AA123" s="71">
        <v>118</v>
      </c>
      <c r="AB123" s="33">
        <f t="shared" si="49"/>
        <v>0</v>
      </c>
      <c r="AC123" s="304">
        <f t="shared" si="72"/>
        <v>0</v>
      </c>
      <c r="AD123" s="100">
        <f t="shared" si="50"/>
        <v>0</v>
      </c>
      <c r="AE123" s="100">
        <f t="shared" si="51"/>
        <v>0</v>
      </c>
      <c r="AF123" s="193">
        <f t="shared" si="68"/>
        <v>0</v>
      </c>
      <c r="AG123" s="193">
        <f t="shared" si="69"/>
        <v>0</v>
      </c>
      <c r="AH123" s="193">
        <f t="shared" si="70"/>
        <v>0</v>
      </c>
      <c r="AI123" s="198">
        <f t="shared" si="71"/>
        <v>0</v>
      </c>
      <c r="AK123" s="71">
        <v>118</v>
      </c>
      <c r="AL123" s="33">
        <f t="shared" si="52"/>
        <v>0</v>
      </c>
      <c r="AM123" s="33">
        <f t="shared" si="53"/>
        <v>0</v>
      </c>
      <c r="AN123" s="33">
        <f t="shared" si="54"/>
        <v>0</v>
      </c>
      <c r="AO123" s="33">
        <f t="shared" si="55"/>
        <v>0</v>
      </c>
      <c r="AP123" s="33">
        <f t="shared" si="56"/>
        <v>0</v>
      </c>
      <c r="AQ123" s="193">
        <f t="shared" si="74"/>
        <v>0</v>
      </c>
      <c r="AR123" s="193">
        <f t="shared" si="74"/>
        <v>0</v>
      </c>
      <c r="AS123" s="193">
        <f t="shared" si="74"/>
        <v>0</v>
      </c>
      <c r="AT123" s="193">
        <f t="shared" si="73"/>
        <v>0</v>
      </c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59"/>
        <v>0</v>
      </c>
      <c r="K124" s="33">
        <f t="shared" si="60"/>
        <v>0</v>
      </c>
      <c r="L124" s="33">
        <f t="shared" si="61"/>
        <v>0</v>
      </c>
      <c r="M124" s="33">
        <f t="shared" si="62"/>
        <v>0</v>
      </c>
      <c r="N124" s="33">
        <f t="shared" si="43"/>
        <v>0</v>
      </c>
      <c r="O124" s="34">
        <f t="shared" si="44"/>
        <v>0</v>
      </c>
      <c r="P124" s="55">
        <v>119</v>
      </c>
      <c r="Q124" s="33">
        <f t="shared" si="57"/>
        <v>0</v>
      </c>
      <c r="R124" s="33">
        <f t="shared" si="63"/>
        <v>0</v>
      </c>
      <c r="S124" s="33">
        <f t="shared" si="64"/>
        <v>0</v>
      </c>
      <c r="T124" s="33">
        <f t="shared" si="45"/>
        <v>0</v>
      </c>
      <c r="U124" s="33">
        <f t="shared" si="58"/>
        <v>0</v>
      </c>
      <c r="V124" s="33">
        <f t="shared" si="46"/>
        <v>0</v>
      </c>
      <c r="W124" s="33">
        <v>0</v>
      </c>
      <c r="X124" s="33">
        <f t="shared" si="47"/>
        <v>0</v>
      </c>
      <c r="Y124" s="38">
        <f t="shared" si="48"/>
        <v>0</v>
      </c>
      <c r="AA124" s="71">
        <v>119</v>
      </c>
      <c r="AB124" s="33">
        <f t="shared" si="49"/>
        <v>0</v>
      </c>
      <c r="AC124" s="304">
        <f t="shared" si="72"/>
        <v>0</v>
      </c>
      <c r="AD124" s="100">
        <f t="shared" si="50"/>
        <v>0</v>
      </c>
      <c r="AE124" s="100">
        <f t="shared" si="51"/>
        <v>0</v>
      </c>
      <c r="AF124" s="193">
        <f t="shared" si="68"/>
        <v>0</v>
      </c>
      <c r="AG124" s="193">
        <f t="shared" si="69"/>
        <v>0</v>
      </c>
      <c r="AH124" s="193">
        <f t="shared" si="70"/>
        <v>0</v>
      </c>
      <c r="AI124" s="198">
        <f t="shared" si="71"/>
        <v>0</v>
      </c>
      <c r="AK124" s="71">
        <v>119</v>
      </c>
      <c r="AL124" s="33">
        <f t="shared" si="52"/>
        <v>0</v>
      </c>
      <c r="AM124" s="33">
        <f t="shared" si="53"/>
        <v>0</v>
      </c>
      <c r="AN124" s="33">
        <f t="shared" si="54"/>
        <v>0</v>
      </c>
      <c r="AO124" s="33">
        <f t="shared" si="55"/>
        <v>0</v>
      </c>
      <c r="AP124" s="33">
        <f t="shared" si="56"/>
        <v>0</v>
      </c>
      <c r="AQ124" s="193">
        <f t="shared" si="74"/>
        <v>0</v>
      </c>
      <c r="AR124" s="193">
        <f t="shared" si="74"/>
        <v>0</v>
      </c>
      <c r="AS124" s="193">
        <f t="shared" si="74"/>
        <v>0</v>
      </c>
      <c r="AT124" s="193">
        <f t="shared" si="73"/>
        <v>0</v>
      </c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59"/>
        <v>0</v>
      </c>
      <c r="K125" s="33">
        <f t="shared" si="60"/>
        <v>0</v>
      </c>
      <c r="L125" s="33">
        <f t="shared" si="61"/>
        <v>0</v>
      </c>
      <c r="M125" s="33">
        <f t="shared" si="62"/>
        <v>0</v>
      </c>
      <c r="N125" s="33">
        <f t="shared" si="43"/>
        <v>0</v>
      </c>
      <c r="O125" s="34">
        <f t="shared" si="44"/>
        <v>0</v>
      </c>
      <c r="P125" s="55">
        <v>120</v>
      </c>
      <c r="Q125" s="33">
        <f t="shared" si="57"/>
        <v>0</v>
      </c>
      <c r="R125" s="33">
        <f t="shared" si="63"/>
        <v>0</v>
      </c>
      <c r="S125" s="33">
        <f t="shared" si="64"/>
        <v>0</v>
      </c>
      <c r="T125" s="33">
        <f t="shared" si="45"/>
        <v>0</v>
      </c>
      <c r="U125" s="33">
        <f t="shared" si="58"/>
        <v>0</v>
      </c>
      <c r="V125" s="33">
        <f t="shared" si="46"/>
        <v>0</v>
      </c>
      <c r="W125" s="33">
        <v>0</v>
      </c>
      <c r="X125" s="33">
        <f t="shared" si="47"/>
        <v>0</v>
      </c>
      <c r="Y125" s="38">
        <f t="shared" si="48"/>
        <v>0</v>
      </c>
      <c r="AA125" s="71">
        <v>120</v>
      </c>
      <c r="AB125" s="33">
        <f t="shared" si="49"/>
        <v>0</v>
      </c>
      <c r="AC125" s="304">
        <f t="shared" si="72"/>
        <v>0</v>
      </c>
      <c r="AD125" s="100">
        <f t="shared" si="50"/>
        <v>0</v>
      </c>
      <c r="AE125" s="100">
        <f t="shared" si="51"/>
        <v>0</v>
      </c>
      <c r="AF125" s="193">
        <f t="shared" si="68"/>
        <v>0</v>
      </c>
      <c r="AG125" s="193">
        <f t="shared" si="69"/>
        <v>0</v>
      </c>
      <c r="AH125" s="193">
        <f t="shared" si="70"/>
        <v>0</v>
      </c>
      <c r="AI125" s="198">
        <f t="shared" si="71"/>
        <v>0</v>
      </c>
      <c r="AK125" s="71">
        <v>120</v>
      </c>
      <c r="AL125" s="33">
        <f t="shared" si="52"/>
        <v>0</v>
      </c>
      <c r="AM125" s="33">
        <f t="shared" si="53"/>
        <v>0</v>
      </c>
      <c r="AN125" s="33">
        <f t="shared" si="54"/>
        <v>0</v>
      </c>
      <c r="AO125" s="33">
        <f t="shared" si="55"/>
        <v>0</v>
      </c>
      <c r="AP125" s="33">
        <f t="shared" si="56"/>
        <v>0</v>
      </c>
      <c r="AQ125" s="193">
        <f t="shared" si="74"/>
        <v>0</v>
      </c>
      <c r="AR125" s="193">
        <f t="shared" si="74"/>
        <v>0</v>
      </c>
      <c r="AS125" s="193">
        <f t="shared" si="74"/>
        <v>0</v>
      </c>
      <c r="AT125" s="193">
        <f t="shared" si="73"/>
        <v>0</v>
      </c>
      <c r="AU125" s="33"/>
      <c r="AV125" s="33"/>
      <c r="AW125" s="33"/>
      <c r="AX125" s="33"/>
      <c r="AY125" s="76"/>
    </row>
    <row r="126" spans="2:51">
      <c r="C126" s="84" t="s">
        <v>129</v>
      </c>
      <c r="D126" s="84" t="s">
        <v>130</v>
      </c>
      <c r="E126" s="84" t="s">
        <v>160</v>
      </c>
      <c r="F126" s="137" t="s">
        <v>170</v>
      </c>
      <c r="I126" s="55">
        <v>121</v>
      </c>
      <c r="J126" s="33">
        <f t="shared" si="59"/>
        <v>0</v>
      </c>
      <c r="K126" s="33">
        <f t="shared" si="60"/>
        <v>0</v>
      </c>
      <c r="L126" s="33">
        <f t="shared" si="61"/>
        <v>0</v>
      </c>
      <c r="M126" s="33">
        <f t="shared" si="62"/>
        <v>0</v>
      </c>
      <c r="N126" s="33">
        <f t="shared" si="43"/>
        <v>0</v>
      </c>
      <c r="O126" s="34">
        <f t="shared" si="44"/>
        <v>0</v>
      </c>
      <c r="P126" s="55">
        <v>121</v>
      </c>
      <c r="Q126" s="33">
        <f t="shared" si="57"/>
        <v>0</v>
      </c>
      <c r="R126" s="33">
        <f t="shared" si="63"/>
        <v>0</v>
      </c>
      <c r="S126" s="33">
        <f t="shared" si="64"/>
        <v>0</v>
      </c>
      <c r="T126" s="33">
        <f t="shared" si="45"/>
        <v>0</v>
      </c>
      <c r="U126" s="33">
        <f t="shared" si="58"/>
        <v>0</v>
      </c>
      <c r="V126" s="33">
        <f t="shared" si="46"/>
        <v>0</v>
      </c>
      <c r="W126" s="33">
        <v>0</v>
      </c>
      <c r="X126" s="33">
        <f t="shared" si="47"/>
        <v>0</v>
      </c>
      <c r="Y126" s="38">
        <f t="shared" si="48"/>
        <v>0</v>
      </c>
      <c r="AA126" s="71">
        <v>121</v>
      </c>
      <c r="AB126" s="33">
        <f t="shared" si="49"/>
        <v>0</v>
      </c>
      <c r="AC126" s="304">
        <f t="shared" si="72"/>
        <v>0</v>
      </c>
      <c r="AD126" s="100">
        <f t="shared" si="50"/>
        <v>0</v>
      </c>
      <c r="AE126" s="100">
        <f t="shared" si="51"/>
        <v>0</v>
      </c>
      <c r="AF126" s="193">
        <f t="shared" si="68"/>
        <v>0</v>
      </c>
      <c r="AG126" s="193">
        <f t="shared" si="69"/>
        <v>0</v>
      </c>
      <c r="AH126" s="193">
        <f t="shared" si="70"/>
        <v>0</v>
      </c>
      <c r="AI126" s="198">
        <f t="shared" si="71"/>
        <v>0</v>
      </c>
      <c r="AK126" s="71">
        <v>121</v>
      </c>
      <c r="AL126" s="33">
        <f t="shared" si="52"/>
        <v>0</v>
      </c>
      <c r="AM126" s="33">
        <f t="shared" si="53"/>
        <v>0</v>
      </c>
      <c r="AN126" s="33">
        <f t="shared" si="54"/>
        <v>0</v>
      </c>
      <c r="AO126" s="33">
        <f t="shared" si="55"/>
        <v>0</v>
      </c>
      <c r="AP126" s="33">
        <f t="shared" si="56"/>
        <v>0</v>
      </c>
      <c r="AQ126" s="193">
        <f t="shared" si="74"/>
        <v>0</v>
      </c>
      <c r="AR126" s="193">
        <f t="shared" si="74"/>
        <v>0</v>
      </c>
      <c r="AS126" s="193">
        <f t="shared" si="74"/>
        <v>0</v>
      </c>
      <c r="AT126" s="193">
        <f t="shared" si="73"/>
        <v>0</v>
      </c>
      <c r="AU126" s="33"/>
      <c r="AV126" s="33"/>
      <c r="AW126" s="33"/>
      <c r="AX126" s="33"/>
      <c r="AY126" s="76"/>
    </row>
    <row r="127" spans="2:51">
      <c r="C127" s="82">
        <f>IF(F18&gt;30,MIN(E113:E114),E113)</f>
        <v>234.91594052584475</v>
      </c>
      <c r="D127" s="82">
        <f>MIN(E118:E119)</f>
        <v>5.8725400035188393</v>
      </c>
      <c r="E127" s="85">
        <f>E123</f>
        <v>26.8813</v>
      </c>
      <c r="F127" s="86">
        <f>SUM(C127:E127)</f>
        <v>267.66978052936361</v>
      </c>
      <c r="I127" s="55">
        <v>122</v>
      </c>
      <c r="J127" s="33">
        <f t="shared" si="59"/>
        <v>0</v>
      </c>
      <c r="K127" s="33">
        <f t="shared" si="60"/>
        <v>0</v>
      </c>
      <c r="L127" s="33">
        <f t="shared" si="61"/>
        <v>0</v>
      </c>
      <c r="M127" s="33">
        <f t="shared" si="62"/>
        <v>0</v>
      </c>
      <c r="N127" s="33">
        <f t="shared" si="43"/>
        <v>0</v>
      </c>
      <c r="O127" s="34">
        <f t="shared" si="44"/>
        <v>0</v>
      </c>
      <c r="P127" s="55">
        <v>122</v>
      </c>
      <c r="Q127" s="33">
        <f t="shared" si="57"/>
        <v>0</v>
      </c>
      <c r="R127" s="33">
        <f t="shared" si="63"/>
        <v>0</v>
      </c>
      <c r="S127" s="33">
        <f t="shared" si="64"/>
        <v>0</v>
      </c>
      <c r="T127" s="33">
        <f t="shared" si="45"/>
        <v>0</v>
      </c>
      <c r="U127" s="33">
        <f t="shared" si="58"/>
        <v>0</v>
      </c>
      <c r="V127" s="33">
        <f t="shared" si="46"/>
        <v>0</v>
      </c>
      <c r="W127" s="33">
        <v>0</v>
      </c>
      <c r="X127" s="33">
        <f t="shared" si="47"/>
        <v>0</v>
      </c>
      <c r="Y127" s="38">
        <f t="shared" si="48"/>
        <v>0</v>
      </c>
      <c r="AA127" s="71">
        <v>122</v>
      </c>
      <c r="AB127" s="33">
        <f t="shared" si="49"/>
        <v>0</v>
      </c>
      <c r="AC127" s="304">
        <f t="shared" si="72"/>
        <v>0</v>
      </c>
      <c r="AD127" s="100">
        <f t="shared" si="50"/>
        <v>0</v>
      </c>
      <c r="AE127" s="100">
        <f t="shared" si="51"/>
        <v>0</v>
      </c>
      <c r="AF127" s="193">
        <f t="shared" si="68"/>
        <v>0</v>
      </c>
      <c r="AG127" s="193">
        <f t="shared" si="69"/>
        <v>0</v>
      </c>
      <c r="AH127" s="193">
        <f t="shared" si="70"/>
        <v>0</v>
      </c>
      <c r="AI127" s="198">
        <f t="shared" si="71"/>
        <v>0</v>
      </c>
      <c r="AK127" s="71">
        <v>122</v>
      </c>
      <c r="AL127" s="33">
        <f t="shared" si="52"/>
        <v>0</v>
      </c>
      <c r="AM127" s="33">
        <f t="shared" si="53"/>
        <v>0</v>
      </c>
      <c r="AN127" s="33">
        <f t="shared" si="54"/>
        <v>0</v>
      </c>
      <c r="AO127" s="33">
        <f t="shared" si="55"/>
        <v>0</v>
      </c>
      <c r="AP127" s="33">
        <f t="shared" si="56"/>
        <v>0</v>
      </c>
      <c r="AQ127" s="193">
        <f t="shared" si="74"/>
        <v>0</v>
      </c>
      <c r="AR127" s="193">
        <f t="shared" si="74"/>
        <v>0</v>
      </c>
      <c r="AS127" s="193">
        <f t="shared" si="74"/>
        <v>0</v>
      </c>
      <c r="AT127" s="193">
        <f t="shared" si="73"/>
        <v>0</v>
      </c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59"/>
        <v>0</v>
      </c>
      <c r="K128" s="33">
        <f t="shared" si="60"/>
        <v>0</v>
      </c>
      <c r="L128" s="33">
        <f t="shared" si="61"/>
        <v>0</v>
      </c>
      <c r="M128" s="33">
        <f t="shared" si="62"/>
        <v>0</v>
      </c>
      <c r="N128" s="33">
        <f t="shared" si="43"/>
        <v>0</v>
      </c>
      <c r="O128" s="34">
        <f t="shared" si="44"/>
        <v>0</v>
      </c>
      <c r="P128" s="55">
        <v>123</v>
      </c>
      <c r="Q128" s="33">
        <f t="shared" si="57"/>
        <v>0</v>
      </c>
      <c r="R128" s="33">
        <f t="shared" si="63"/>
        <v>0</v>
      </c>
      <c r="S128" s="33">
        <f t="shared" si="64"/>
        <v>0</v>
      </c>
      <c r="T128" s="33">
        <f t="shared" si="45"/>
        <v>0</v>
      </c>
      <c r="U128" s="33">
        <f t="shared" si="58"/>
        <v>0</v>
      </c>
      <c r="V128" s="33">
        <f t="shared" si="46"/>
        <v>0</v>
      </c>
      <c r="W128" s="33">
        <v>0</v>
      </c>
      <c r="X128" s="33">
        <f t="shared" si="47"/>
        <v>0</v>
      </c>
      <c r="Y128" s="38">
        <f t="shared" si="48"/>
        <v>0</v>
      </c>
      <c r="AA128" s="71">
        <v>123</v>
      </c>
      <c r="AB128" s="33">
        <f t="shared" si="49"/>
        <v>0</v>
      </c>
      <c r="AC128" s="304">
        <f t="shared" si="72"/>
        <v>0</v>
      </c>
      <c r="AD128" s="100">
        <f t="shared" si="50"/>
        <v>0</v>
      </c>
      <c r="AE128" s="100">
        <f t="shared" si="51"/>
        <v>0</v>
      </c>
      <c r="AF128" s="193">
        <f t="shared" si="68"/>
        <v>0</v>
      </c>
      <c r="AG128" s="193">
        <f t="shared" si="69"/>
        <v>0</v>
      </c>
      <c r="AH128" s="193">
        <f t="shared" si="70"/>
        <v>0</v>
      </c>
      <c r="AI128" s="198">
        <f t="shared" si="71"/>
        <v>0</v>
      </c>
      <c r="AK128" s="71">
        <v>123</v>
      </c>
      <c r="AL128" s="33">
        <f t="shared" si="52"/>
        <v>0</v>
      </c>
      <c r="AM128" s="33">
        <f t="shared" si="53"/>
        <v>0</v>
      </c>
      <c r="AN128" s="33">
        <f t="shared" si="54"/>
        <v>0</v>
      </c>
      <c r="AO128" s="33">
        <f t="shared" si="55"/>
        <v>0</v>
      </c>
      <c r="AP128" s="33">
        <f t="shared" si="56"/>
        <v>0</v>
      </c>
      <c r="AQ128" s="193">
        <f t="shared" si="74"/>
        <v>0</v>
      </c>
      <c r="AR128" s="193">
        <f t="shared" si="74"/>
        <v>0</v>
      </c>
      <c r="AS128" s="193">
        <f t="shared" si="74"/>
        <v>0</v>
      </c>
      <c r="AT128" s="193">
        <f t="shared" si="73"/>
        <v>0</v>
      </c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59"/>
        <v>0</v>
      </c>
      <c r="K129" s="33">
        <f t="shared" si="60"/>
        <v>0</v>
      </c>
      <c r="L129" s="33">
        <f t="shared" si="61"/>
        <v>0</v>
      </c>
      <c r="M129" s="33">
        <f t="shared" si="62"/>
        <v>0</v>
      </c>
      <c r="N129" s="33">
        <f t="shared" si="43"/>
        <v>0</v>
      </c>
      <c r="O129" s="34">
        <f t="shared" si="44"/>
        <v>0</v>
      </c>
      <c r="P129" s="55">
        <v>124</v>
      </c>
      <c r="Q129" s="33">
        <f t="shared" si="57"/>
        <v>0</v>
      </c>
      <c r="R129" s="33">
        <f t="shared" si="63"/>
        <v>0</v>
      </c>
      <c r="S129" s="33">
        <f t="shared" si="64"/>
        <v>0</v>
      </c>
      <c r="T129" s="33">
        <f t="shared" si="45"/>
        <v>0</v>
      </c>
      <c r="U129" s="33">
        <f t="shared" si="58"/>
        <v>0</v>
      </c>
      <c r="V129" s="33">
        <f t="shared" si="46"/>
        <v>0</v>
      </c>
      <c r="W129" s="33">
        <v>0</v>
      </c>
      <c r="X129" s="33">
        <f t="shared" si="47"/>
        <v>0</v>
      </c>
      <c r="Y129" s="38">
        <f t="shared" si="48"/>
        <v>0</v>
      </c>
      <c r="AA129" s="71">
        <v>124</v>
      </c>
      <c r="AB129" s="33">
        <f t="shared" si="49"/>
        <v>0</v>
      </c>
      <c r="AC129" s="304">
        <f t="shared" si="72"/>
        <v>0</v>
      </c>
      <c r="AD129" s="100">
        <f t="shared" si="50"/>
        <v>0</v>
      </c>
      <c r="AE129" s="100">
        <f t="shared" si="51"/>
        <v>0</v>
      </c>
      <c r="AF129" s="193">
        <f t="shared" si="68"/>
        <v>0</v>
      </c>
      <c r="AG129" s="193">
        <f t="shared" si="69"/>
        <v>0</v>
      </c>
      <c r="AH129" s="193">
        <f t="shared" si="70"/>
        <v>0</v>
      </c>
      <c r="AI129" s="198">
        <f t="shared" si="71"/>
        <v>0</v>
      </c>
      <c r="AK129" s="71">
        <v>124</v>
      </c>
      <c r="AL129" s="33">
        <f t="shared" si="52"/>
        <v>0</v>
      </c>
      <c r="AM129" s="33">
        <f t="shared" si="53"/>
        <v>0</v>
      </c>
      <c r="AN129" s="33">
        <f t="shared" si="54"/>
        <v>0</v>
      </c>
      <c r="AO129" s="33">
        <f t="shared" si="55"/>
        <v>0</v>
      </c>
      <c r="AP129" s="33">
        <f t="shared" si="56"/>
        <v>0</v>
      </c>
      <c r="AQ129" s="193">
        <f t="shared" si="74"/>
        <v>0</v>
      </c>
      <c r="AR129" s="193">
        <f t="shared" si="74"/>
        <v>0</v>
      </c>
      <c r="AS129" s="193">
        <f t="shared" si="74"/>
        <v>0</v>
      </c>
      <c r="AT129" s="193">
        <f t="shared" si="73"/>
        <v>0</v>
      </c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87" t="s">
        <v>227</v>
      </c>
      <c r="F130" s="342" t="s">
        <v>271</v>
      </c>
      <c r="I130" s="55">
        <v>125</v>
      </c>
      <c r="J130" s="33">
        <f t="shared" si="59"/>
        <v>0</v>
      </c>
      <c r="K130" s="33">
        <f t="shared" si="60"/>
        <v>0</v>
      </c>
      <c r="L130" s="33">
        <f t="shared" si="61"/>
        <v>0</v>
      </c>
      <c r="M130" s="33">
        <f t="shared" si="62"/>
        <v>0</v>
      </c>
      <c r="N130" s="33">
        <f t="shared" si="43"/>
        <v>0</v>
      </c>
      <c r="O130" s="34">
        <f t="shared" si="44"/>
        <v>0</v>
      </c>
      <c r="P130" s="55">
        <v>125</v>
      </c>
      <c r="Q130" s="33">
        <f t="shared" si="57"/>
        <v>0</v>
      </c>
      <c r="R130" s="33">
        <f t="shared" si="63"/>
        <v>0</v>
      </c>
      <c r="S130" s="33">
        <f t="shared" si="64"/>
        <v>0</v>
      </c>
      <c r="T130" s="33">
        <f t="shared" si="45"/>
        <v>0</v>
      </c>
      <c r="U130" s="33">
        <f t="shared" si="58"/>
        <v>0</v>
      </c>
      <c r="V130" s="33">
        <f t="shared" si="46"/>
        <v>0</v>
      </c>
      <c r="W130" s="33">
        <v>0</v>
      </c>
      <c r="X130" s="33">
        <f t="shared" si="47"/>
        <v>0</v>
      </c>
      <c r="Y130" s="38">
        <f t="shared" si="48"/>
        <v>0</v>
      </c>
      <c r="AA130" s="71">
        <v>125</v>
      </c>
      <c r="AB130" s="33">
        <f t="shared" si="49"/>
        <v>0</v>
      </c>
      <c r="AC130" s="304">
        <f t="shared" si="72"/>
        <v>0</v>
      </c>
      <c r="AD130" s="100">
        <f t="shared" si="50"/>
        <v>0</v>
      </c>
      <c r="AE130" s="100">
        <f t="shared" si="51"/>
        <v>0</v>
      </c>
      <c r="AF130" s="193">
        <f t="shared" si="68"/>
        <v>0</v>
      </c>
      <c r="AG130" s="193">
        <f t="shared" si="69"/>
        <v>0</v>
      </c>
      <c r="AH130" s="193">
        <f t="shared" si="70"/>
        <v>0</v>
      </c>
      <c r="AI130" s="198">
        <f t="shared" si="71"/>
        <v>0</v>
      </c>
      <c r="AK130" s="71">
        <v>125</v>
      </c>
      <c r="AL130" s="33">
        <f t="shared" si="52"/>
        <v>0</v>
      </c>
      <c r="AM130" s="33">
        <f t="shared" si="53"/>
        <v>0</v>
      </c>
      <c r="AN130" s="33">
        <f t="shared" si="54"/>
        <v>0</v>
      </c>
      <c r="AO130" s="33">
        <f t="shared" si="55"/>
        <v>0</v>
      </c>
      <c r="AP130" s="33">
        <f t="shared" si="56"/>
        <v>0</v>
      </c>
      <c r="AQ130" s="193">
        <f t="shared" si="74"/>
        <v>0</v>
      </c>
      <c r="AR130" s="193">
        <f t="shared" si="74"/>
        <v>0</v>
      </c>
      <c r="AS130" s="193">
        <f t="shared" si="74"/>
        <v>0</v>
      </c>
      <c r="AT130" s="193">
        <f t="shared" si="73"/>
        <v>0</v>
      </c>
      <c r="AU130" s="33"/>
      <c r="AV130" s="33"/>
      <c r="AW130" s="33"/>
      <c r="AX130" s="33"/>
      <c r="AY130" s="76"/>
    </row>
    <row r="131" spans="3:51">
      <c r="C131" s="165" t="s">
        <v>7</v>
      </c>
      <c r="D131" s="4">
        <v>0.62</v>
      </c>
      <c r="E131" s="187" t="s">
        <v>228</v>
      </c>
      <c r="F131" s="342">
        <f>IF(OR(Tableau145[[#This Row],[Type]]="Feuillus",Tableau145[[#This Row],[Type]]="Peupliers"),1.56,1.3)</f>
        <v>1.56</v>
      </c>
      <c r="I131" s="55">
        <v>126</v>
      </c>
      <c r="J131" s="33">
        <f t="shared" si="59"/>
        <v>0</v>
      </c>
      <c r="K131" s="33">
        <f t="shared" si="60"/>
        <v>0</v>
      </c>
      <c r="L131" s="33">
        <f t="shared" si="61"/>
        <v>0</v>
      </c>
      <c r="M131" s="33">
        <f t="shared" si="62"/>
        <v>0</v>
      </c>
      <c r="N131" s="33">
        <f t="shared" si="43"/>
        <v>0</v>
      </c>
      <c r="O131" s="34">
        <f t="shared" si="44"/>
        <v>0</v>
      </c>
      <c r="P131" s="55">
        <v>126</v>
      </c>
      <c r="Q131" s="33">
        <f t="shared" si="57"/>
        <v>0</v>
      </c>
      <c r="R131" s="33">
        <f t="shared" si="63"/>
        <v>0</v>
      </c>
      <c r="S131" s="33">
        <f t="shared" si="64"/>
        <v>0</v>
      </c>
      <c r="T131" s="33">
        <f t="shared" si="45"/>
        <v>0</v>
      </c>
      <c r="U131" s="33">
        <f t="shared" si="58"/>
        <v>0</v>
      </c>
      <c r="V131" s="33">
        <f t="shared" si="46"/>
        <v>0</v>
      </c>
      <c r="W131" s="33">
        <v>0</v>
      </c>
      <c r="X131" s="33">
        <f t="shared" si="47"/>
        <v>0</v>
      </c>
      <c r="Y131" s="38">
        <f t="shared" si="48"/>
        <v>0</v>
      </c>
      <c r="AA131" s="71">
        <v>126</v>
      </c>
      <c r="AB131" s="33">
        <f t="shared" si="49"/>
        <v>0</v>
      </c>
      <c r="AC131" s="304">
        <f t="shared" si="72"/>
        <v>0</v>
      </c>
      <c r="AD131" s="100">
        <f t="shared" si="50"/>
        <v>0</v>
      </c>
      <c r="AE131" s="100">
        <f t="shared" si="51"/>
        <v>0</v>
      </c>
      <c r="AF131" s="193">
        <f t="shared" si="68"/>
        <v>0</v>
      </c>
      <c r="AG131" s="193">
        <f t="shared" si="69"/>
        <v>0</v>
      </c>
      <c r="AH131" s="193">
        <f t="shared" si="70"/>
        <v>0</v>
      </c>
      <c r="AI131" s="198">
        <f t="shared" si="71"/>
        <v>0</v>
      </c>
      <c r="AK131" s="71">
        <v>126</v>
      </c>
      <c r="AL131" s="33">
        <f t="shared" si="52"/>
        <v>0</v>
      </c>
      <c r="AM131" s="33">
        <f t="shared" si="53"/>
        <v>0</v>
      </c>
      <c r="AN131" s="33">
        <f t="shared" si="54"/>
        <v>0</v>
      </c>
      <c r="AO131" s="33">
        <f t="shared" si="55"/>
        <v>0</v>
      </c>
      <c r="AP131" s="33">
        <f t="shared" si="56"/>
        <v>0</v>
      </c>
      <c r="AQ131" s="193">
        <f t="shared" si="74"/>
        <v>0</v>
      </c>
      <c r="AR131" s="193">
        <f t="shared" si="74"/>
        <v>0</v>
      </c>
      <c r="AS131" s="193">
        <f t="shared" si="74"/>
        <v>0</v>
      </c>
      <c r="AT131" s="193">
        <f t="shared" si="73"/>
        <v>0</v>
      </c>
      <c r="AU131" s="33"/>
      <c r="AV131" s="33"/>
      <c r="AW131" s="33"/>
      <c r="AX131" s="33"/>
      <c r="AY131" s="76"/>
    </row>
    <row r="132" spans="3:51">
      <c r="C132" s="165" t="s">
        <v>4</v>
      </c>
      <c r="D132" s="4">
        <v>0.64</v>
      </c>
      <c r="E132" s="187" t="s">
        <v>228</v>
      </c>
      <c r="F132" s="342">
        <f>IF(OR(Tableau145[[#This Row],[Type]]="Feuillus",Tableau145[[#This Row],[Type]]="Peupliers"),1.56,1.3)</f>
        <v>1.56</v>
      </c>
      <c r="I132" s="55">
        <v>127</v>
      </c>
      <c r="J132" s="33">
        <f t="shared" si="59"/>
        <v>0</v>
      </c>
      <c r="K132" s="33">
        <f t="shared" si="60"/>
        <v>0</v>
      </c>
      <c r="L132" s="33">
        <f t="shared" si="61"/>
        <v>0</v>
      </c>
      <c r="M132" s="33">
        <f t="shared" si="62"/>
        <v>0</v>
      </c>
      <c r="N132" s="33">
        <f t="shared" si="43"/>
        <v>0</v>
      </c>
      <c r="O132" s="34">
        <f t="shared" si="44"/>
        <v>0</v>
      </c>
      <c r="P132" s="55">
        <v>127</v>
      </c>
      <c r="Q132" s="33">
        <f t="shared" si="57"/>
        <v>0</v>
      </c>
      <c r="R132" s="33">
        <f t="shared" si="63"/>
        <v>0</v>
      </c>
      <c r="S132" s="33">
        <f t="shared" si="64"/>
        <v>0</v>
      </c>
      <c r="T132" s="33">
        <f t="shared" si="45"/>
        <v>0</v>
      </c>
      <c r="U132" s="33">
        <f t="shared" si="58"/>
        <v>0</v>
      </c>
      <c r="V132" s="33">
        <f t="shared" si="46"/>
        <v>0</v>
      </c>
      <c r="W132" s="33">
        <v>0</v>
      </c>
      <c r="X132" s="33">
        <f t="shared" si="47"/>
        <v>0</v>
      </c>
      <c r="Y132" s="38">
        <f t="shared" si="48"/>
        <v>0</v>
      </c>
      <c r="AA132" s="71">
        <v>127</v>
      </c>
      <c r="AB132" s="33">
        <f t="shared" si="49"/>
        <v>0</v>
      </c>
      <c r="AC132" s="304">
        <f t="shared" si="72"/>
        <v>0</v>
      </c>
      <c r="AD132" s="100">
        <f t="shared" si="50"/>
        <v>0</v>
      </c>
      <c r="AE132" s="100">
        <f t="shared" si="51"/>
        <v>0</v>
      </c>
      <c r="AF132" s="193">
        <f t="shared" si="68"/>
        <v>0</v>
      </c>
      <c r="AG132" s="193">
        <f t="shared" si="69"/>
        <v>0</v>
      </c>
      <c r="AH132" s="193">
        <f t="shared" si="70"/>
        <v>0</v>
      </c>
      <c r="AI132" s="198">
        <f t="shared" si="71"/>
        <v>0</v>
      </c>
      <c r="AK132" s="71">
        <v>127</v>
      </c>
      <c r="AL132" s="33">
        <f t="shared" si="52"/>
        <v>0</v>
      </c>
      <c r="AM132" s="33">
        <f t="shared" si="53"/>
        <v>0</v>
      </c>
      <c r="AN132" s="33">
        <f t="shared" si="54"/>
        <v>0</v>
      </c>
      <c r="AO132" s="33">
        <f t="shared" si="55"/>
        <v>0</v>
      </c>
      <c r="AP132" s="33">
        <f t="shared" si="56"/>
        <v>0</v>
      </c>
      <c r="AQ132" s="193">
        <f t="shared" si="74"/>
        <v>0</v>
      </c>
      <c r="AR132" s="193">
        <f t="shared" si="74"/>
        <v>0</v>
      </c>
      <c r="AS132" s="193">
        <f t="shared" si="74"/>
        <v>0</v>
      </c>
      <c r="AT132" s="193">
        <f t="shared" si="73"/>
        <v>0</v>
      </c>
      <c r="AU132" s="33"/>
      <c r="AV132" s="33"/>
      <c r="AW132" s="33"/>
      <c r="AX132" s="33"/>
      <c r="AY132" s="76"/>
    </row>
    <row r="133" spans="3:51">
      <c r="C133" s="165" t="s">
        <v>8</v>
      </c>
      <c r="D133" s="4">
        <v>0.42</v>
      </c>
      <c r="E133" s="187" t="s">
        <v>228</v>
      </c>
      <c r="F133" s="342">
        <f>IF(OR(Tableau145[[#This Row],[Type]]="Feuillus",Tableau145[[#This Row],[Type]]="Peupliers"),1.56,1.3)</f>
        <v>1.56</v>
      </c>
      <c r="I133" s="55">
        <v>128</v>
      </c>
      <c r="J133" s="33">
        <f t="shared" si="59"/>
        <v>0</v>
      </c>
      <c r="K133" s="33">
        <f t="shared" si="60"/>
        <v>0</v>
      </c>
      <c r="L133" s="33">
        <f t="shared" si="61"/>
        <v>0</v>
      </c>
      <c r="M133" s="33">
        <f t="shared" si="62"/>
        <v>0</v>
      </c>
      <c r="N133" s="33">
        <f t="shared" ref="N133:N196" si="75">IF(P134&lt;=$F$18,0,)</f>
        <v>0</v>
      </c>
      <c r="O133" s="34">
        <f t="shared" ref="O133:O196" si="76">((J133+K133)*0.475+L133+M133+N133)*44/12</f>
        <v>0</v>
      </c>
      <c r="P133" s="55">
        <v>128</v>
      </c>
      <c r="Q133" s="33">
        <f t="shared" si="57"/>
        <v>0</v>
      </c>
      <c r="R133" s="33">
        <f t="shared" si="63"/>
        <v>0</v>
      </c>
      <c r="S133" s="33">
        <f t="shared" si="64"/>
        <v>0</v>
      </c>
      <c r="T133" s="33">
        <f t="shared" ref="T133:T196" si="77">IF(S133=0,0,EXP(-1.0587+0.8836*LN(S133)+0.284))</f>
        <v>0</v>
      </c>
      <c r="U133" s="33">
        <f t="shared" si="58"/>
        <v>0</v>
      </c>
      <c r="V133" s="33">
        <f t="shared" ref="V133:V196" si="78">IF(P133&lt;=$F$18,IF(P133&lt;=30,P133*($F$16-$F$6)/30,$F$16-$F$6),)</f>
        <v>0</v>
      </c>
      <c r="W133" s="33">
        <v>0</v>
      </c>
      <c r="X133" s="33">
        <f t="shared" ref="X133:X196" si="79">((S133+T133)*0.475+U133+V133+W133)*44/12</f>
        <v>0</v>
      </c>
      <c r="Y133" s="38">
        <f t="shared" ref="Y133:Y196" si="80">IF(P133&lt;=$F$18,X133-O133,)</f>
        <v>0</v>
      </c>
      <c r="AA133" s="71">
        <v>128</v>
      </c>
      <c r="AB133" s="33">
        <f t="shared" ref="AB133:AB196" si="81">IF(AA133&lt;=$F$18,IFERROR(VLOOKUP($AA133,$B$82:$G$94,2,FALSE),0),)</f>
        <v>0</v>
      </c>
      <c r="AC133" s="304">
        <f t="shared" si="72"/>
        <v>0</v>
      </c>
      <c r="AD133" s="100">
        <f t="shared" ref="AD133:AD196" si="82">IF(AA133&lt;=$F$18,IFERROR(VLOOKUP($AA133,$B$82:$G$94,4,FALSE),0),)</f>
        <v>0</v>
      </c>
      <c r="AE133" s="100">
        <f t="shared" ref="AE133:AE196" si="83">IF(AA133&lt;=$F$18,IFERROR(VLOOKUP($AA133,$B$82:$G$94,5,FALSE),0),)</f>
        <v>0</v>
      </c>
      <c r="AF133" s="193">
        <f t="shared" si="68"/>
        <v>0</v>
      </c>
      <c r="AG133" s="193">
        <f t="shared" si="69"/>
        <v>0</v>
      </c>
      <c r="AH133" s="193">
        <f t="shared" si="70"/>
        <v>0</v>
      </c>
      <c r="AI133" s="198">
        <f t="shared" si="71"/>
        <v>0</v>
      </c>
      <c r="AK133" s="71">
        <v>128</v>
      </c>
      <c r="AL133" s="33">
        <f t="shared" ref="AL133:AL196" si="84">IF(AK133&lt;=$F$18,IFERROR(VLOOKUP($AA133,$B$82:$G$94,2,FALSE),0),)</f>
        <v>0</v>
      </c>
      <c r="AM133" s="33">
        <f t="shared" ref="AM133:AM196" si="85">IF(AK133&lt;=$F$18,IFERROR(VLOOKUP($AA133,$B$82:$G$94,3,FALSE),0),)</f>
        <v>0</v>
      </c>
      <c r="AN133" s="33">
        <f t="shared" ref="AN133:AN196" si="86">IF(AK133&lt;=$F$18,IFERROR(VLOOKUP($AA133,$B$82:$G$94,4,FALSE),0),)</f>
        <v>0</v>
      </c>
      <c r="AO133" s="33">
        <f t="shared" ref="AO133:AO196" si="87">IF(AK133&lt;=$F$18,IFERROR(VLOOKUP($AA133,$B$82:$G$94,5,FALSE),0),)</f>
        <v>0</v>
      </c>
      <c r="AP133" s="33">
        <f t="shared" ref="AP133:AP196" si="88">IF(AK133&lt;=$F$18,IFERROR(VLOOKUP($AA133,$B$82:$G$94,6,FALSE),0),)</f>
        <v>0</v>
      </c>
      <c r="AQ133" s="193">
        <f t="shared" si="74"/>
        <v>0</v>
      </c>
      <c r="AR133" s="193">
        <f t="shared" si="74"/>
        <v>0</v>
      </c>
      <c r="AS133" s="193">
        <f t="shared" si="74"/>
        <v>0</v>
      </c>
      <c r="AT133" s="193">
        <f t="shared" si="73"/>
        <v>0</v>
      </c>
      <c r="AU133" s="33"/>
      <c r="AV133" s="33"/>
      <c r="AW133" s="33"/>
      <c r="AX133" s="33"/>
      <c r="AY133" s="76"/>
    </row>
    <row r="134" spans="3:51">
      <c r="C134" s="165" t="s">
        <v>9</v>
      </c>
      <c r="D134" s="4">
        <v>0.42</v>
      </c>
      <c r="E134" s="187" t="s">
        <v>228</v>
      </c>
      <c r="F134" s="342">
        <f>IF(OR(Tableau145[[#This Row],[Type]]="Feuillus",Tableau145[[#This Row],[Type]]="Peupliers"),1.56,1.3)</f>
        <v>1.56</v>
      </c>
      <c r="I134" s="55">
        <v>129</v>
      </c>
      <c r="J134" s="33">
        <f t="shared" si="59"/>
        <v>0</v>
      </c>
      <c r="K134" s="33">
        <f t="shared" si="60"/>
        <v>0</v>
      </c>
      <c r="L134" s="33">
        <f t="shared" si="61"/>
        <v>0</v>
      </c>
      <c r="M134" s="33">
        <f t="shared" si="62"/>
        <v>0</v>
      </c>
      <c r="N134" s="33">
        <f t="shared" si="75"/>
        <v>0</v>
      </c>
      <c r="O134" s="34">
        <f t="shared" si="76"/>
        <v>0</v>
      </c>
      <c r="P134" s="55">
        <v>129</v>
      </c>
      <c r="Q134" s="33">
        <f t="shared" ref="Q134:Q197" si="89">IF(P134&lt;=$F$18,LOOKUP(P134-1,$B$25:$B$78,$G$25:$G$78),)</f>
        <v>0</v>
      </c>
      <c r="R134" s="33">
        <f t="shared" si="63"/>
        <v>0</v>
      </c>
      <c r="S134" s="33">
        <f t="shared" si="64"/>
        <v>0</v>
      </c>
      <c r="T134" s="33">
        <f t="shared" si="77"/>
        <v>0</v>
      </c>
      <c r="U134" s="33">
        <f t="shared" ref="U134:U197" si="90">IF(P134&lt;=$F$18,$F$5+($F$15-$F$5)*(1-EXP(-0.0175*P134)),)</f>
        <v>0</v>
      </c>
      <c r="V134" s="33">
        <f t="shared" si="78"/>
        <v>0</v>
      </c>
      <c r="W134" s="33">
        <v>0</v>
      </c>
      <c r="X134" s="33">
        <f t="shared" si="79"/>
        <v>0</v>
      </c>
      <c r="Y134" s="38">
        <f t="shared" si="80"/>
        <v>0</v>
      </c>
      <c r="AA134" s="71">
        <v>129</v>
      </c>
      <c r="AB134" s="33">
        <f t="shared" si="81"/>
        <v>0</v>
      </c>
      <c r="AC134" s="304">
        <f t="shared" si="72"/>
        <v>0</v>
      </c>
      <c r="AD134" s="100">
        <f t="shared" si="82"/>
        <v>0</v>
      </c>
      <c r="AE134" s="100">
        <f t="shared" si="83"/>
        <v>0</v>
      </c>
      <c r="AF134" s="193">
        <f t="shared" si="68"/>
        <v>0</v>
      </c>
      <c r="AG134" s="193">
        <f t="shared" si="69"/>
        <v>0</v>
      </c>
      <c r="AH134" s="193">
        <f t="shared" si="70"/>
        <v>0</v>
      </c>
      <c r="AI134" s="198">
        <f t="shared" si="71"/>
        <v>0</v>
      </c>
      <c r="AK134" s="71">
        <v>129</v>
      </c>
      <c r="AL134" s="33">
        <f t="shared" si="84"/>
        <v>0</v>
      </c>
      <c r="AM134" s="33">
        <f t="shared" si="85"/>
        <v>0</v>
      </c>
      <c r="AN134" s="33">
        <f t="shared" si="86"/>
        <v>0</v>
      </c>
      <c r="AO134" s="33">
        <f t="shared" si="87"/>
        <v>0</v>
      </c>
      <c r="AP134" s="33">
        <f t="shared" si="88"/>
        <v>0</v>
      </c>
      <c r="AQ134" s="193">
        <f t="shared" si="74"/>
        <v>0</v>
      </c>
      <c r="AR134" s="193">
        <f t="shared" si="74"/>
        <v>0</v>
      </c>
      <c r="AS134" s="193">
        <f t="shared" si="74"/>
        <v>0</v>
      </c>
      <c r="AT134" s="193">
        <f t="shared" si="73"/>
        <v>0</v>
      </c>
      <c r="AU134" s="33"/>
      <c r="AV134" s="33"/>
      <c r="AW134" s="33"/>
      <c r="AX134" s="33"/>
      <c r="AY134" s="76"/>
    </row>
    <row r="135" spans="3:51">
      <c r="C135" s="165" t="s">
        <v>10</v>
      </c>
      <c r="D135" s="4">
        <v>0.52</v>
      </c>
      <c r="E135" s="187" t="s">
        <v>228</v>
      </c>
      <c r="F135" s="342">
        <f>IF(OR(Tableau145[[#This Row],[Type]]="Feuillus",Tableau145[[#This Row],[Type]]="Peupliers"),1.56,1.3)</f>
        <v>1.56</v>
      </c>
      <c r="I135" s="55">
        <v>130</v>
      </c>
      <c r="J135" s="33">
        <f t="shared" ref="J135:J198" si="91">IF($I135&lt;=$F$10,$F$11*$F$13+J134,)</f>
        <v>0</v>
      </c>
      <c r="K135" s="33">
        <f t="shared" ref="K135:K198" si="92">IF(J135=0,0,EXP(-1.0587+0.8836*LN(J135)+0.284))</f>
        <v>0</v>
      </c>
      <c r="L135" s="33">
        <f t="shared" ref="L135:L198" si="93">IF(I135&lt;=$F$10,$F$5+($F$8-$F$5)*(1-EXP(-0.0175*I135)),)</f>
        <v>0</v>
      </c>
      <c r="M135" s="33">
        <f t="shared" ref="M135:M198" si="94">IF(I135&lt;=$F$10,IF(I135&lt;=30,I135*($F$9-$F$6)/30,$F$9-$F$6),)</f>
        <v>0</v>
      </c>
      <c r="N135" s="33">
        <f t="shared" si="75"/>
        <v>0</v>
      </c>
      <c r="O135" s="34">
        <f t="shared" si="76"/>
        <v>0</v>
      </c>
      <c r="P135" s="55">
        <v>130</v>
      </c>
      <c r="Q135" s="33">
        <f t="shared" si="89"/>
        <v>0</v>
      </c>
      <c r="R135" s="33">
        <f t="shared" ref="R135:R198" si="95">IF(P135&lt;=$F$18,Q135+R134,)</f>
        <v>0</v>
      </c>
      <c r="S135" s="33">
        <f t="shared" ref="S135:S198" si="96">$F$19*R135</f>
        <v>0</v>
      </c>
      <c r="T135" s="33">
        <f t="shared" si="77"/>
        <v>0</v>
      </c>
      <c r="U135" s="33">
        <f t="shared" si="90"/>
        <v>0</v>
      </c>
      <c r="V135" s="33">
        <f t="shared" si="78"/>
        <v>0</v>
      </c>
      <c r="W135" s="33">
        <v>0</v>
      </c>
      <c r="X135" s="33">
        <f t="shared" si="79"/>
        <v>0</v>
      </c>
      <c r="Y135" s="38">
        <f t="shared" si="80"/>
        <v>0</v>
      </c>
      <c r="AA135" s="71">
        <v>130</v>
      </c>
      <c r="AB135" s="33">
        <f t="shared" si="81"/>
        <v>0</v>
      </c>
      <c r="AC135" s="304">
        <f t="shared" si="72"/>
        <v>0</v>
      </c>
      <c r="AD135" s="100">
        <f t="shared" si="82"/>
        <v>0</v>
      </c>
      <c r="AE135" s="100">
        <f t="shared" si="83"/>
        <v>0</v>
      </c>
      <c r="AF135" s="193">
        <f t="shared" si="68"/>
        <v>0</v>
      </c>
      <c r="AG135" s="193">
        <f t="shared" si="69"/>
        <v>0</v>
      </c>
      <c r="AH135" s="193">
        <f t="shared" si="70"/>
        <v>0</v>
      </c>
      <c r="AI135" s="198">
        <f t="shared" si="71"/>
        <v>0</v>
      </c>
      <c r="AK135" s="71">
        <v>130</v>
      </c>
      <c r="AL135" s="33">
        <f t="shared" si="84"/>
        <v>0</v>
      </c>
      <c r="AM135" s="33">
        <f t="shared" si="85"/>
        <v>0</v>
      </c>
      <c r="AN135" s="33">
        <f t="shared" si="86"/>
        <v>0</v>
      </c>
      <c r="AO135" s="33">
        <f t="shared" si="87"/>
        <v>0</v>
      </c>
      <c r="AP135" s="33">
        <f t="shared" si="88"/>
        <v>0</v>
      </c>
      <c r="AQ135" s="193">
        <f t="shared" si="74"/>
        <v>0</v>
      </c>
      <c r="AR135" s="193">
        <f t="shared" si="74"/>
        <v>0</v>
      </c>
      <c r="AS135" s="193">
        <f t="shared" si="74"/>
        <v>0</v>
      </c>
      <c r="AT135" s="193">
        <f t="shared" si="73"/>
        <v>0</v>
      </c>
      <c r="AU135" s="33"/>
      <c r="AV135" s="33"/>
      <c r="AW135" s="33"/>
      <c r="AX135" s="33"/>
      <c r="AY135" s="76"/>
    </row>
    <row r="136" spans="3:51">
      <c r="C136" s="165" t="s">
        <v>11</v>
      </c>
      <c r="D136" s="4">
        <v>0.36</v>
      </c>
      <c r="E136" s="187" t="s">
        <v>229</v>
      </c>
      <c r="F136" s="342">
        <f>IF(OR(Tableau145[[#This Row],[Type]]="Feuillus",Tableau145[[#This Row],[Type]]="Peupliers"),1.56,1.3)</f>
        <v>1.3</v>
      </c>
      <c r="I136" s="55">
        <v>131</v>
      </c>
      <c r="J136" s="33">
        <f t="shared" si="91"/>
        <v>0</v>
      </c>
      <c r="K136" s="33">
        <f t="shared" si="92"/>
        <v>0</v>
      </c>
      <c r="L136" s="33">
        <f t="shared" si="93"/>
        <v>0</v>
      </c>
      <c r="M136" s="33">
        <f t="shared" si="94"/>
        <v>0</v>
      </c>
      <c r="N136" s="33">
        <f t="shared" si="75"/>
        <v>0</v>
      </c>
      <c r="O136" s="34">
        <f t="shared" si="76"/>
        <v>0</v>
      </c>
      <c r="P136" s="55">
        <v>131</v>
      </c>
      <c r="Q136" s="33">
        <f t="shared" si="89"/>
        <v>0</v>
      </c>
      <c r="R136" s="33">
        <f t="shared" si="95"/>
        <v>0</v>
      </c>
      <c r="S136" s="33">
        <f t="shared" si="96"/>
        <v>0</v>
      </c>
      <c r="T136" s="33">
        <f t="shared" si="77"/>
        <v>0</v>
      </c>
      <c r="U136" s="33">
        <f t="shared" si="90"/>
        <v>0</v>
      </c>
      <c r="V136" s="33">
        <f t="shared" si="78"/>
        <v>0</v>
      </c>
      <c r="W136" s="33">
        <v>0</v>
      </c>
      <c r="X136" s="33">
        <f t="shared" si="79"/>
        <v>0</v>
      </c>
      <c r="Y136" s="38">
        <f t="shared" si="80"/>
        <v>0</v>
      </c>
      <c r="AA136" s="71">
        <v>131</v>
      </c>
      <c r="AB136" s="33">
        <f t="shared" si="81"/>
        <v>0</v>
      </c>
      <c r="AC136" s="304">
        <f t="shared" si="72"/>
        <v>0</v>
      </c>
      <c r="AD136" s="100">
        <f t="shared" si="82"/>
        <v>0</v>
      </c>
      <c r="AE136" s="100">
        <f t="shared" si="83"/>
        <v>0</v>
      </c>
      <c r="AF136" s="193">
        <f t="shared" si="68"/>
        <v>0</v>
      </c>
      <c r="AG136" s="193">
        <f t="shared" si="69"/>
        <v>0</v>
      </c>
      <c r="AH136" s="193">
        <f t="shared" si="70"/>
        <v>0</v>
      </c>
      <c r="AI136" s="198">
        <f t="shared" si="71"/>
        <v>0</v>
      </c>
      <c r="AK136" s="71">
        <v>131</v>
      </c>
      <c r="AL136" s="33">
        <f t="shared" si="84"/>
        <v>0</v>
      </c>
      <c r="AM136" s="33">
        <f t="shared" si="85"/>
        <v>0</v>
      </c>
      <c r="AN136" s="33">
        <f t="shared" si="86"/>
        <v>0</v>
      </c>
      <c r="AO136" s="33">
        <f t="shared" si="87"/>
        <v>0</v>
      </c>
      <c r="AP136" s="33">
        <f t="shared" si="88"/>
        <v>0</v>
      </c>
      <c r="AQ136" s="193">
        <f t="shared" si="74"/>
        <v>0</v>
      </c>
      <c r="AR136" s="193">
        <f t="shared" si="74"/>
        <v>0</v>
      </c>
      <c r="AS136" s="193">
        <f t="shared" si="74"/>
        <v>0</v>
      </c>
      <c r="AT136" s="193">
        <f t="shared" si="73"/>
        <v>0</v>
      </c>
      <c r="AU136" s="33"/>
      <c r="AV136" s="33"/>
      <c r="AW136" s="33"/>
      <c r="AX136" s="33"/>
      <c r="AY136" s="76"/>
    </row>
    <row r="137" spans="3:51">
      <c r="C137" s="165" t="s">
        <v>12</v>
      </c>
      <c r="D137" s="4">
        <v>0.61</v>
      </c>
      <c r="E137" s="187" t="s">
        <v>228</v>
      </c>
      <c r="F137" s="342">
        <f>IF(OR(Tableau145[[#This Row],[Type]]="Feuillus",Tableau145[[#This Row],[Type]]="Peupliers"),1.56,1.3)</f>
        <v>1.56</v>
      </c>
      <c r="I137" s="55">
        <v>132</v>
      </c>
      <c r="J137" s="33">
        <f t="shared" si="91"/>
        <v>0</v>
      </c>
      <c r="K137" s="33">
        <f t="shared" si="92"/>
        <v>0</v>
      </c>
      <c r="L137" s="33">
        <f t="shared" si="93"/>
        <v>0</v>
      </c>
      <c r="M137" s="33">
        <f t="shared" si="94"/>
        <v>0</v>
      </c>
      <c r="N137" s="33">
        <f t="shared" si="75"/>
        <v>0</v>
      </c>
      <c r="O137" s="34">
        <f t="shared" si="76"/>
        <v>0</v>
      </c>
      <c r="P137" s="55">
        <v>132</v>
      </c>
      <c r="Q137" s="33">
        <f t="shared" si="89"/>
        <v>0</v>
      </c>
      <c r="R137" s="33">
        <f t="shared" si="95"/>
        <v>0</v>
      </c>
      <c r="S137" s="33">
        <f t="shared" si="96"/>
        <v>0</v>
      </c>
      <c r="T137" s="33">
        <f t="shared" si="77"/>
        <v>0</v>
      </c>
      <c r="U137" s="33">
        <f t="shared" si="90"/>
        <v>0</v>
      </c>
      <c r="V137" s="33">
        <f t="shared" si="78"/>
        <v>0</v>
      </c>
      <c r="W137" s="33">
        <v>0</v>
      </c>
      <c r="X137" s="33">
        <f t="shared" si="79"/>
        <v>0</v>
      </c>
      <c r="Y137" s="38">
        <f t="shared" si="80"/>
        <v>0</v>
      </c>
      <c r="AA137" s="71">
        <v>132</v>
      </c>
      <c r="AB137" s="33">
        <f t="shared" si="81"/>
        <v>0</v>
      </c>
      <c r="AC137" s="304">
        <f t="shared" si="72"/>
        <v>0</v>
      </c>
      <c r="AD137" s="100">
        <f t="shared" si="82"/>
        <v>0</v>
      </c>
      <c r="AE137" s="100">
        <f t="shared" si="83"/>
        <v>0</v>
      </c>
      <c r="AF137" s="193">
        <f t="shared" si="68"/>
        <v>0</v>
      </c>
      <c r="AG137" s="193">
        <f t="shared" si="69"/>
        <v>0</v>
      </c>
      <c r="AH137" s="193">
        <f t="shared" si="70"/>
        <v>0</v>
      </c>
      <c r="AI137" s="198">
        <f t="shared" si="71"/>
        <v>0</v>
      </c>
      <c r="AK137" s="71">
        <v>132</v>
      </c>
      <c r="AL137" s="33">
        <f t="shared" si="84"/>
        <v>0</v>
      </c>
      <c r="AM137" s="33">
        <f t="shared" si="85"/>
        <v>0</v>
      </c>
      <c r="AN137" s="33">
        <f t="shared" si="86"/>
        <v>0</v>
      </c>
      <c r="AO137" s="33">
        <f t="shared" si="87"/>
        <v>0</v>
      </c>
      <c r="AP137" s="33">
        <f t="shared" si="88"/>
        <v>0</v>
      </c>
      <c r="AQ137" s="193">
        <f t="shared" si="74"/>
        <v>0</v>
      </c>
      <c r="AR137" s="193">
        <f t="shared" si="74"/>
        <v>0</v>
      </c>
      <c r="AS137" s="193">
        <f t="shared" si="74"/>
        <v>0</v>
      </c>
      <c r="AT137" s="193">
        <f t="shared" si="73"/>
        <v>0</v>
      </c>
      <c r="AU137" s="33"/>
      <c r="AV137" s="33"/>
      <c r="AW137" s="33"/>
      <c r="AX137" s="33"/>
      <c r="AY137" s="76"/>
    </row>
    <row r="138" spans="3:51">
      <c r="C138" s="165" t="s">
        <v>13</v>
      </c>
      <c r="D138" s="4">
        <v>0.66</v>
      </c>
      <c r="E138" s="187" t="s">
        <v>228</v>
      </c>
      <c r="F138" s="342">
        <f>IF(OR(Tableau145[[#This Row],[Type]]="Feuillus",Tableau145[[#This Row],[Type]]="Peupliers"),1.56,1.3)</f>
        <v>1.56</v>
      </c>
      <c r="I138" s="55">
        <v>133</v>
      </c>
      <c r="J138" s="33">
        <f t="shared" si="91"/>
        <v>0</v>
      </c>
      <c r="K138" s="33">
        <f t="shared" si="92"/>
        <v>0</v>
      </c>
      <c r="L138" s="33">
        <f t="shared" si="93"/>
        <v>0</v>
      </c>
      <c r="M138" s="33">
        <f t="shared" si="94"/>
        <v>0</v>
      </c>
      <c r="N138" s="33">
        <f t="shared" si="75"/>
        <v>0</v>
      </c>
      <c r="O138" s="34">
        <f t="shared" si="76"/>
        <v>0</v>
      </c>
      <c r="P138" s="55">
        <v>133</v>
      </c>
      <c r="Q138" s="33">
        <f t="shared" si="89"/>
        <v>0</v>
      </c>
      <c r="R138" s="33">
        <f t="shared" si="95"/>
        <v>0</v>
      </c>
      <c r="S138" s="33">
        <f t="shared" si="96"/>
        <v>0</v>
      </c>
      <c r="T138" s="33">
        <f t="shared" si="77"/>
        <v>0</v>
      </c>
      <c r="U138" s="33">
        <f t="shared" si="90"/>
        <v>0</v>
      </c>
      <c r="V138" s="33">
        <f t="shared" si="78"/>
        <v>0</v>
      </c>
      <c r="W138" s="33">
        <v>0</v>
      </c>
      <c r="X138" s="33">
        <f t="shared" si="79"/>
        <v>0</v>
      </c>
      <c r="Y138" s="38">
        <f t="shared" si="80"/>
        <v>0</v>
      </c>
      <c r="AA138" s="71">
        <v>133</v>
      </c>
      <c r="AB138" s="33">
        <f t="shared" si="81"/>
        <v>0</v>
      </c>
      <c r="AC138" s="304">
        <f t="shared" si="72"/>
        <v>0</v>
      </c>
      <c r="AD138" s="100">
        <f t="shared" si="82"/>
        <v>0</v>
      </c>
      <c r="AE138" s="100">
        <f t="shared" si="83"/>
        <v>0</v>
      </c>
      <c r="AF138" s="193">
        <f t="shared" si="68"/>
        <v>0</v>
      </c>
      <c r="AG138" s="193">
        <f t="shared" si="69"/>
        <v>0</v>
      </c>
      <c r="AH138" s="193">
        <f t="shared" si="70"/>
        <v>0</v>
      </c>
      <c r="AI138" s="198">
        <f t="shared" si="71"/>
        <v>0</v>
      </c>
      <c r="AK138" s="71">
        <v>133</v>
      </c>
      <c r="AL138" s="33">
        <f t="shared" si="84"/>
        <v>0</v>
      </c>
      <c r="AM138" s="33">
        <f t="shared" si="85"/>
        <v>0</v>
      </c>
      <c r="AN138" s="33">
        <f t="shared" si="86"/>
        <v>0</v>
      </c>
      <c r="AO138" s="33">
        <f t="shared" si="87"/>
        <v>0</v>
      </c>
      <c r="AP138" s="33">
        <f t="shared" si="88"/>
        <v>0</v>
      </c>
      <c r="AQ138" s="193">
        <f t="shared" si="74"/>
        <v>0</v>
      </c>
      <c r="AR138" s="193">
        <f t="shared" si="74"/>
        <v>0</v>
      </c>
      <c r="AS138" s="193">
        <f t="shared" si="74"/>
        <v>0</v>
      </c>
      <c r="AT138" s="193">
        <f t="shared" si="73"/>
        <v>0</v>
      </c>
      <c r="AU138" s="33"/>
      <c r="AV138" s="33"/>
      <c r="AW138" s="33"/>
      <c r="AX138" s="33"/>
      <c r="AY138" s="76"/>
    </row>
    <row r="139" spans="3:51">
      <c r="C139" s="166" t="s">
        <v>14</v>
      </c>
      <c r="D139" s="133">
        <v>0.47</v>
      </c>
      <c r="E139" s="187" t="s">
        <v>228</v>
      </c>
      <c r="F139" s="342">
        <f>IF(OR(Tableau145[[#This Row],[Type]]="Feuillus",Tableau145[[#This Row],[Type]]="Peupliers"),1.56,1.3)</f>
        <v>1.56</v>
      </c>
      <c r="I139" s="55">
        <v>134</v>
      </c>
      <c r="J139" s="33">
        <f t="shared" si="91"/>
        <v>0</v>
      </c>
      <c r="K139" s="33">
        <f t="shared" si="92"/>
        <v>0</v>
      </c>
      <c r="L139" s="33">
        <f t="shared" si="93"/>
        <v>0</v>
      </c>
      <c r="M139" s="33">
        <f t="shared" si="94"/>
        <v>0</v>
      </c>
      <c r="N139" s="33">
        <f t="shared" si="75"/>
        <v>0</v>
      </c>
      <c r="O139" s="34">
        <f t="shared" si="76"/>
        <v>0</v>
      </c>
      <c r="P139" s="55">
        <v>134</v>
      </c>
      <c r="Q139" s="33">
        <f t="shared" si="89"/>
        <v>0</v>
      </c>
      <c r="R139" s="33">
        <f t="shared" si="95"/>
        <v>0</v>
      </c>
      <c r="S139" s="33">
        <f t="shared" si="96"/>
        <v>0</v>
      </c>
      <c r="T139" s="33">
        <f t="shared" si="77"/>
        <v>0</v>
      </c>
      <c r="U139" s="33">
        <f t="shared" si="90"/>
        <v>0</v>
      </c>
      <c r="V139" s="33">
        <f t="shared" si="78"/>
        <v>0</v>
      </c>
      <c r="W139" s="33">
        <v>0</v>
      </c>
      <c r="X139" s="33">
        <f t="shared" si="79"/>
        <v>0</v>
      </c>
      <c r="Y139" s="38">
        <f t="shared" si="80"/>
        <v>0</v>
      </c>
      <c r="AA139" s="71">
        <v>134</v>
      </c>
      <c r="AB139" s="33">
        <f t="shared" si="81"/>
        <v>0</v>
      </c>
      <c r="AC139" s="304">
        <f t="shared" si="72"/>
        <v>0</v>
      </c>
      <c r="AD139" s="100">
        <f t="shared" si="82"/>
        <v>0</v>
      </c>
      <c r="AE139" s="100">
        <f t="shared" si="83"/>
        <v>0</v>
      </c>
      <c r="AF139" s="193">
        <f t="shared" si="68"/>
        <v>0</v>
      </c>
      <c r="AG139" s="193">
        <f t="shared" si="69"/>
        <v>0</v>
      </c>
      <c r="AH139" s="193">
        <f t="shared" si="70"/>
        <v>0</v>
      </c>
      <c r="AI139" s="198">
        <f t="shared" si="71"/>
        <v>0</v>
      </c>
      <c r="AK139" s="71">
        <v>134</v>
      </c>
      <c r="AL139" s="33">
        <f t="shared" si="84"/>
        <v>0</v>
      </c>
      <c r="AM139" s="33">
        <f t="shared" si="85"/>
        <v>0</v>
      </c>
      <c r="AN139" s="33">
        <f t="shared" si="86"/>
        <v>0</v>
      </c>
      <c r="AO139" s="33">
        <f t="shared" si="87"/>
        <v>0</v>
      </c>
      <c r="AP139" s="33">
        <f t="shared" si="88"/>
        <v>0</v>
      </c>
      <c r="AQ139" s="193">
        <f t="shared" si="74"/>
        <v>0</v>
      </c>
      <c r="AR139" s="193">
        <f t="shared" si="74"/>
        <v>0</v>
      </c>
      <c r="AS139" s="193">
        <f t="shared" si="74"/>
        <v>0</v>
      </c>
      <c r="AT139" s="193">
        <f t="shared" si="73"/>
        <v>0</v>
      </c>
      <c r="AU139" s="33"/>
      <c r="AV139" s="33"/>
      <c r="AW139" s="33"/>
      <c r="AX139" s="33"/>
      <c r="AY139" s="76"/>
    </row>
    <row r="140" spans="3:51">
      <c r="C140" s="165" t="s">
        <v>15</v>
      </c>
      <c r="D140" s="4">
        <v>0.67</v>
      </c>
      <c r="E140" s="187" t="s">
        <v>228</v>
      </c>
      <c r="F140" s="342">
        <f>IF(OR(Tableau145[[#This Row],[Type]]="Feuillus",Tableau145[[#This Row],[Type]]="Peupliers"),1.56,1.3)</f>
        <v>1.56</v>
      </c>
      <c r="I140" s="55">
        <v>135</v>
      </c>
      <c r="J140" s="33">
        <f t="shared" si="91"/>
        <v>0</v>
      </c>
      <c r="K140" s="33">
        <f t="shared" si="92"/>
        <v>0</v>
      </c>
      <c r="L140" s="33">
        <f t="shared" si="93"/>
        <v>0</v>
      </c>
      <c r="M140" s="33">
        <f t="shared" si="94"/>
        <v>0</v>
      </c>
      <c r="N140" s="33">
        <f t="shared" si="75"/>
        <v>0</v>
      </c>
      <c r="O140" s="34">
        <f t="shared" si="76"/>
        <v>0</v>
      </c>
      <c r="P140" s="55">
        <v>135</v>
      </c>
      <c r="Q140" s="33">
        <f t="shared" si="89"/>
        <v>0</v>
      </c>
      <c r="R140" s="33">
        <f t="shared" si="95"/>
        <v>0</v>
      </c>
      <c r="S140" s="33">
        <f t="shared" si="96"/>
        <v>0</v>
      </c>
      <c r="T140" s="33">
        <f t="shared" si="77"/>
        <v>0</v>
      </c>
      <c r="U140" s="33">
        <f t="shared" si="90"/>
        <v>0</v>
      </c>
      <c r="V140" s="33">
        <f t="shared" si="78"/>
        <v>0</v>
      </c>
      <c r="W140" s="33">
        <v>0</v>
      </c>
      <c r="X140" s="33">
        <f t="shared" si="79"/>
        <v>0</v>
      </c>
      <c r="Y140" s="38">
        <f t="shared" si="80"/>
        <v>0</v>
      </c>
      <c r="AA140" s="71">
        <v>135</v>
      </c>
      <c r="AB140" s="33">
        <f t="shared" si="81"/>
        <v>0</v>
      </c>
      <c r="AC140" s="304">
        <f t="shared" si="72"/>
        <v>0</v>
      </c>
      <c r="AD140" s="100">
        <f t="shared" si="82"/>
        <v>0</v>
      </c>
      <c r="AE140" s="100">
        <f t="shared" si="83"/>
        <v>0</v>
      </c>
      <c r="AF140" s="193">
        <f t="shared" si="68"/>
        <v>0</v>
      </c>
      <c r="AG140" s="193">
        <f t="shared" si="69"/>
        <v>0</v>
      </c>
      <c r="AH140" s="193">
        <f t="shared" si="70"/>
        <v>0</v>
      </c>
      <c r="AI140" s="198">
        <f t="shared" si="71"/>
        <v>0</v>
      </c>
      <c r="AK140" s="71">
        <v>135</v>
      </c>
      <c r="AL140" s="33">
        <f t="shared" si="84"/>
        <v>0</v>
      </c>
      <c r="AM140" s="33">
        <f t="shared" si="85"/>
        <v>0</v>
      </c>
      <c r="AN140" s="33">
        <f t="shared" si="86"/>
        <v>0</v>
      </c>
      <c r="AO140" s="33">
        <f t="shared" si="87"/>
        <v>0</v>
      </c>
      <c r="AP140" s="33">
        <f t="shared" si="88"/>
        <v>0</v>
      </c>
      <c r="AQ140" s="193">
        <f t="shared" si="74"/>
        <v>0</v>
      </c>
      <c r="AR140" s="193">
        <f t="shared" si="74"/>
        <v>0</v>
      </c>
      <c r="AS140" s="193">
        <f t="shared" si="74"/>
        <v>0</v>
      </c>
      <c r="AT140" s="193">
        <f t="shared" si="73"/>
        <v>0</v>
      </c>
      <c r="AU140" s="33"/>
      <c r="AV140" s="33"/>
      <c r="AW140" s="33"/>
      <c r="AX140" s="33"/>
      <c r="AY140" s="76"/>
    </row>
    <row r="141" spans="3:51">
      <c r="C141" s="165" t="s">
        <v>16</v>
      </c>
      <c r="D141" s="4">
        <v>0.7</v>
      </c>
      <c r="E141" s="187" t="s">
        <v>228</v>
      </c>
      <c r="F141" s="342">
        <f>IF(OR(Tableau145[[#This Row],[Type]]="Feuillus",Tableau145[[#This Row],[Type]]="Peupliers"),1.56,1.3)</f>
        <v>1.56</v>
      </c>
      <c r="I141" s="55">
        <v>136</v>
      </c>
      <c r="J141" s="33">
        <f t="shared" si="91"/>
        <v>0</v>
      </c>
      <c r="K141" s="33">
        <f t="shared" si="92"/>
        <v>0</v>
      </c>
      <c r="L141" s="33">
        <f t="shared" si="93"/>
        <v>0</v>
      </c>
      <c r="M141" s="33">
        <f t="shared" si="94"/>
        <v>0</v>
      </c>
      <c r="N141" s="33">
        <f t="shared" si="75"/>
        <v>0</v>
      </c>
      <c r="O141" s="34">
        <f t="shared" si="76"/>
        <v>0</v>
      </c>
      <c r="P141" s="55">
        <v>136</v>
      </c>
      <c r="Q141" s="33">
        <f t="shared" si="89"/>
        <v>0</v>
      </c>
      <c r="R141" s="33">
        <f t="shared" si="95"/>
        <v>0</v>
      </c>
      <c r="S141" s="33">
        <f t="shared" si="96"/>
        <v>0</v>
      </c>
      <c r="T141" s="33">
        <f t="shared" si="77"/>
        <v>0</v>
      </c>
      <c r="U141" s="33">
        <f t="shared" si="90"/>
        <v>0</v>
      </c>
      <c r="V141" s="33">
        <f t="shared" si="78"/>
        <v>0</v>
      </c>
      <c r="W141" s="33">
        <v>0</v>
      </c>
      <c r="X141" s="33">
        <f t="shared" si="79"/>
        <v>0</v>
      </c>
      <c r="Y141" s="38">
        <f t="shared" si="80"/>
        <v>0</v>
      </c>
      <c r="AA141" s="71">
        <v>136</v>
      </c>
      <c r="AB141" s="33">
        <f t="shared" si="81"/>
        <v>0</v>
      </c>
      <c r="AC141" s="304">
        <f t="shared" si="72"/>
        <v>0</v>
      </c>
      <c r="AD141" s="100">
        <f t="shared" si="82"/>
        <v>0</v>
      </c>
      <c r="AE141" s="100">
        <f t="shared" si="83"/>
        <v>0</v>
      </c>
      <c r="AF141" s="193">
        <f t="shared" si="68"/>
        <v>0</v>
      </c>
      <c r="AG141" s="193">
        <f t="shared" si="69"/>
        <v>0</v>
      </c>
      <c r="AH141" s="193">
        <f t="shared" si="70"/>
        <v>0</v>
      </c>
      <c r="AI141" s="198">
        <f t="shared" si="71"/>
        <v>0</v>
      </c>
      <c r="AK141" s="71">
        <v>136</v>
      </c>
      <c r="AL141" s="33">
        <f t="shared" si="84"/>
        <v>0</v>
      </c>
      <c r="AM141" s="33">
        <f t="shared" si="85"/>
        <v>0</v>
      </c>
      <c r="AN141" s="33">
        <f t="shared" si="86"/>
        <v>0</v>
      </c>
      <c r="AO141" s="33">
        <f t="shared" si="87"/>
        <v>0</v>
      </c>
      <c r="AP141" s="33">
        <f t="shared" si="88"/>
        <v>0</v>
      </c>
      <c r="AQ141" s="193">
        <f t="shared" si="74"/>
        <v>0</v>
      </c>
      <c r="AR141" s="193">
        <f t="shared" si="74"/>
        <v>0</v>
      </c>
      <c r="AS141" s="193">
        <f t="shared" si="74"/>
        <v>0</v>
      </c>
      <c r="AT141" s="193">
        <f t="shared" si="73"/>
        <v>0</v>
      </c>
      <c r="AU141" s="33"/>
      <c r="AV141" s="33"/>
      <c r="AW141" s="33"/>
      <c r="AX141" s="33"/>
      <c r="AY141" s="76"/>
    </row>
    <row r="142" spans="3:51">
      <c r="C142" s="165" t="s">
        <v>17</v>
      </c>
      <c r="D142" s="4">
        <v>0.54</v>
      </c>
      <c r="E142" s="187" t="s">
        <v>228</v>
      </c>
      <c r="F142" s="342">
        <f>IF(OR(Tableau145[[#This Row],[Type]]="Feuillus",Tableau145[[#This Row],[Type]]="Peupliers"),1.56,1.3)</f>
        <v>1.56</v>
      </c>
      <c r="I142" s="55">
        <v>137</v>
      </c>
      <c r="J142" s="33">
        <f t="shared" si="91"/>
        <v>0</v>
      </c>
      <c r="K142" s="33">
        <f t="shared" si="92"/>
        <v>0</v>
      </c>
      <c r="L142" s="33">
        <f t="shared" si="93"/>
        <v>0</v>
      </c>
      <c r="M142" s="33">
        <f t="shared" si="94"/>
        <v>0</v>
      </c>
      <c r="N142" s="33">
        <f t="shared" si="75"/>
        <v>0</v>
      </c>
      <c r="O142" s="34">
        <f t="shared" si="76"/>
        <v>0</v>
      </c>
      <c r="P142" s="55">
        <v>137</v>
      </c>
      <c r="Q142" s="33">
        <f t="shared" si="89"/>
        <v>0</v>
      </c>
      <c r="R142" s="33">
        <f t="shared" si="95"/>
        <v>0</v>
      </c>
      <c r="S142" s="33">
        <f t="shared" si="96"/>
        <v>0</v>
      </c>
      <c r="T142" s="33">
        <f t="shared" si="77"/>
        <v>0</v>
      </c>
      <c r="U142" s="33">
        <f t="shared" si="90"/>
        <v>0</v>
      </c>
      <c r="V142" s="33">
        <f t="shared" si="78"/>
        <v>0</v>
      </c>
      <c r="W142" s="33">
        <v>0</v>
      </c>
      <c r="X142" s="33">
        <f t="shared" si="79"/>
        <v>0</v>
      </c>
      <c r="Y142" s="38">
        <f t="shared" si="80"/>
        <v>0</v>
      </c>
      <c r="AA142" s="71">
        <v>137</v>
      </c>
      <c r="AB142" s="33">
        <f t="shared" si="81"/>
        <v>0</v>
      </c>
      <c r="AC142" s="304">
        <f t="shared" si="72"/>
        <v>0</v>
      </c>
      <c r="AD142" s="100">
        <f t="shared" si="82"/>
        <v>0</v>
      </c>
      <c r="AE142" s="100">
        <f t="shared" si="83"/>
        <v>0</v>
      </c>
      <c r="AF142" s="193">
        <f t="shared" si="68"/>
        <v>0</v>
      </c>
      <c r="AG142" s="193">
        <f t="shared" si="69"/>
        <v>0</v>
      </c>
      <c r="AH142" s="193">
        <f t="shared" si="70"/>
        <v>0</v>
      </c>
      <c r="AI142" s="198">
        <f t="shared" si="71"/>
        <v>0</v>
      </c>
      <c r="AK142" s="71">
        <v>137</v>
      </c>
      <c r="AL142" s="33">
        <f t="shared" si="84"/>
        <v>0</v>
      </c>
      <c r="AM142" s="33">
        <f t="shared" si="85"/>
        <v>0</v>
      </c>
      <c r="AN142" s="33">
        <f t="shared" si="86"/>
        <v>0</v>
      </c>
      <c r="AO142" s="33">
        <f t="shared" si="87"/>
        <v>0</v>
      </c>
      <c r="AP142" s="33">
        <f t="shared" si="88"/>
        <v>0</v>
      </c>
      <c r="AQ142" s="193">
        <f t="shared" si="74"/>
        <v>0</v>
      </c>
      <c r="AR142" s="193">
        <f t="shared" si="74"/>
        <v>0</v>
      </c>
      <c r="AS142" s="193">
        <f t="shared" si="74"/>
        <v>0</v>
      </c>
      <c r="AT142" s="193">
        <f t="shared" si="73"/>
        <v>0</v>
      </c>
      <c r="AU142" s="33"/>
      <c r="AV142" s="33"/>
      <c r="AW142" s="33"/>
      <c r="AX142" s="33"/>
      <c r="AY142" s="76"/>
    </row>
    <row r="143" spans="3:51">
      <c r="C143" s="165" t="s">
        <v>18</v>
      </c>
      <c r="D143" s="4">
        <v>0.65</v>
      </c>
      <c r="E143" s="187" t="s">
        <v>228</v>
      </c>
      <c r="F143" s="342">
        <f>IF(OR(Tableau145[[#This Row],[Type]]="Feuillus",Tableau145[[#This Row],[Type]]="Peupliers"),1.56,1.3)</f>
        <v>1.56</v>
      </c>
      <c r="I143" s="55">
        <v>138</v>
      </c>
      <c r="J143" s="33">
        <f t="shared" si="91"/>
        <v>0</v>
      </c>
      <c r="K143" s="33">
        <f t="shared" si="92"/>
        <v>0</v>
      </c>
      <c r="L143" s="33">
        <f t="shared" si="93"/>
        <v>0</v>
      </c>
      <c r="M143" s="33">
        <f t="shared" si="94"/>
        <v>0</v>
      </c>
      <c r="N143" s="33">
        <f t="shared" si="75"/>
        <v>0</v>
      </c>
      <c r="O143" s="34">
        <f t="shared" si="76"/>
        <v>0</v>
      </c>
      <c r="P143" s="55">
        <v>138</v>
      </c>
      <c r="Q143" s="33">
        <f t="shared" si="89"/>
        <v>0</v>
      </c>
      <c r="R143" s="33">
        <f t="shared" si="95"/>
        <v>0</v>
      </c>
      <c r="S143" s="33">
        <f t="shared" si="96"/>
        <v>0</v>
      </c>
      <c r="T143" s="33">
        <f t="shared" si="77"/>
        <v>0</v>
      </c>
      <c r="U143" s="33">
        <f t="shared" si="90"/>
        <v>0</v>
      </c>
      <c r="V143" s="33">
        <f t="shared" si="78"/>
        <v>0</v>
      </c>
      <c r="W143" s="33">
        <v>0</v>
      </c>
      <c r="X143" s="33">
        <f t="shared" si="79"/>
        <v>0</v>
      </c>
      <c r="Y143" s="38">
        <f t="shared" si="80"/>
        <v>0</v>
      </c>
      <c r="AA143" s="71">
        <v>138</v>
      </c>
      <c r="AB143" s="33">
        <f t="shared" si="81"/>
        <v>0</v>
      </c>
      <c r="AC143" s="304">
        <f t="shared" si="72"/>
        <v>0</v>
      </c>
      <c r="AD143" s="100">
        <f t="shared" si="82"/>
        <v>0</v>
      </c>
      <c r="AE143" s="100">
        <f t="shared" si="83"/>
        <v>0</v>
      </c>
      <c r="AF143" s="193">
        <f t="shared" si="68"/>
        <v>0</v>
      </c>
      <c r="AG143" s="193">
        <f t="shared" si="69"/>
        <v>0</v>
      </c>
      <c r="AH143" s="193">
        <f t="shared" si="70"/>
        <v>0</v>
      </c>
      <c r="AI143" s="198">
        <f t="shared" si="71"/>
        <v>0</v>
      </c>
      <c r="AK143" s="71">
        <v>138</v>
      </c>
      <c r="AL143" s="33">
        <f t="shared" si="84"/>
        <v>0</v>
      </c>
      <c r="AM143" s="33">
        <f t="shared" si="85"/>
        <v>0</v>
      </c>
      <c r="AN143" s="33">
        <f t="shared" si="86"/>
        <v>0</v>
      </c>
      <c r="AO143" s="33">
        <f t="shared" si="87"/>
        <v>0</v>
      </c>
      <c r="AP143" s="33">
        <f t="shared" si="88"/>
        <v>0</v>
      </c>
      <c r="AQ143" s="193">
        <f t="shared" si="74"/>
        <v>0</v>
      </c>
      <c r="AR143" s="193">
        <f t="shared" si="74"/>
        <v>0</v>
      </c>
      <c r="AS143" s="193">
        <f t="shared" si="74"/>
        <v>0</v>
      </c>
      <c r="AT143" s="193">
        <f t="shared" si="73"/>
        <v>0</v>
      </c>
      <c r="AU143" s="33"/>
      <c r="AV143" s="33"/>
      <c r="AW143" s="33"/>
      <c r="AX143" s="33"/>
      <c r="AY143" s="76"/>
    </row>
    <row r="144" spans="3:51">
      <c r="C144" s="165" t="s">
        <v>19</v>
      </c>
      <c r="D144" s="4">
        <v>0.56000000000000005</v>
      </c>
      <c r="E144" s="187" t="s">
        <v>228</v>
      </c>
      <c r="F144" s="342">
        <f>IF(OR(Tableau145[[#This Row],[Type]]="Feuillus",Tableau145[[#This Row],[Type]]="Peupliers"),1.56,1.3)</f>
        <v>1.56</v>
      </c>
      <c r="I144" s="55">
        <v>139</v>
      </c>
      <c r="J144" s="33">
        <f t="shared" si="91"/>
        <v>0</v>
      </c>
      <c r="K144" s="33">
        <f t="shared" si="92"/>
        <v>0</v>
      </c>
      <c r="L144" s="33">
        <f t="shared" si="93"/>
        <v>0</v>
      </c>
      <c r="M144" s="33">
        <f t="shared" si="94"/>
        <v>0</v>
      </c>
      <c r="N144" s="33">
        <f t="shared" si="75"/>
        <v>0</v>
      </c>
      <c r="O144" s="34">
        <f t="shared" si="76"/>
        <v>0</v>
      </c>
      <c r="P144" s="55">
        <v>139</v>
      </c>
      <c r="Q144" s="33">
        <f t="shared" si="89"/>
        <v>0</v>
      </c>
      <c r="R144" s="33">
        <f t="shared" si="95"/>
        <v>0</v>
      </c>
      <c r="S144" s="33">
        <f t="shared" si="96"/>
        <v>0</v>
      </c>
      <c r="T144" s="33">
        <f t="shared" si="77"/>
        <v>0</v>
      </c>
      <c r="U144" s="33">
        <f t="shared" si="90"/>
        <v>0</v>
      </c>
      <c r="V144" s="33">
        <f t="shared" si="78"/>
        <v>0</v>
      </c>
      <c r="W144" s="33">
        <v>0</v>
      </c>
      <c r="X144" s="33">
        <f t="shared" si="79"/>
        <v>0</v>
      </c>
      <c r="Y144" s="38">
        <f t="shared" si="80"/>
        <v>0</v>
      </c>
      <c r="AA144" s="71">
        <v>139</v>
      </c>
      <c r="AB144" s="33">
        <f t="shared" si="81"/>
        <v>0</v>
      </c>
      <c r="AC144" s="304">
        <f t="shared" si="72"/>
        <v>0</v>
      </c>
      <c r="AD144" s="100">
        <f t="shared" si="82"/>
        <v>0</v>
      </c>
      <c r="AE144" s="100">
        <f t="shared" si="83"/>
        <v>0</v>
      </c>
      <c r="AF144" s="193">
        <f t="shared" si="68"/>
        <v>0</v>
      </c>
      <c r="AG144" s="193">
        <f t="shared" si="69"/>
        <v>0</v>
      </c>
      <c r="AH144" s="193">
        <f t="shared" si="70"/>
        <v>0</v>
      </c>
      <c r="AI144" s="198">
        <f t="shared" si="71"/>
        <v>0</v>
      </c>
      <c r="AK144" s="71">
        <v>139</v>
      </c>
      <c r="AL144" s="33">
        <f t="shared" si="84"/>
        <v>0</v>
      </c>
      <c r="AM144" s="33">
        <f t="shared" si="85"/>
        <v>0</v>
      </c>
      <c r="AN144" s="33">
        <f t="shared" si="86"/>
        <v>0</v>
      </c>
      <c r="AO144" s="33">
        <f t="shared" si="87"/>
        <v>0</v>
      </c>
      <c r="AP144" s="33">
        <f t="shared" si="88"/>
        <v>0</v>
      </c>
      <c r="AQ144" s="193">
        <f t="shared" si="74"/>
        <v>0</v>
      </c>
      <c r="AR144" s="193">
        <f t="shared" si="74"/>
        <v>0</v>
      </c>
      <c r="AS144" s="193">
        <f t="shared" si="74"/>
        <v>0</v>
      </c>
      <c r="AT144" s="193">
        <f t="shared" si="73"/>
        <v>0</v>
      </c>
      <c r="AU144" s="33"/>
      <c r="AV144" s="33"/>
      <c r="AW144" s="33"/>
      <c r="AX144" s="33"/>
      <c r="AY144" s="76"/>
    </row>
    <row r="145" spans="3:51">
      <c r="C145" s="165" t="s">
        <v>20</v>
      </c>
      <c r="D145" s="4">
        <v>0.57999999999999996</v>
      </c>
      <c r="E145" s="187" t="s">
        <v>228</v>
      </c>
      <c r="F145" s="342">
        <f>IF(OR(Tableau145[[#This Row],[Type]]="Feuillus",Tableau145[[#This Row],[Type]]="Peupliers"),1.56,1.3)</f>
        <v>1.56</v>
      </c>
      <c r="I145" s="55">
        <v>140</v>
      </c>
      <c r="J145" s="33">
        <f t="shared" si="91"/>
        <v>0</v>
      </c>
      <c r="K145" s="33">
        <f t="shared" si="92"/>
        <v>0</v>
      </c>
      <c r="L145" s="33">
        <f t="shared" si="93"/>
        <v>0</v>
      </c>
      <c r="M145" s="33">
        <f t="shared" si="94"/>
        <v>0</v>
      </c>
      <c r="N145" s="33">
        <f t="shared" si="75"/>
        <v>0</v>
      </c>
      <c r="O145" s="34">
        <f t="shared" si="76"/>
        <v>0</v>
      </c>
      <c r="P145" s="55">
        <v>140</v>
      </c>
      <c r="Q145" s="33">
        <f t="shared" si="89"/>
        <v>0</v>
      </c>
      <c r="R145" s="33">
        <f t="shared" si="95"/>
        <v>0</v>
      </c>
      <c r="S145" s="33">
        <f t="shared" si="96"/>
        <v>0</v>
      </c>
      <c r="T145" s="33">
        <f t="shared" si="77"/>
        <v>0</v>
      </c>
      <c r="U145" s="33">
        <f t="shared" si="90"/>
        <v>0</v>
      </c>
      <c r="V145" s="33">
        <f t="shared" si="78"/>
        <v>0</v>
      </c>
      <c r="W145" s="33">
        <v>0</v>
      </c>
      <c r="X145" s="33">
        <f t="shared" si="79"/>
        <v>0</v>
      </c>
      <c r="Y145" s="38">
        <f t="shared" si="80"/>
        <v>0</v>
      </c>
      <c r="AA145" s="71">
        <v>140</v>
      </c>
      <c r="AB145" s="33">
        <f t="shared" si="81"/>
        <v>0</v>
      </c>
      <c r="AC145" s="304">
        <f t="shared" si="72"/>
        <v>0</v>
      </c>
      <c r="AD145" s="100">
        <f t="shared" si="82"/>
        <v>0</v>
      </c>
      <c r="AE145" s="100">
        <f t="shared" si="83"/>
        <v>0</v>
      </c>
      <c r="AF145" s="193">
        <f t="shared" si="68"/>
        <v>0</v>
      </c>
      <c r="AG145" s="193">
        <f t="shared" si="69"/>
        <v>0</v>
      </c>
      <c r="AH145" s="193">
        <f t="shared" si="70"/>
        <v>0</v>
      </c>
      <c r="AI145" s="198">
        <f t="shared" si="71"/>
        <v>0</v>
      </c>
      <c r="AK145" s="71">
        <v>140</v>
      </c>
      <c r="AL145" s="33">
        <f t="shared" si="84"/>
        <v>0</v>
      </c>
      <c r="AM145" s="33">
        <f t="shared" si="85"/>
        <v>0</v>
      </c>
      <c r="AN145" s="33">
        <f t="shared" si="86"/>
        <v>0</v>
      </c>
      <c r="AO145" s="33">
        <f t="shared" si="87"/>
        <v>0</v>
      </c>
      <c r="AP145" s="33">
        <f t="shared" si="88"/>
        <v>0</v>
      </c>
      <c r="AQ145" s="193">
        <f t="shared" si="74"/>
        <v>0</v>
      </c>
      <c r="AR145" s="193">
        <f t="shared" si="74"/>
        <v>0</v>
      </c>
      <c r="AS145" s="193">
        <f t="shared" si="74"/>
        <v>0</v>
      </c>
      <c r="AT145" s="193">
        <f t="shared" si="73"/>
        <v>0</v>
      </c>
      <c r="AU145" s="33"/>
      <c r="AV145" s="33"/>
      <c r="AW145" s="33"/>
      <c r="AX145" s="33"/>
      <c r="AY145" s="76"/>
    </row>
    <row r="146" spans="3:51">
      <c r="C146" s="165" t="s">
        <v>21</v>
      </c>
      <c r="D146" s="4">
        <v>0.64</v>
      </c>
      <c r="E146" s="187" t="s">
        <v>228</v>
      </c>
      <c r="F146" s="342">
        <f>IF(OR(Tableau145[[#This Row],[Type]]="Feuillus",Tableau145[[#This Row],[Type]]="Peupliers"),1.56,1.3)</f>
        <v>1.56</v>
      </c>
      <c r="I146" s="55">
        <v>141</v>
      </c>
      <c r="J146" s="33">
        <f t="shared" si="91"/>
        <v>0</v>
      </c>
      <c r="K146" s="33">
        <f t="shared" si="92"/>
        <v>0</v>
      </c>
      <c r="L146" s="33">
        <f t="shared" si="93"/>
        <v>0</v>
      </c>
      <c r="M146" s="33">
        <f t="shared" si="94"/>
        <v>0</v>
      </c>
      <c r="N146" s="33">
        <f t="shared" si="75"/>
        <v>0</v>
      </c>
      <c r="O146" s="34">
        <f t="shared" si="76"/>
        <v>0</v>
      </c>
      <c r="P146" s="55">
        <v>141</v>
      </c>
      <c r="Q146" s="33">
        <f t="shared" si="89"/>
        <v>0</v>
      </c>
      <c r="R146" s="33">
        <f t="shared" si="95"/>
        <v>0</v>
      </c>
      <c r="S146" s="33">
        <f t="shared" si="96"/>
        <v>0</v>
      </c>
      <c r="T146" s="33">
        <f t="shared" si="77"/>
        <v>0</v>
      </c>
      <c r="U146" s="33">
        <f t="shared" si="90"/>
        <v>0</v>
      </c>
      <c r="V146" s="33">
        <f t="shared" si="78"/>
        <v>0</v>
      </c>
      <c r="W146" s="33">
        <v>0</v>
      </c>
      <c r="X146" s="33">
        <f t="shared" si="79"/>
        <v>0</v>
      </c>
      <c r="Y146" s="38">
        <f t="shared" si="80"/>
        <v>0</v>
      </c>
      <c r="AA146" s="71">
        <v>141</v>
      </c>
      <c r="AB146" s="33">
        <f t="shared" si="81"/>
        <v>0</v>
      </c>
      <c r="AC146" s="304">
        <f t="shared" si="72"/>
        <v>0</v>
      </c>
      <c r="AD146" s="100">
        <f t="shared" si="82"/>
        <v>0</v>
      </c>
      <c r="AE146" s="100">
        <f t="shared" si="83"/>
        <v>0</v>
      </c>
      <c r="AF146" s="193">
        <f t="shared" si="68"/>
        <v>0</v>
      </c>
      <c r="AG146" s="193">
        <f t="shared" si="69"/>
        <v>0</v>
      </c>
      <c r="AH146" s="193">
        <f t="shared" si="70"/>
        <v>0</v>
      </c>
      <c r="AI146" s="198">
        <f t="shared" si="71"/>
        <v>0</v>
      </c>
      <c r="AK146" s="71">
        <v>141</v>
      </c>
      <c r="AL146" s="33">
        <f t="shared" si="84"/>
        <v>0</v>
      </c>
      <c r="AM146" s="33">
        <f t="shared" si="85"/>
        <v>0</v>
      </c>
      <c r="AN146" s="33">
        <f t="shared" si="86"/>
        <v>0</v>
      </c>
      <c r="AO146" s="33">
        <f t="shared" si="87"/>
        <v>0</v>
      </c>
      <c r="AP146" s="33">
        <f t="shared" si="88"/>
        <v>0</v>
      </c>
      <c r="AQ146" s="193">
        <f t="shared" si="74"/>
        <v>0</v>
      </c>
      <c r="AR146" s="193">
        <f t="shared" si="74"/>
        <v>0</v>
      </c>
      <c r="AS146" s="193">
        <f t="shared" si="74"/>
        <v>0</v>
      </c>
      <c r="AT146" s="193">
        <f t="shared" si="73"/>
        <v>0</v>
      </c>
      <c r="AU146" s="33"/>
      <c r="AV146" s="33"/>
      <c r="AW146" s="33"/>
      <c r="AX146" s="33"/>
      <c r="AY146" s="76"/>
    </row>
    <row r="147" spans="3:51">
      <c r="C147" s="165" t="s">
        <v>22</v>
      </c>
      <c r="D147" s="4">
        <v>0.73</v>
      </c>
      <c r="E147" s="187" t="s">
        <v>228</v>
      </c>
      <c r="F147" s="342">
        <f>IF(OR(Tableau145[[#This Row],[Type]]="Feuillus",Tableau145[[#This Row],[Type]]="Peupliers"),1.56,1.3)</f>
        <v>1.56</v>
      </c>
      <c r="I147" s="55">
        <v>142</v>
      </c>
      <c r="J147" s="33">
        <f t="shared" si="91"/>
        <v>0</v>
      </c>
      <c r="K147" s="33">
        <f t="shared" si="92"/>
        <v>0</v>
      </c>
      <c r="L147" s="33">
        <f t="shared" si="93"/>
        <v>0</v>
      </c>
      <c r="M147" s="33">
        <f t="shared" si="94"/>
        <v>0</v>
      </c>
      <c r="N147" s="33">
        <f t="shared" si="75"/>
        <v>0</v>
      </c>
      <c r="O147" s="34">
        <f t="shared" si="76"/>
        <v>0</v>
      </c>
      <c r="P147" s="55">
        <v>142</v>
      </c>
      <c r="Q147" s="33">
        <f t="shared" si="89"/>
        <v>0</v>
      </c>
      <c r="R147" s="33">
        <f t="shared" si="95"/>
        <v>0</v>
      </c>
      <c r="S147" s="33">
        <f t="shared" si="96"/>
        <v>0</v>
      </c>
      <c r="T147" s="33">
        <f t="shared" si="77"/>
        <v>0</v>
      </c>
      <c r="U147" s="33">
        <f t="shared" si="90"/>
        <v>0</v>
      </c>
      <c r="V147" s="33">
        <f t="shared" si="78"/>
        <v>0</v>
      </c>
      <c r="W147" s="33">
        <v>0</v>
      </c>
      <c r="X147" s="33">
        <f t="shared" si="79"/>
        <v>0</v>
      </c>
      <c r="Y147" s="38">
        <f t="shared" si="80"/>
        <v>0</v>
      </c>
      <c r="AA147" s="71">
        <v>142</v>
      </c>
      <c r="AB147" s="33">
        <f t="shared" si="81"/>
        <v>0</v>
      </c>
      <c r="AC147" s="304">
        <f t="shared" si="72"/>
        <v>0</v>
      </c>
      <c r="AD147" s="100">
        <f t="shared" si="82"/>
        <v>0</v>
      </c>
      <c r="AE147" s="100">
        <f t="shared" si="83"/>
        <v>0</v>
      </c>
      <c r="AF147" s="193">
        <f t="shared" si="68"/>
        <v>0</v>
      </c>
      <c r="AG147" s="193">
        <f t="shared" si="69"/>
        <v>0</v>
      </c>
      <c r="AH147" s="193">
        <f t="shared" si="70"/>
        <v>0</v>
      </c>
      <c r="AI147" s="198">
        <f t="shared" si="71"/>
        <v>0</v>
      </c>
      <c r="AK147" s="71">
        <v>142</v>
      </c>
      <c r="AL147" s="33">
        <f t="shared" si="84"/>
        <v>0</v>
      </c>
      <c r="AM147" s="33">
        <f t="shared" si="85"/>
        <v>0</v>
      </c>
      <c r="AN147" s="33">
        <f t="shared" si="86"/>
        <v>0</v>
      </c>
      <c r="AO147" s="33">
        <f t="shared" si="87"/>
        <v>0</v>
      </c>
      <c r="AP147" s="33">
        <f t="shared" si="88"/>
        <v>0</v>
      </c>
      <c r="AQ147" s="193">
        <f t="shared" si="74"/>
        <v>0</v>
      </c>
      <c r="AR147" s="193">
        <f t="shared" si="74"/>
        <v>0</v>
      </c>
      <c r="AS147" s="193">
        <f t="shared" si="74"/>
        <v>0</v>
      </c>
      <c r="AT147" s="193">
        <f t="shared" si="73"/>
        <v>0</v>
      </c>
      <c r="AU147" s="33"/>
      <c r="AV147" s="33"/>
      <c r="AW147" s="33"/>
      <c r="AX147" s="33"/>
      <c r="AY147" s="76"/>
    </row>
    <row r="148" spans="3:51">
      <c r="C148" s="165" t="s">
        <v>23</v>
      </c>
      <c r="D148" s="4">
        <v>0.56000000000000005</v>
      </c>
      <c r="E148" s="187" t="s">
        <v>228</v>
      </c>
      <c r="F148" s="342">
        <f>IF(OR(Tableau145[[#This Row],[Type]]="Feuillus",Tableau145[[#This Row],[Type]]="Peupliers"),1.56,1.3)</f>
        <v>1.56</v>
      </c>
      <c r="I148" s="55">
        <v>143</v>
      </c>
      <c r="J148" s="33">
        <f t="shared" si="91"/>
        <v>0</v>
      </c>
      <c r="K148" s="33">
        <f t="shared" si="92"/>
        <v>0</v>
      </c>
      <c r="L148" s="33">
        <f t="shared" si="93"/>
        <v>0</v>
      </c>
      <c r="M148" s="33">
        <f t="shared" si="94"/>
        <v>0</v>
      </c>
      <c r="N148" s="33">
        <f t="shared" si="75"/>
        <v>0</v>
      </c>
      <c r="O148" s="34">
        <f t="shared" si="76"/>
        <v>0</v>
      </c>
      <c r="P148" s="55">
        <v>143</v>
      </c>
      <c r="Q148" s="33">
        <f t="shared" si="89"/>
        <v>0</v>
      </c>
      <c r="R148" s="33">
        <f t="shared" si="95"/>
        <v>0</v>
      </c>
      <c r="S148" s="33">
        <f t="shared" si="96"/>
        <v>0</v>
      </c>
      <c r="T148" s="33">
        <f t="shared" si="77"/>
        <v>0</v>
      </c>
      <c r="U148" s="33">
        <f t="shared" si="90"/>
        <v>0</v>
      </c>
      <c r="V148" s="33">
        <f t="shared" si="78"/>
        <v>0</v>
      </c>
      <c r="W148" s="33">
        <v>0</v>
      </c>
      <c r="X148" s="33">
        <f t="shared" si="79"/>
        <v>0</v>
      </c>
      <c r="Y148" s="38">
        <f t="shared" si="80"/>
        <v>0</v>
      </c>
      <c r="AA148" s="71">
        <v>143</v>
      </c>
      <c r="AB148" s="33">
        <f t="shared" si="81"/>
        <v>0</v>
      </c>
      <c r="AC148" s="304">
        <f t="shared" si="72"/>
        <v>0</v>
      </c>
      <c r="AD148" s="100">
        <f t="shared" si="82"/>
        <v>0</v>
      </c>
      <c r="AE148" s="100">
        <f t="shared" si="83"/>
        <v>0</v>
      </c>
      <c r="AF148" s="193">
        <f t="shared" si="68"/>
        <v>0</v>
      </c>
      <c r="AG148" s="193">
        <f t="shared" si="69"/>
        <v>0</v>
      </c>
      <c r="AH148" s="193">
        <f t="shared" si="70"/>
        <v>0</v>
      </c>
      <c r="AI148" s="198">
        <f t="shared" si="71"/>
        <v>0</v>
      </c>
      <c r="AK148" s="71">
        <v>143</v>
      </c>
      <c r="AL148" s="33">
        <f t="shared" si="84"/>
        <v>0</v>
      </c>
      <c r="AM148" s="33">
        <f t="shared" si="85"/>
        <v>0</v>
      </c>
      <c r="AN148" s="33">
        <f t="shared" si="86"/>
        <v>0</v>
      </c>
      <c r="AO148" s="33">
        <f t="shared" si="87"/>
        <v>0</v>
      </c>
      <c r="AP148" s="33">
        <f t="shared" si="88"/>
        <v>0</v>
      </c>
      <c r="AQ148" s="193">
        <f t="shared" si="74"/>
        <v>0</v>
      </c>
      <c r="AR148" s="193">
        <f t="shared" si="74"/>
        <v>0</v>
      </c>
      <c r="AS148" s="193">
        <f t="shared" si="74"/>
        <v>0</v>
      </c>
      <c r="AT148" s="193">
        <f t="shared" si="73"/>
        <v>0</v>
      </c>
      <c r="AU148" s="33"/>
      <c r="AV148" s="33"/>
      <c r="AW148" s="33"/>
      <c r="AX148" s="33"/>
      <c r="AY148" s="76"/>
    </row>
    <row r="149" spans="3:51">
      <c r="C149" s="165" t="s">
        <v>24</v>
      </c>
      <c r="D149" s="4">
        <v>0.74</v>
      </c>
      <c r="E149" s="187" t="s">
        <v>228</v>
      </c>
      <c r="F149" s="342">
        <f>IF(OR(Tableau145[[#This Row],[Type]]="Feuillus",Tableau145[[#This Row],[Type]]="Peupliers"),1.56,1.3)</f>
        <v>1.56</v>
      </c>
      <c r="I149" s="55">
        <v>144</v>
      </c>
      <c r="J149" s="33">
        <f t="shared" si="91"/>
        <v>0</v>
      </c>
      <c r="K149" s="33">
        <f t="shared" si="92"/>
        <v>0</v>
      </c>
      <c r="L149" s="33">
        <f t="shared" si="93"/>
        <v>0</v>
      </c>
      <c r="M149" s="33">
        <f t="shared" si="94"/>
        <v>0</v>
      </c>
      <c r="N149" s="33">
        <f t="shared" si="75"/>
        <v>0</v>
      </c>
      <c r="O149" s="34">
        <f t="shared" si="76"/>
        <v>0</v>
      </c>
      <c r="P149" s="55">
        <v>144</v>
      </c>
      <c r="Q149" s="33">
        <f t="shared" si="89"/>
        <v>0</v>
      </c>
      <c r="R149" s="33">
        <f t="shared" si="95"/>
        <v>0</v>
      </c>
      <c r="S149" s="33">
        <f t="shared" si="96"/>
        <v>0</v>
      </c>
      <c r="T149" s="33">
        <f t="shared" si="77"/>
        <v>0</v>
      </c>
      <c r="U149" s="33">
        <f t="shared" si="90"/>
        <v>0</v>
      </c>
      <c r="V149" s="33">
        <f t="shared" si="78"/>
        <v>0</v>
      </c>
      <c r="W149" s="33">
        <v>0</v>
      </c>
      <c r="X149" s="33">
        <f t="shared" si="79"/>
        <v>0</v>
      </c>
      <c r="Y149" s="38">
        <f t="shared" si="80"/>
        <v>0</v>
      </c>
      <c r="AA149" s="71">
        <v>144</v>
      </c>
      <c r="AB149" s="33">
        <f t="shared" si="81"/>
        <v>0</v>
      </c>
      <c r="AC149" s="304">
        <f t="shared" si="72"/>
        <v>0</v>
      </c>
      <c r="AD149" s="100">
        <f t="shared" si="82"/>
        <v>0</v>
      </c>
      <c r="AE149" s="100">
        <f t="shared" si="83"/>
        <v>0</v>
      </c>
      <c r="AF149" s="193">
        <f t="shared" si="68"/>
        <v>0</v>
      </c>
      <c r="AG149" s="193">
        <f t="shared" si="69"/>
        <v>0</v>
      </c>
      <c r="AH149" s="193">
        <f t="shared" si="70"/>
        <v>0</v>
      </c>
      <c r="AI149" s="198">
        <f t="shared" si="71"/>
        <v>0</v>
      </c>
      <c r="AK149" s="71">
        <v>144</v>
      </c>
      <c r="AL149" s="33">
        <f t="shared" si="84"/>
        <v>0</v>
      </c>
      <c r="AM149" s="33">
        <f t="shared" si="85"/>
        <v>0</v>
      </c>
      <c r="AN149" s="33">
        <f t="shared" si="86"/>
        <v>0</v>
      </c>
      <c r="AO149" s="33">
        <f t="shared" si="87"/>
        <v>0</v>
      </c>
      <c r="AP149" s="33">
        <f t="shared" si="88"/>
        <v>0</v>
      </c>
      <c r="AQ149" s="193">
        <f t="shared" si="74"/>
        <v>0</v>
      </c>
      <c r="AR149" s="193">
        <f t="shared" si="74"/>
        <v>0</v>
      </c>
      <c r="AS149" s="193">
        <f t="shared" si="74"/>
        <v>0</v>
      </c>
      <c r="AT149" s="193">
        <f t="shared" si="73"/>
        <v>0</v>
      </c>
      <c r="AU149" s="33"/>
      <c r="AV149" s="33"/>
      <c r="AW149" s="33"/>
      <c r="AX149" s="33"/>
      <c r="AY149" s="76"/>
    </row>
    <row r="150" spans="3:51">
      <c r="C150" s="165" t="s">
        <v>25</v>
      </c>
      <c r="D150" s="4">
        <v>0.4</v>
      </c>
      <c r="E150" s="187" t="s">
        <v>229</v>
      </c>
      <c r="F150" s="342">
        <f>IF(OR(Tableau145[[#This Row],[Type]]="Feuillus",Tableau145[[#This Row],[Type]]="Peupliers"),1.56,1.3)</f>
        <v>1.3</v>
      </c>
      <c r="I150" s="55">
        <v>145</v>
      </c>
      <c r="J150" s="33">
        <f t="shared" si="91"/>
        <v>0</v>
      </c>
      <c r="K150" s="33">
        <f t="shared" si="92"/>
        <v>0</v>
      </c>
      <c r="L150" s="33">
        <f t="shared" si="93"/>
        <v>0</v>
      </c>
      <c r="M150" s="33">
        <f t="shared" si="94"/>
        <v>0</v>
      </c>
      <c r="N150" s="33">
        <f t="shared" si="75"/>
        <v>0</v>
      </c>
      <c r="O150" s="34">
        <f t="shared" si="76"/>
        <v>0</v>
      </c>
      <c r="P150" s="55">
        <v>145</v>
      </c>
      <c r="Q150" s="33">
        <f t="shared" si="89"/>
        <v>0</v>
      </c>
      <c r="R150" s="33">
        <f t="shared" si="95"/>
        <v>0</v>
      </c>
      <c r="S150" s="33">
        <f t="shared" si="96"/>
        <v>0</v>
      </c>
      <c r="T150" s="33">
        <f t="shared" si="77"/>
        <v>0</v>
      </c>
      <c r="U150" s="33">
        <f t="shared" si="90"/>
        <v>0</v>
      </c>
      <c r="V150" s="33">
        <f t="shared" si="78"/>
        <v>0</v>
      </c>
      <c r="W150" s="33">
        <v>0</v>
      </c>
      <c r="X150" s="33">
        <f t="shared" si="79"/>
        <v>0</v>
      </c>
      <c r="Y150" s="38">
        <f t="shared" si="80"/>
        <v>0</v>
      </c>
      <c r="AA150" s="71">
        <v>145</v>
      </c>
      <c r="AB150" s="33">
        <f t="shared" si="81"/>
        <v>0</v>
      </c>
      <c r="AC150" s="304">
        <f t="shared" si="72"/>
        <v>0</v>
      </c>
      <c r="AD150" s="100">
        <f t="shared" si="82"/>
        <v>0</v>
      </c>
      <c r="AE150" s="100">
        <f t="shared" si="83"/>
        <v>0</v>
      </c>
      <c r="AF150" s="193">
        <f t="shared" si="68"/>
        <v>0</v>
      </c>
      <c r="AG150" s="193">
        <f t="shared" si="69"/>
        <v>0</v>
      </c>
      <c r="AH150" s="193">
        <f t="shared" si="70"/>
        <v>0</v>
      </c>
      <c r="AI150" s="198">
        <f t="shared" si="71"/>
        <v>0</v>
      </c>
      <c r="AK150" s="71">
        <v>145</v>
      </c>
      <c r="AL150" s="33">
        <f t="shared" si="84"/>
        <v>0</v>
      </c>
      <c r="AM150" s="33">
        <f t="shared" si="85"/>
        <v>0</v>
      </c>
      <c r="AN150" s="33">
        <f t="shared" si="86"/>
        <v>0</v>
      </c>
      <c r="AO150" s="33">
        <f t="shared" si="87"/>
        <v>0</v>
      </c>
      <c r="AP150" s="33">
        <f t="shared" si="88"/>
        <v>0</v>
      </c>
      <c r="AQ150" s="193">
        <f t="shared" si="74"/>
        <v>0</v>
      </c>
      <c r="AR150" s="193">
        <f t="shared" si="74"/>
        <v>0</v>
      </c>
      <c r="AS150" s="193">
        <f t="shared" si="74"/>
        <v>0</v>
      </c>
      <c r="AT150" s="193">
        <f t="shared" si="73"/>
        <v>0</v>
      </c>
      <c r="AU150" s="33"/>
      <c r="AV150" s="33"/>
      <c r="AW150" s="33"/>
      <c r="AX150" s="33"/>
      <c r="AY150" s="76"/>
    </row>
    <row r="151" spans="3:51">
      <c r="C151" s="165" t="s">
        <v>26</v>
      </c>
      <c r="D151" s="4">
        <v>0.6</v>
      </c>
      <c r="E151" s="187" t="s">
        <v>228</v>
      </c>
      <c r="F151" s="342">
        <f>IF(OR(Tableau145[[#This Row],[Type]]="Feuillus",Tableau145[[#This Row],[Type]]="Peupliers"),1.56,1.3)</f>
        <v>1.56</v>
      </c>
      <c r="I151" s="55">
        <v>146</v>
      </c>
      <c r="J151" s="33">
        <f t="shared" si="91"/>
        <v>0</v>
      </c>
      <c r="K151" s="33">
        <f t="shared" si="92"/>
        <v>0</v>
      </c>
      <c r="L151" s="33">
        <f t="shared" si="93"/>
        <v>0</v>
      </c>
      <c r="M151" s="33">
        <f t="shared" si="94"/>
        <v>0</v>
      </c>
      <c r="N151" s="33">
        <f t="shared" si="75"/>
        <v>0</v>
      </c>
      <c r="O151" s="34">
        <f t="shared" si="76"/>
        <v>0</v>
      </c>
      <c r="P151" s="55">
        <v>146</v>
      </c>
      <c r="Q151" s="33">
        <f t="shared" si="89"/>
        <v>0</v>
      </c>
      <c r="R151" s="33">
        <f t="shared" si="95"/>
        <v>0</v>
      </c>
      <c r="S151" s="33">
        <f t="shared" si="96"/>
        <v>0</v>
      </c>
      <c r="T151" s="33">
        <f t="shared" si="77"/>
        <v>0</v>
      </c>
      <c r="U151" s="33">
        <f t="shared" si="90"/>
        <v>0</v>
      </c>
      <c r="V151" s="33">
        <f t="shared" si="78"/>
        <v>0</v>
      </c>
      <c r="W151" s="33">
        <v>0</v>
      </c>
      <c r="X151" s="33">
        <f t="shared" si="79"/>
        <v>0</v>
      </c>
      <c r="Y151" s="38">
        <f t="shared" si="80"/>
        <v>0</v>
      </c>
      <c r="AA151" s="71">
        <v>146</v>
      </c>
      <c r="AB151" s="33">
        <f t="shared" si="81"/>
        <v>0</v>
      </c>
      <c r="AC151" s="304">
        <f t="shared" si="72"/>
        <v>0</v>
      </c>
      <c r="AD151" s="100">
        <f t="shared" si="82"/>
        <v>0</v>
      </c>
      <c r="AE151" s="100">
        <f t="shared" si="83"/>
        <v>0</v>
      </c>
      <c r="AF151" s="193">
        <f t="shared" si="68"/>
        <v>0</v>
      </c>
      <c r="AG151" s="193">
        <f t="shared" si="69"/>
        <v>0</v>
      </c>
      <c r="AH151" s="193">
        <f t="shared" si="70"/>
        <v>0</v>
      </c>
      <c r="AI151" s="198">
        <f t="shared" si="71"/>
        <v>0</v>
      </c>
      <c r="AK151" s="71">
        <v>146</v>
      </c>
      <c r="AL151" s="33">
        <f t="shared" si="84"/>
        <v>0</v>
      </c>
      <c r="AM151" s="33">
        <f t="shared" si="85"/>
        <v>0</v>
      </c>
      <c r="AN151" s="33">
        <f t="shared" si="86"/>
        <v>0</v>
      </c>
      <c r="AO151" s="33">
        <f t="shared" si="87"/>
        <v>0</v>
      </c>
      <c r="AP151" s="33">
        <f t="shared" si="88"/>
        <v>0</v>
      </c>
      <c r="AQ151" s="193">
        <f t="shared" si="74"/>
        <v>0</v>
      </c>
      <c r="AR151" s="193">
        <f t="shared" si="74"/>
        <v>0</v>
      </c>
      <c r="AS151" s="193">
        <f t="shared" si="74"/>
        <v>0</v>
      </c>
      <c r="AT151" s="193">
        <f t="shared" si="73"/>
        <v>0</v>
      </c>
      <c r="AU151" s="33"/>
      <c r="AV151" s="33"/>
      <c r="AW151" s="33"/>
      <c r="AX151" s="33"/>
      <c r="AY151" s="76"/>
    </row>
    <row r="152" spans="3:51">
      <c r="C152" s="165" t="s">
        <v>27</v>
      </c>
      <c r="D152" s="4">
        <v>0.43</v>
      </c>
      <c r="E152" s="187" t="s">
        <v>229</v>
      </c>
      <c r="F152" s="342">
        <f>IF(OR(Tableau145[[#This Row],[Type]]="Feuillus",Tableau145[[#This Row],[Type]]="Peupliers"),1.56,1.3)</f>
        <v>1.3</v>
      </c>
      <c r="I152" s="55">
        <v>147</v>
      </c>
      <c r="J152" s="33">
        <f t="shared" si="91"/>
        <v>0</v>
      </c>
      <c r="K152" s="33">
        <f t="shared" si="92"/>
        <v>0</v>
      </c>
      <c r="L152" s="33">
        <f t="shared" si="93"/>
        <v>0</v>
      </c>
      <c r="M152" s="33">
        <f t="shared" si="94"/>
        <v>0</v>
      </c>
      <c r="N152" s="33">
        <f t="shared" si="75"/>
        <v>0</v>
      </c>
      <c r="O152" s="34">
        <f t="shared" si="76"/>
        <v>0</v>
      </c>
      <c r="P152" s="55">
        <v>147</v>
      </c>
      <c r="Q152" s="33">
        <f t="shared" si="89"/>
        <v>0</v>
      </c>
      <c r="R152" s="33">
        <f t="shared" si="95"/>
        <v>0</v>
      </c>
      <c r="S152" s="33">
        <f t="shared" si="96"/>
        <v>0</v>
      </c>
      <c r="T152" s="33">
        <f t="shared" si="77"/>
        <v>0</v>
      </c>
      <c r="U152" s="33">
        <f t="shared" si="90"/>
        <v>0</v>
      </c>
      <c r="V152" s="33">
        <f t="shared" si="78"/>
        <v>0</v>
      </c>
      <c r="W152" s="33">
        <v>0</v>
      </c>
      <c r="X152" s="33">
        <f t="shared" si="79"/>
        <v>0</v>
      </c>
      <c r="Y152" s="38">
        <f t="shared" si="80"/>
        <v>0</v>
      </c>
      <c r="AA152" s="71">
        <v>147</v>
      </c>
      <c r="AB152" s="33">
        <f t="shared" si="81"/>
        <v>0</v>
      </c>
      <c r="AC152" s="304">
        <f t="shared" si="72"/>
        <v>0</v>
      </c>
      <c r="AD152" s="100">
        <f t="shared" si="82"/>
        <v>0</v>
      </c>
      <c r="AE152" s="100">
        <f t="shared" si="83"/>
        <v>0</v>
      </c>
      <c r="AF152" s="193">
        <f t="shared" si="68"/>
        <v>0</v>
      </c>
      <c r="AG152" s="193">
        <f t="shared" si="69"/>
        <v>0</v>
      </c>
      <c r="AH152" s="193">
        <f t="shared" si="70"/>
        <v>0</v>
      </c>
      <c r="AI152" s="198">
        <f t="shared" si="71"/>
        <v>0</v>
      </c>
      <c r="AK152" s="71">
        <v>147</v>
      </c>
      <c r="AL152" s="33">
        <f t="shared" si="84"/>
        <v>0</v>
      </c>
      <c r="AM152" s="33">
        <f t="shared" si="85"/>
        <v>0</v>
      </c>
      <c r="AN152" s="33">
        <f t="shared" si="86"/>
        <v>0</v>
      </c>
      <c r="AO152" s="33">
        <f t="shared" si="87"/>
        <v>0</v>
      </c>
      <c r="AP152" s="33">
        <f t="shared" si="88"/>
        <v>0</v>
      </c>
      <c r="AQ152" s="193">
        <f t="shared" si="74"/>
        <v>0</v>
      </c>
      <c r="AR152" s="193">
        <f t="shared" si="74"/>
        <v>0</v>
      </c>
      <c r="AS152" s="193">
        <f t="shared" si="74"/>
        <v>0</v>
      </c>
      <c r="AT152" s="193">
        <f t="shared" si="73"/>
        <v>0</v>
      </c>
      <c r="AU152" s="33"/>
      <c r="AV152" s="33"/>
      <c r="AW152" s="33"/>
      <c r="AX152" s="33"/>
      <c r="AY152" s="76"/>
    </row>
    <row r="153" spans="3:51">
      <c r="C153" s="165" t="s">
        <v>28</v>
      </c>
      <c r="D153" s="4">
        <v>0.37</v>
      </c>
      <c r="E153" s="187" t="s">
        <v>229</v>
      </c>
      <c r="F153" s="342">
        <f>IF(OR(Tableau145[[#This Row],[Type]]="Feuillus",Tableau145[[#This Row],[Type]]="Peupliers"),1.56,1.3)</f>
        <v>1.3</v>
      </c>
      <c r="I153" s="55">
        <v>148</v>
      </c>
      <c r="J153" s="33">
        <f t="shared" si="91"/>
        <v>0</v>
      </c>
      <c r="K153" s="33">
        <f t="shared" si="92"/>
        <v>0</v>
      </c>
      <c r="L153" s="33">
        <f t="shared" si="93"/>
        <v>0</v>
      </c>
      <c r="M153" s="33">
        <f t="shared" si="94"/>
        <v>0</v>
      </c>
      <c r="N153" s="33">
        <f t="shared" si="75"/>
        <v>0</v>
      </c>
      <c r="O153" s="34">
        <f t="shared" si="76"/>
        <v>0</v>
      </c>
      <c r="P153" s="55">
        <v>148</v>
      </c>
      <c r="Q153" s="33">
        <f t="shared" si="89"/>
        <v>0</v>
      </c>
      <c r="R153" s="33">
        <f t="shared" si="95"/>
        <v>0</v>
      </c>
      <c r="S153" s="33">
        <f t="shared" si="96"/>
        <v>0</v>
      </c>
      <c r="T153" s="33">
        <f t="shared" si="77"/>
        <v>0</v>
      </c>
      <c r="U153" s="33">
        <f t="shared" si="90"/>
        <v>0</v>
      </c>
      <c r="V153" s="33">
        <f t="shared" si="78"/>
        <v>0</v>
      </c>
      <c r="W153" s="33">
        <v>0</v>
      </c>
      <c r="X153" s="33">
        <f t="shared" si="79"/>
        <v>0</v>
      </c>
      <c r="Y153" s="38">
        <f t="shared" si="80"/>
        <v>0</v>
      </c>
      <c r="AA153" s="71">
        <v>148</v>
      </c>
      <c r="AB153" s="33">
        <f t="shared" si="81"/>
        <v>0</v>
      </c>
      <c r="AC153" s="304">
        <f t="shared" si="72"/>
        <v>0</v>
      </c>
      <c r="AD153" s="100">
        <f t="shared" si="82"/>
        <v>0</v>
      </c>
      <c r="AE153" s="100">
        <f t="shared" si="83"/>
        <v>0</v>
      </c>
      <c r="AF153" s="193">
        <f t="shared" si="68"/>
        <v>0</v>
      </c>
      <c r="AG153" s="193">
        <f t="shared" si="69"/>
        <v>0</v>
      </c>
      <c r="AH153" s="193">
        <f t="shared" si="70"/>
        <v>0</v>
      </c>
      <c r="AI153" s="198">
        <f t="shared" si="71"/>
        <v>0</v>
      </c>
      <c r="AK153" s="71">
        <v>148</v>
      </c>
      <c r="AL153" s="33">
        <f t="shared" si="84"/>
        <v>0</v>
      </c>
      <c r="AM153" s="33">
        <f t="shared" si="85"/>
        <v>0</v>
      </c>
      <c r="AN153" s="33">
        <f t="shared" si="86"/>
        <v>0</v>
      </c>
      <c r="AO153" s="33">
        <f t="shared" si="87"/>
        <v>0</v>
      </c>
      <c r="AP153" s="33">
        <f t="shared" si="88"/>
        <v>0</v>
      </c>
      <c r="AQ153" s="193">
        <f t="shared" si="74"/>
        <v>0</v>
      </c>
      <c r="AR153" s="193">
        <f t="shared" si="74"/>
        <v>0</v>
      </c>
      <c r="AS153" s="193">
        <f t="shared" si="74"/>
        <v>0</v>
      </c>
      <c r="AT153" s="193">
        <f t="shared" si="73"/>
        <v>0</v>
      </c>
      <c r="AU153" s="33"/>
      <c r="AV153" s="33"/>
      <c r="AW153" s="33"/>
      <c r="AX153" s="33"/>
      <c r="AY153" s="76"/>
    </row>
    <row r="154" spans="3:51">
      <c r="C154" s="165" t="s">
        <v>29</v>
      </c>
      <c r="D154" s="4">
        <v>0.36</v>
      </c>
      <c r="E154" s="187" t="s">
        <v>229</v>
      </c>
      <c r="F154" s="342">
        <f>IF(OR(Tableau145[[#This Row],[Type]]="Feuillus",Tableau145[[#This Row],[Type]]="Peupliers"),1.56,1.3)</f>
        <v>1.3</v>
      </c>
      <c r="I154" s="55">
        <v>149</v>
      </c>
      <c r="J154" s="33">
        <f t="shared" si="91"/>
        <v>0</v>
      </c>
      <c r="K154" s="33">
        <f t="shared" si="92"/>
        <v>0</v>
      </c>
      <c r="L154" s="33">
        <f t="shared" si="93"/>
        <v>0</v>
      </c>
      <c r="M154" s="33">
        <f t="shared" si="94"/>
        <v>0</v>
      </c>
      <c r="N154" s="33">
        <f t="shared" si="75"/>
        <v>0</v>
      </c>
      <c r="O154" s="34">
        <f t="shared" si="76"/>
        <v>0</v>
      </c>
      <c r="P154" s="55">
        <v>149</v>
      </c>
      <c r="Q154" s="33">
        <f t="shared" si="89"/>
        <v>0</v>
      </c>
      <c r="R154" s="33">
        <f t="shared" si="95"/>
        <v>0</v>
      </c>
      <c r="S154" s="33">
        <f t="shared" si="96"/>
        <v>0</v>
      </c>
      <c r="T154" s="33">
        <f t="shared" si="77"/>
        <v>0</v>
      </c>
      <c r="U154" s="33">
        <f t="shared" si="90"/>
        <v>0</v>
      </c>
      <c r="V154" s="33">
        <f t="shared" si="78"/>
        <v>0</v>
      </c>
      <c r="W154" s="33">
        <v>0</v>
      </c>
      <c r="X154" s="33">
        <f t="shared" si="79"/>
        <v>0</v>
      </c>
      <c r="Y154" s="38">
        <f t="shared" si="80"/>
        <v>0</v>
      </c>
      <c r="AA154" s="71">
        <v>149</v>
      </c>
      <c r="AB154" s="33">
        <f t="shared" si="81"/>
        <v>0</v>
      </c>
      <c r="AC154" s="304">
        <f t="shared" si="72"/>
        <v>0</v>
      </c>
      <c r="AD154" s="100">
        <f t="shared" si="82"/>
        <v>0</v>
      </c>
      <c r="AE154" s="100">
        <f t="shared" si="83"/>
        <v>0</v>
      </c>
      <c r="AF154" s="193">
        <f t="shared" si="68"/>
        <v>0</v>
      </c>
      <c r="AG154" s="193">
        <f t="shared" si="69"/>
        <v>0</v>
      </c>
      <c r="AH154" s="193">
        <f t="shared" si="70"/>
        <v>0</v>
      </c>
      <c r="AI154" s="198">
        <f t="shared" si="71"/>
        <v>0</v>
      </c>
      <c r="AK154" s="71">
        <v>149</v>
      </c>
      <c r="AL154" s="33">
        <f t="shared" si="84"/>
        <v>0</v>
      </c>
      <c r="AM154" s="33">
        <f t="shared" si="85"/>
        <v>0</v>
      </c>
      <c r="AN154" s="33">
        <f t="shared" si="86"/>
        <v>0</v>
      </c>
      <c r="AO154" s="33">
        <f t="shared" si="87"/>
        <v>0</v>
      </c>
      <c r="AP154" s="33">
        <f t="shared" si="88"/>
        <v>0</v>
      </c>
      <c r="AQ154" s="193">
        <f t="shared" si="74"/>
        <v>0</v>
      </c>
      <c r="AR154" s="193">
        <f t="shared" si="74"/>
        <v>0</v>
      </c>
      <c r="AS154" s="193">
        <f t="shared" si="74"/>
        <v>0</v>
      </c>
      <c r="AT154" s="193">
        <f t="shared" si="73"/>
        <v>0</v>
      </c>
      <c r="AU154" s="33"/>
      <c r="AV154" s="33"/>
      <c r="AW154" s="33"/>
      <c r="AX154" s="33"/>
      <c r="AY154" s="76"/>
    </row>
    <row r="155" spans="3:51">
      <c r="C155" s="165" t="s">
        <v>30</v>
      </c>
      <c r="D155" s="4">
        <v>0.51</v>
      </c>
      <c r="E155" s="187" t="s">
        <v>228</v>
      </c>
      <c r="F155" s="342">
        <f>IF(OR(Tableau145[[#This Row],[Type]]="Feuillus",Tableau145[[#This Row],[Type]]="Peupliers"),1.56,1.3)</f>
        <v>1.56</v>
      </c>
      <c r="I155" s="55">
        <v>150</v>
      </c>
      <c r="J155" s="33">
        <f t="shared" si="91"/>
        <v>0</v>
      </c>
      <c r="K155" s="33">
        <f t="shared" si="92"/>
        <v>0</v>
      </c>
      <c r="L155" s="33">
        <f t="shared" si="93"/>
        <v>0</v>
      </c>
      <c r="M155" s="33">
        <f t="shared" si="94"/>
        <v>0</v>
      </c>
      <c r="N155" s="33">
        <f t="shared" si="75"/>
        <v>0</v>
      </c>
      <c r="O155" s="34">
        <f t="shared" si="76"/>
        <v>0</v>
      </c>
      <c r="P155" s="55">
        <v>150</v>
      </c>
      <c r="Q155" s="33">
        <f t="shared" si="89"/>
        <v>0</v>
      </c>
      <c r="R155" s="33">
        <f t="shared" si="95"/>
        <v>0</v>
      </c>
      <c r="S155" s="33">
        <f t="shared" si="96"/>
        <v>0</v>
      </c>
      <c r="T155" s="33">
        <f t="shared" si="77"/>
        <v>0</v>
      </c>
      <c r="U155" s="33">
        <f t="shared" si="90"/>
        <v>0</v>
      </c>
      <c r="V155" s="33">
        <f t="shared" si="78"/>
        <v>0</v>
      </c>
      <c r="W155" s="33">
        <v>0</v>
      </c>
      <c r="X155" s="33">
        <f t="shared" si="79"/>
        <v>0</v>
      </c>
      <c r="Y155" s="38">
        <f t="shared" si="80"/>
        <v>0</v>
      </c>
      <c r="AA155" s="71">
        <v>150</v>
      </c>
      <c r="AB155" s="33">
        <f t="shared" si="81"/>
        <v>0</v>
      </c>
      <c r="AC155" s="304">
        <f t="shared" si="72"/>
        <v>0</v>
      </c>
      <c r="AD155" s="100">
        <f t="shared" si="82"/>
        <v>0</v>
      </c>
      <c r="AE155" s="100">
        <f t="shared" si="83"/>
        <v>0</v>
      </c>
      <c r="AF155" s="193">
        <f t="shared" ref="AF155:AF205" si="97">IF(OR(AA155&lt;=$F$18,AA155&lt;=30),EXP(-LN(2)/$D$104)*AF154+((1-EXP(-LN(2)/$D$104))/(LN(2)/$D$104))*$AB155*AC155*0.475*$F$19*44/12,)</f>
        <v>0</v>
      </c>
      <c r="AG155" s="193">
        <f t="shared" ref="AG155:AG205" si="98">IF(OR(AA155&lt;=$F$18,AA155&lt;=30),EXP(-LN(2)/$D$106)*AG154+((1-EXP(-LN(2)/$D$106))/(LN(2)/$D$106))*$AB155*AD155*0.475*$F$19*44/12,)</f>
        <v>0</v>
      </c>
      <c r="AH155" s="193">
        <f t="shared" ref="AH155:AH205" si="99">IF(OR(AA155&lt;=$F$18,AA155&lt;=30),EXP(-LN(2)/$D$105)*AH154+((1-EXP(-LN(2)/$D$105))/(LN(2)/$D$105))*$AB155*AE155*0.475*$F$19*44/12,)</f>
        <v>0</v>
      </c>
      <c r="AI155" s="198">
        <f t="shared" ref="AI155:AI205" si="100">IF(OR(AA155&lt;=$F$18,AA155&lt;=30),SUM(AF155:AH155),)</f>
        <v>0</v>
      </c>
      <c r="AK155" s="71">
        <v>150</v>
      </c>
      <c r="AL155" s="33">
        <f t="shared" si="84"/>
        <v>0</v>
      </c>
      <c r="AM155" s="33">
        <f t="shared" si="85"/>
        <v>0</v>
      </c>
      <c r="AN155" s="33">
        <f t="shared" si="86"/>
        <v>0</v>
      </c>
      <c r="AO155" s="33">
        <f t="shared" si="87"/>
        <v>0</v>
      </c>
      <c r="AP155" s="33">
        <f t="shared" si="88"/>
        <v>0</v>
      </c>
      <c r="AQ155" s="193">
        <f t="shared" si="74"/>
        <v>0</v>
      </c>
      <c r="AR155" s="193">
        <f t="shared" si="74"/>
        <v>0</v>
      </c>
      <c r="AS155" s="193">
        <f t="shared" si="74"/>
        <v>0</v>
      </c>
      <c r="AT155" s="193">
        <f t="shared" si="73"/>
        <v>0</v>
      </c>
      <c r="AU155" s="33"/>
      <c r="AV155" s="33"/>
      <c r="AW155" s="33"/>
      <c r="AX155" s="33"/>
      <c r="AY155" s="76"/>
    </row>
    <row r="156" spans="3:51">
      <c r="C156" s="165" t="s">
        <v>31</v>
      </c>
      <c r="D156" s="4">
        <v>0.56000000000000005</v>
      </c>
      <c r="E156" s="187" t="s">
        <v>228</v>
      </c>
      <c r="F156" s="342">
        <f>IF(OR(Tableau145[[#This Row],[Type]]="Feuillus",Tableau145[[#This Row],[Type]]="Peupliers"),1.56,1.3)</f>
        <v>1.56</v>
      </c>
      <c r="I156" s="55">
        <v>151</v>
      </c>
      <c r="J156" s="33">
        <f t="shared" si="91"/>
        <v>0</v>
      </c>
      <c r="K156" s="33">
        <f t="shared" si="92"/>
        <v>0</v>
      </c>
      <c r="L156" s="33">
        <f t="shared" si="93"/>
        <v>0</v>
      </c>
      <c r="M156" s="33">
        <f t="shared" si="94"/>
        <v>0</v>
      </c>
      <c r="N156" s="33">
        <f t="shared" si="75"/>
        <v>0</v>
      </c>
      <c r="O156" s="34">
        <f t="shared" si="76"/>
        <v>0</v>
      </c>
      <c r="P156" s="55">
        <v>151</v>
      </c>
      <c r="Q156" s="33">
        <f t="shared" si="89"/>
        <v>0</v>
      </c>
      <c r="R156" s="33">
        <f t="shared" si="95"/>
        <v>0</v>
      </c>
      <c r="S156" s="33">
        <f t="shared" si="96"/>
        <v>0</v>
      </c>
      <c r="T156" s="33">
        <f t="shared" si="77"/>
        <v>0</v>
      </c>
      <c r="U156" s="33">
        <f t="shared" si="90"/>
        <v>0</v>
      </c>
      <c r="V156" s="33">
        <f t="shared" si="78"/>
        <v>0</v>
      </c>
      <c r="W156" s="33">
        <v>0</v>
      </c>
      <c r="X156" s="33">
        <f t="shared" si="79"/>
        <v>0</v>
      </c>
      <c r="Y156" s="38">
        <f t="shared" si="80"/>
        <v>0</v>
      </c>
      <c r="AA156" s="71">
        <v>151</v>
      </c>
      <c r="AB156" s="33">
        <f t="shared" si="81"/>
        <v>0</v>
      </c>
      <c r="AC156" s="304">
        <f t="shared" si="72"/>
        <v>0</v>
      </c>
      <c r="AD156" s="100">
        <f t="shared" si="82"/>
        <v>0</v>
      </c>
      <c r="AE156" s="100">
        <f t="shared" si="83"/>
        <v>0</v>
      </c>
      <c r="AF156" s="193">
        <f t="shared" si="97"/>
        <v>0</v>
      </c>
      <c r="AG156" s="193">
        <f t="shared" si="98"/>
        <v>0</v>
      </c>
      <c r="AH156" s="193">
        <f t="shared" si="99"/>
        <v>0</v>
      </c>
      <c r="AI156" s="198">
        <f t="shared" si="100"/>
        <v>0</v>
      </c>
      <c r="AK156" s="71">
        <v>151</v>
      </c>
      <c r="AL156" s="33">
        <f t="shared" si="84"/>
        <v>0</v>
      </c>
      <c r="AM156" s="33">
        <f t="shared" si="85"/>
        <v>0</v>
      </c>
      <c r="AN156" s="33">
        <f t="shared" si="86"/>
        <v>0</v>
      </c>
      <c r="AO156" s="33">
        <f t="shared" si="87"/>
        <v>0</v>
      </c>
      <c r="AP156" s="33">
        <f t="shared" si="88"/>
        <v>0</v>
      </c>
      <c r="AQ156" s="193">
        <f t="shared" si="74"/>
        <v>0</v>
      </c>
      <c r="AR156" s="193">
        <f t="shared" si="74"/>
        <v>0</v>
      </c>
      <c r="AS156" s="193">
        <f t="shared" si="74"/>
        <v>0</v>
      </c>
      <c r="AT156" s="193">
        <f t="shared" si="73"/>
        <v>0</v>
      </c>
      <c r="AU156" s="33"/>
      <c r="AV156" s="33"/>
      <c r="AW156" s="33"/>
      <c r="AX156" s="33"/>
      <c r="AY156" s="76"/>
    </row>
    <row r="157" spans="3:51">
      <c r="C157" s="165" t="s">
        <v>32</v>
      </c>
      <c r="D157" s="4">
        <v>0.56000000000000005</v>
      </c>
      <c r="E157" s="187" t="s">
        <v>228</v>
      </c>
      <c r="F157" s="342">
        <f>IF(OR(Tableau145[[#This Row],[Type]]="Feuillus",Tableau145[[#This Row],[Type]]="Peupliers"),1.56,1.3)</f>
        <v>1.56</v>
      </c>
      <c r="I157" s="55">
        <v>152</v>
      </c>
      <c r="J157" s="33">
        <f t="shared" si="91"/>
        <v>0</v>
      </c>
      <c r="K157" s="33">
        <f t="shared" si="92"/>
        <v>0</v>
      </c>
      <c r="L157" s="33">
        <f t="shared" si="93"/>
        <v>0</v>
      </c>
      <c r="M157" s="33">
        <f t="shared" si="94"/>
        <v>0</v>
      </c>
      <c r="N157" s="33">
        <f t="shared" si="75"/>
        <v>0</v>
      </c>
      <c r="O157" s="34">
        <f t="shared" si="76"/>
        <v>0</v>
      </c>
      <c r="P157" s="55">
        <v>152</v>
      </c>
      <c r="Q157" s="33">
        <f t="shared" si="89"/>
        <v>0</v>
      </c>
      <c r="R157" s="33">
        <f t="shared" si="95"/>
        <v>0</v>
      </c>
      <c r="S157" s="33">
        <f t="shared" si="96"/>
        <v>0</v>
      </c>
      <c r="T157" s="33">
        <f t="shared" si="77"/>
        <v>0</v>
      </c>
      <c r="U157" s="33">
        <f t="shared" si="90"/>
        <v>0</v>
      </c>
      <c r="V157" s="33">
        <f t="shared" si="78"/>
        <v>0</v>
      </c>
      <c r="W157" s="33">
        <v>0</v>
      </c>
      <c r="X157" s="33">
        <f t="shared" si="79"/>
        <v>0</v>
      </c>
      <c r="Y157" s="38">
        <f t="shared" si="80"/>
        <v>0</v>
      </c>
      <c r="AA157" s="71">
        <v>152</v>
      </c>
      <c r="AB157" s="33">
        <f t="shared" si="81"/>
        <v>0</v>
      </c>
      <c r="AC157" s="304">
        <f t="shared" si="72"/>
        <v>0</v>
      </c>
      <c r="AD157" s="100">
        <f t="shared" si="82"/>
        <v>0</v>
      </c>
      <c r="AE157" s="100">
        <f t="shared" si="83"/>
        <v>0</v>
      </c>
      <c r="AF157" s="193">
        <f t="shared" si="97"/>
        <v>0</v>
      </c>
      <c r="AG157" s="193">
        <f t="shared" si="98"/>
        <v>0</v>
      </c>
      <c r="AH157" s="193">
        <f t="shared" si="99"/>
        <v>0</v>
      </c>
      <c r="AI157" s="198">
        <f t="shared" si="100"/>
        <v>0</v>
      </c>
      <c r="AK157" s="71">
        <v>152</v>
      </c>
      <c r="AL157" s="33">
        <f t="shared" si="84"/>
        <v>0</v>
      </c>
      <c r="AM157" s="33">
        <f t="shared" si="85"/>
        <v>0</v>
      </c>
      <c r="AN157" s="33">
        <f t="shared" si="86"/>
        <v>0</v>
      </c>
      <c r="AO157" s="33">
        <f t="shared" si="87"/>
        <v>0</v>
      </c>
      <c r="AP157" s="33">
        <f t="shared" si="88"/>
        <v>0</v>
      </c>
      <c r="AQ157" s="193">
        <f t="shared" si="74"/>
        <v>0</v>
      </c>
      <c r="AR157" s="193">
        <f t="shared" si="74"/>
        <v>0</v>
      </c>
      <c r="AS157" s="193">
        <f t="shared" si="74"/>
        <v>0</v>
      </c>
      <c r="AT157" s="193">
        <f t="shared" si="73"/>
        <v>0</v>
      </c>
      <c r="AU157" s="33"/>
      <c r="AV157" s="33"/>
      <c r="AW157" s="33"/>
      <c r="AX157" s="33"/>
      <c r="AY157" s="76"/>
    </row>
    <row r="158" spans="3:51">
      <c r="C158" s="165" t="s">
        <v>33</v>
      </c>
      <c r="D158" s="4">
        <v>0.48</v>
      </c>
      <c r="E158" s="187" t="s">
        <v>228</v>
      </c>
      <c r="F158" s="342">
        <f>IF(OR(Tableau145[[#This Row],[Type]]="Feuillus",Tableau145[[#This Row],[Type]]="Peupliers"),1.56,1.3)</f>
        <v>1.56</v>
      </c>
      <c r="I158" s="55">
        <v>153</v>
      </c>
      <c r="J158" s="33">
        <f t="shared" si="91"/>
        <v>0</v>
      </c>
      <c r="K158" s="33">
        <f t="shared" si="92"/>
        <v>0</v>
      </c>
      <c r="L158" s="33">
        <f t="shared" si="93"/>
        <v>0</v>
      </c>
      <c r="M158" s="33">
        <f t="shared" si="94"/>
        <v>0</v>
      </c>
      <c r="N158" s="33">
        <f t="shared" si="75"/>
        <v>0</v>
      </c>
      <c r="O158" s="34">
        <f t="shared" si="76"/>
        <v>0</v>
      </c>
      <c r="P158" s="55">
        <v>153</v>
      </c>
      <c r="Q158" s="33">
        <f t="shared" si="89"/>
        <v>0</v>
      </c>
      <c r="R158" s="33">
        <f t="shared" si="95"/>
        <v>0</v>
      </c>
      <c r="S158" s="33">
        <f t="shared" si="96"/>
        <v>0</v>
      </c>
      <c r="T158" s="33">
        <f t="shared" si="77"/>
        <v>0</v>
      </c>
      <c r="U158" s="33">
        <f t="shared" si="90"/>
        <v>0</v>
      </c>
      <c r="V158" s="33">
        <f t="shared" si="78"/>
        <v>0</v>
      </c>
      <c r="W158" s="33">
        <v>0</v>
      </c>
      <c r="X158" s="33">
        <f t="shared" si="79"/>
        <v>0</v>
      </c>
      <c r="Y158" s="38">
        <f t="shared" si="80"/>
        <v>0</v>
      </c>
      <c r="AA158" s="71">
        <v>153</v>
      </c>
      <c r="AB158" s="33">
        <f t="shared" si="81"/>
        <v>0</v>
      </c>
      <c r="AC158" s="304">
        <f t="shared" si="72"/>
        <v>0</v>
      </c>
      <c r="AD158" s="100">
        <f t="shared" si="82"/>
        <v>0</v>
      </c>
      <c r="AE158" s="100">
        <f t="shared" si="83"/>
        <v>0</v>
      </c>
      <c r="AF158" s="193">
        <f t="shared" si="97"/>
        <v>0</v>
      </c>
      <c r="AG158" s="193">
        <f t="shared" si="98"/>
        <v>0</v>
      </c>
      <c r="AH158" s="193">
        <f t="shared" si="99"/>
        <v>0</v>
      </c>
      <c r="AI158" s="198">
        <f t="shared" si="100"/>
        <v>0</v>
      </c>
      <c r="AK158" s="71">
        <v>153</v>
      </c>
      <c r="AL158" s="33">
        <f t="shared" si="84"/>
        <v>0</v>
      </c>
      <c r="AM158" s="33">
        <f t="shared" si="85"/>
        <v>0</v>
      </c>
      <c r="AN158" s="33">
        <f t="shared" si="86"/>
        <v>0</v>
      </c>
      <c r="AO158" s="33">
        <f t="shared" si="87"/>
        <v>0</v>
      </c>
      <c r="AP158" s="33">
        <f t="shared" si="88"/>
        <v>0</v>
      </c>
      <c r="AQ158" s="193">
        <f t="shared" si="74"/>
        <v>0</v>
      </c>
      <c r="AR158" s="193">
        <f t="shared" si="74"/>
        <v>0</v>
      </c>
      <c r="AS158" s="193">
        <f t="shared" si="74"/>
        <v>0</v>
      </c>
      <c r="AT158" s="193">
        <f t="shared" si="73"/>
        <v>0</v>
      </c>
      <c r="AU158" s="33"/>
      <c r="AV158" s="33"/>
      <c r="AW158" s="33"/>
      <c r="AX158" s="33"/>
      <c r="AY158" s="76"/>
    </row>
    <row r="159" spans="3:51">
      <c r="C159" s="165" t="s">
        <v>34</v>
      </c>
      <c r="D159" s="4">
        <v>0.55000000000000004</v>
      </c>
      <c r="E159" s="187" t="s">
        <v>228</v>
      </c>
      <c r="F159" s="342">
        <f>IF(OR(Tableau145[[#This Row],[Type]]="Feuillus",Tableau145[[#This Row],[Type]]="Peupliers"),1.56,1.3)</f>
        <v>1.56</v>
      </c>
      <c r="I159" s="55">
        <v>154</v>
      </c>
      <c r="J159" s="33">
        <f t="shared" si="91"/>
        <v>0</v>
      </c>
      <c r="K159" s="33">
        <f t="shared" si="92"/>
        <v>0</v>
      </c>
      <c r="L159" s="33">
        <f t="shared" si="93"/>
        <v>0</v>
      </c>
      <c r="M159" s="33">
        <f t="shared" si="94"/>
        <v>0</v>
      </c>
      <c r="N159" s="33">
        <f t="shared" si="75"/>
        <v>0</v>
      </c>
      <c r="O159" s="34">
        <f t="shared" si="76"/>
        <v>0</v>
      </c>
      <c r="P159" s="55">
        <v>154</v>
      </c>
      <c r="Q159" s="33">
        <f t="shared" si="89"/>
        <v>0</v>
      </c>
      <c r="R159" s="33">
        <f t="shared" si="95"/>
        <v>0</v>
      </c>
      <c r="S159" s="33">
        <f t="shared" si="96"/>
        <v>0</v>
      </c>
      <c r="T159" s="33">
        <f t="shared" si="77"/>
        <v>0</v>
      </c>
      <c r="U159" s="33">
        <f t="shared" si="90"/>
        <v>0</v>
      </c>
      <c r="V159" s="33">
        <f t="shared" si="78"/>
        <v>0</v>
      </c>
      <c r="W159" s="33">
        <v>0</v>
      </c>
      <c r="X159" s="33">
        <f t="shared" si="79"/>
        <v>0</v>
      </c>
      <c r="Y159" s="38">
        <f t="shared" si="80"/>
        <v>0</v>
      </c>
      <c r="AA159" s="71">
        <v>154</v>
      </c>
      <c r="AB159" s="33">
        <f t="shared" si="81"/>
        <v>0</v>
      </c>
      <c r="AC159" s="304">
        <f t="shared" ref="AC159:AC205" si="101">IF(AA159&lt;=$F$18,IFERROR(VLOOKUP($AA159,$B$82:$G$94,3,FALSE),0),)*50%</f>
        <v>0</v>
      </c>
      <c r="AD159" s="100">
        <f t="shared" si="82"/>
        <v>0</v>
      </c>
      <c r="AE159" s="100">
        <f t="shared" si="83"/>
        <v>0</v>
      </c>
      <c r="AF159" s="193">
        <f t="shared" si="97"/>
        <v>0</v>
      </c>
      <c r="AG159" s="193">
        <f t="shared" si="98"/>
        <v>0</v>
      </c>
      <c r="AH159" s="193">
        <f t="shared" si="99"/>
        <v>0</v>
      </c>
      <c r="AI159" s="198">
        <f t="shared" si="100"/>
        <v>0</v>
      </c>
      <c r="AK159" s="71">
        <v>154</v>
      </c>
      <c r="AL159" s="33">
        <f t="shared" si="84"/>
        <v>0</v>
      </c>
      <c r="AM159" s="33">
        <f t="shared" si="85"/>
        <v>0</v>
      </c>
      <c r="AN159" s="33">
        <f t="shared" si="86"/>
        <v>0</v>
      </c>
      <c r="AO159" s="33">
        <f t="shared" si="87"/>
        <v>0</v>
      </c>
      <c r="AP159" s="33">
        <f t="shared" si="88"/>
        <v>0</v>
      </c>
      <c r="AQ159" s="193">
        <f t="shared" si="74"/>
        <v>0</v>
      </c>
      <c r="AR159" s="193">
        <f t="shared" si="74"/>
        <v>0</v>
      </c>
      <c r="AS159" s="193">
        <f t="shared" si="74"/>
        <v>0</v>
      </c>
      <c r="AT159" s="193">
        <f t="shared" si="73"/>
        <v>0</v>
      </c>
      <c r="AU159" s="33"/>
      <c r="AV159" s="33"/>
      <c r="AW159" s="33"/>
      <c r="AX159" s="33"/>
      <c r="AY159" s="76"/>
    </row>
    <row r="160" spans="3:51">
      <c r="C160" s="165" t="s">
        <v>35</v>
      </c>
      <c r="D160" s="4">
        <v>0.56000000000000005</v>
      </c>
      <c r="E160" s="187" t="s">
        <v>228</v>
      </c>
      <c r="F160" s="342">
        <f>IF(OR(Tableau145[[#This Row],[Type]]="Feuillus",Tableau145[[#This Row],[Type]]="Peupliers"),1.56,1.3)</f>
        <v>1.56</v>
      </c>
      <c r="I160" s="55">
        <v>155</v>
      </c>
      <c r="J160" s="33">
        <f t="shared" si="91"/>
        <v>0</v>
      </c>
      <c r="K160" s="33">
        <f t="shared" si="92"/>
        <v>0</v>
      </c>
      <c r="L160" s="33">
        <f t="shared" si="93"/>
        <v>0</v>
      </c>
      <c r="M160" s="33">
        <f t="shared" si="94"/>
        <v>0</v>
      </c>
      <c r="N160" s="33">
        <f t="shared" si="75"/>
        <v>0</v>
      </c>
      <c r="O160" s="34">
        <f t="shared" si="76"/>
        <v>0</v>
      </c>
      <c r="P160" s="55">
        <v>155</v>
      </c>
      <c r="Q160" s="33">
        <f t="shared" si="89"/>
        <v>0</v>
      </c>
      <c r="R160" s="33">
        <f t="shared" si="95"/>
        <v>0</v>
      </c>
      <c r="S160" s="33">
        <f t="shared" si="96"/>
        <v>0</v>
      </c>
      <c r="T160" s="33">
        <f t="shared" si="77"/>
        <v>0</v>
      </c>
      <c r="U160" s="33">
        <f t="shared" si="90"/>
        <v>0</v>
      </c>
      <c r="V160" s="33">
        <f t="shared" si="78"/>
        <v>0</v>
      </c>
      <c r="W160" s="33">
        <v>0</v>
      </c>
      <c r="X160" s="33">
        <f t="shared" si="79"/>
        <v>0</v>
      </c>
      <c r="Y160" s="38">
        <f t="shared" si="80"/>
        <v>0</v>
      </c>
      <c r="AA160" s="71">
        <v>155</v>
      </c>
      <c r="AB160" s="33">
        <f t="shared" si="81"/>
        <v>0</v>
      </c>
      <c r="AC160" s="304">
        <f t="shared" si="101"/>
        <v>0</v>
      </c>
      <c r="AD160" s="100">
        <f t="shared" si="82"/>
        <v>0</v>
      </c>
      <c r="AE160" s="100">
        <f t="shared" si="83"/>
        <v>0</v>
      </c>
      <c r="AF160" s="193">
        <f t="shared" si="97"/>
        <v>0</v>
      </c>
      <c r="AG160" s="193">
        <f t="shared" si="98"/>
        <v>0</v>
      </c>
      <c r="AH160" s="193">
        <f t="shared" si="99"/>
        <v>0</v>
      </c>
      <c r="AI160" s="198">
        <f t="shared" si="100"/>
        <v>0</v>
      </c>
      <c r="AK160" s="71">
        <v>155</v>
      </c>
      <c r="AL160" s="33">
        <f t="shared" si="84"/>
        <v>0</v>
      </c>
      <c r="AM160" s="33">
        <f t="shared" si="85"/>
        <v>0</v>
      </c>
      <c r="AN160" s="33">
        <f t="shared" si="86"/>
        <v>0</v>
      </c>
      <c r="AO160" s="33">
        <f t="shared" si="87"/>
        <v>0</v>
      </c>
      <c r="AP160" s="33">
        <f t="shared" si="88"/>
        <v>0</v>
      </c>
      <c r="AQ160" s="193">
        <f t="shared" si="74"/>
        <v>0</v>
      </c>
      <c r="AR160" s="193">
        <f t="shared" si="74"/>
        <v>0</v>
      </c>
      <c r="AS160" s="193">
        <f t="shared" si="74"/>
        <v>0</v>
      </c>
      <c r="AT160" s="193">
        <f t="shared" si="73"/>
        <v>0</v>
      </c>
      <c r="AU160" s="33"/>
      <c r="AV160" s="33"/>
      <c r="AW160" s="33"/>
      <c r="AX160" s="33"/>
      <c r="AY160" s="76"/>
    </row>
    <row r="161" spans="3:51">
      <c r="C161" s="165" t="s">
        <v>36</v>
      </c>
      <c r="D161" s="4">
        <v>0.57999999999999996</v>
      </c>
      <c r="E161" s="187" t="s">
        <v>228</v>
      </c>
      <c r="F161" s="342">
        <f>IF(OR(Tableau145[[#This Row],[Type]]="Feuillus",Tableau145[[#This Row],[Type]]="Peupliers"),1.56,1.3)</f>
        <v>1.56</v>
      </c>
      <c r="I161" s="55">
        <v>156</v>
      </c>
      <c r="J161" s="33">
        <f t="shared" si="91"/>
        <v>0</v>
      </c>
      <c r="K161" s="33">
        <f t="shared" si="92"/>
        <v>0</v>
      </c>
      <c r="L161" s="33">
        <f t="shared" si="93"/>
        <v>0</v>
      </c>
      <c r="M161" s="33">
        <f t="shared" si="94"/>
        <v>0</v>
      </c>
      <c r="N161" s="33">
        <f t="shared" si="75"/>
        <v>0</v>
      </c>
      <c r="O161" s="34">
        <f t="shared" si="76"/>
        <v>0</v>
      </c>
      <c r="P161" s="55">
        <v>156</v>
      </c>
      <c r="Q161" s="33">
        <f t="shared" si="89"/>
        <v>0</v>
      </c>
      <c r="R161" s="33">
        <f t="shared" si="95"/>
        <v>0</v>
      </c>
      <c r="S161" s="33">
        <f t="shared" si="96"/>
        <v>0</v>
      </c>
      <c r="T161" s="33">
        <f t="shared" si="77"/>
        <v>0</v>
      </c>
      <c r="U161" s="33">
        <f t="shared" si="90"/>
        <v>0</v>
      </c>
      <c r="V161" s="33">
        <f t="shared" si="78"/>
        <v>0</v>
      </c>
      <c r="W161" s="33">
        <v>0</v>
      </c>
      <c r="X161" s="33">
        <f t="shared" si="79"/>
        <v>0</v>
      </c>
      <c r="Y161" s="38">
        <f t="shared" si="80"/>
        <v>0</v>
      </c>
      <c r="AA161" s="71">
        <v>156</v>
      </c>
      <c r="AB161" s="33">
        <f t="shared" si="81"/>
        <v>0</v>
      </c>
      <c r="AC161" s="304">
        <f t="shared" si="101"/>
        <v>0</v>
      </c>
      <c r="AD161" s="100">
        <f t="shared" si="82"/>
        <v>0</v>
      </c>
      <c r="AE161" s="100">
        <f t="shared" si="83"/>
        <v>0</v>
      </c>
      <c r="AF161" s="193">
        <f t="shared" si="97"/>
        <v>0</v>
      </c>
      <c r="AG161" s="193">
        <f t="shared" si="98"/>
        <v>0</v>
      </c>
      <c r="AH161" s="193">
        <f t="shared" si="99"/>
        <v>0</v>
      </c>
      <c r="AI161" s="198">
        <f t="shared" si="100"/>
        <v>0</v>
      </c>
      <c r="AK161" s="71">
        <v>156</v>
      </c>
      <c r="AL161" s="33">
        <f t="shared" si="84"/>
        <v>0</v>
      </c>
      <c r="AM161" s="33">
        <f t="shared" si="85"/>
        <v>0</v>
      </c>
      <c r="AN161" s="33">
        <f t="shared" si="86"/>
        <v>0</v>
      </c>
      <c r="AO161" s="33">
        <f t="shared" si="87"/>
        <v>0</v>
      </c>
      <c r="AP161" s="33">
        <f t="shared" si="88"/>
        <v>0</v>
      </c>
      <c r="AQ161" s="193">
        <f t="shared" si="74"/>
        <v>0</v>
      </c>
      <c r="AR161" s="193">
        <f t="shared" si="74"/>
        <v>0</v>
      </c>
      <c r="AS161" s="193">
        <f t="shared" si="74"/>
        <v>0</v>
      </c>
      <c r="AT161" s="193">
        <f t="shared" si="73"/>
        <v>0</v>
      </c>
      <c r="AU161" s="33"/>
      <c r="AV161" s="33"/>
      <c r="AW161" s="33"/>
      <c r="AX161" s="33"/>
      <c r="AY161" s="76"/>
    </row>
    <row r="162" spans="3:51">
      <c r="C162" s="165" t="s">
        <v>37</v>
      </c>
      <c r="D162" s="4">
        <v>0.57999999999999996</v>
      </c>
      <c r="E162" s="187" t="s">
        <v>229</v>
      </c>
      <c r="F162" s="342">
        <f>IF(OR(Tableau145[[#This Row],[Type]]="Feuillus",Tableau145[[#This Row],[Type]]="Peupliers"),1.56,1.3)</f>
        <v>1.3</v>
      </c>
      <c r="I162" s="55">
        <v>157</v>
      </c>
      <c r="J162" s="33">
        <f t="shared" si="91"/>
        <v>0</v>
      </c>
      <c r="K162" s="33">
        <f t="shared" si="92"/>
        <v>0</v>
      </c>
      <c r="L162" s="33">
        <f t="shared" si="93"/>
        <v>0</v>
      </c>
      <c r="M162" s="33">
        <f t="shared" si="94"/>
        <v>0</v>
      </c>
      <c r="N162" s="33">
        <f t="shared" si="75"/>
        <v>0</v>
      </c>
      <c r="O162" s="34">
        <f t="shared" si="76"/>
        <v>0</v>
      </c>
      <c r="P162" s="55">
        <v>157</v>
      </c>
      <c r="Q162" s="33">
        <f t="shared" si="89"/>
        <v>0</v>
      </c>
      <c r="R162" s="33">
        <f t="shared" si="95"/>
        <v>0</v>
      </c>
      <c r="S162" s="33">
        <f t="shared" si="96"/>
        <v>0</v>
      </c>
      <c r="T162" s="33">
        <f t="shared" si="77"/>
        <v>0</v>
      </c>
      <c r="U162" s="33">
        <f t="shared" si="90"/>
        <v>0</v>
      </c>
      <c r="V162" s="33">
        <f t="shared" si="78"/>
        <v>0</v>
      </c>
      <c r="W162" s="33">
        <v>0</v>
      </c>
      <c r="X162" s="33">
        <f t="shared" si="79"/>
        <v>0</v>
      </c>
      <c r="Y162" s="38">
        <f t="shared" si="80"/>
        <v>0</v>
      </c>
      <c r="AA162" s="71">
        <v>157</v>
      </c>
      <c r="AB162" s="33">
        <f t="shared" si="81"/>
        <v>0</v>
      </c>
      <c r="AC162" s="304">
        <f t="shared" si="101"/>
        <v>0</v>
      </c>
      <c r="AD162" s="100">
        <f t="shared" si="82"/>
        <v>0</v>
      </c>
      <c r="AE162" s="100">
        <f t="shared" si="83"/>
        <v>0</v>
      </c>
      <c r="AF162" s="193">
        <f t="shared" si="97"/>
        <v>0</v>
      </c>
      <c r="AG162" s="193">
        <f t="shared" si="98"/>
        <v>0</v>
      </c>
      <c r="AH162" s="193">
        <f t="shared" si="99"/>
        <v>0</v>
      </c>
      <c r="AI162" s="198">
        <f t="shared" si="100"/>
        <v>0</v>
      </c>
      <c r="AK162" s="71">
        <v>157</v>
      </c>
      <c r="AL162" s="33">
        <f t="shared" si="84"/>
        <v>0</v>
      </c>
      <c r="AM162" s="33">
        <f t="shared" si="85"/>
        <v>0</v>
      </c>
      <c r="AN162" s="33">
        <f t="shared" si="86"/>
        <v>0</v>
      </c>
      <c r="AO162" s="33">
        <f t="shared" si="87"/>
        <v>0</v>
      </c>
      <c r="AP162" s="33">
        <f t="shared" si="88"/>
        <v>0</v>
      </c>
      <c r="AQ162" s="193">
        <f t="shared" si="74"/>
        <v>0</v>
      </c>
      <c r="AR162" s="193">
        <f t="shared" si="74"/>
        <v>0</v>
      </c>
      <c r="AS162" s="193">
        <f t="shared" si="74"/>
        <v>0</v>
      </c>
      <c r="AT162" s="193">
        <f t="shared" si="73"/>
        <v>0</v>
      </c>
      <c r="AU162" s="33"/>
      <c r="AV162" s="33"/>
      <c r="AW162" s="33"/>
      <c r="AX162" s="33"/>
      <c r="AY162" s="76"/>
    </row>
    <row r="163" spans="3:51">
      <c r="C163" s="165" t="s">
        <v>38</v>
      </c>
      <c r="D163" s="4">
        <v>0.48</v>
      </c>
      <c r="E163" s="187" t="s">
        <v>229</v>
      </c>
      <c r="F163" s="342">
        <f>IF(OR(Tableau145[[#This Row],[Type]]="Feuillus",Tableau145[[#This Row],[Type]]="Peupliers"),1.56,1.3)</f>
        <v>1.3</v>
      </c>
      <c r="I163" s="55">
        <v>158</v>
      </c>
      <c r="J163" s="33">
        <f t="shared" si="91"/>
        <v>0</v>
      </c>
      <c r="K163" s="33">
        <f t="shared" si="92"/>
        <v>0</v>
      </c>
      <c r="L163" s="33">
        <f t="shared" si="93"/>
        <v>0</v>
      </c>
      <c r="M163" s="33">
        <f t="shared" si="94"/>
        <v>0</v>
      </c>
      <c r="N163" s="33">
        <f t="shared" si="75"/>
        <v>0</v>
      </c>
      <c r="O163" s="34">
        <f t="shared" si="76"/>
        <v>0</v>
      </c>
      <c r="P163" s="55">
        <v>158</v>
      </c>
      <c r="Q163" s="33">
        <f t="shared" si="89"/>
        <v>0</v>
      </c>
      <c r="R163" s="33">
        <f t="shared" si="95"/>
        <v>0</v>
      </c>
      <c r="S163" s="33">
        <f t="shared" si="96"/>
        <v>0</v>
      </c>
      <c r="T163" s="33">
        <f t="shared" si="77"/>
        <v>0</v>
      </c>
      <c r="U163" s="33">
        <f t="shared" si="90"/>
        <v>0</v>
      </c>
      <c r="V163" s="33">
        <f t="shared" si="78"/>
        <v>0</v>
      </c>
      <c r="W163" s="33">
        <v>0</v>
      </c>
      <c r="X163" s="33">
        <f t="shared" si="79"/>
        <v>0</v>
      </c>
      <c r="Y163" s="38">
        <f t="shared" si="80"/>
        <v>0</v>
      </c>
      <c r="AA163" s="71">
        <v>158</v>
      </c>
      <c r="AB163" s="33">
        <f t="shared" si="81"/>
        <v>0</v>
      </c>
      <c r="AC163" s="304">
        <f t="shared" si="101"/>
        <v>0</v>
      </c>
      <c r="AD163" s="100">
        <f t="shared" si="82"/>
        <v>0</v>
      </c>
      <c r="AE163" s="100">
        <f t="shared" si="83"/>
        <v>0</v>
      </c>
      <c r="AF163" s="193">
        <f t="shared" si="97"/>
        <v>0</v>
      </c>
      <c r="AG163" s="193">
        <f t="shared" si="98"/>
        <v>0</v>
      </c>
      <c r="AH163" s="193">
        <f t="shared" si="99"/>
        <v>0</v>
      </c>
      <c r="AI163" s="198">
        <f t="shared" si="100"/>
        <v>0</v>
      </c>
      <c r="AK163" s="71">
        <v>158</v>
      </c>
      <c r="AL163" s="33">
        <f t="shared" si="84"/>
        <v>0</v>
      </c>
      <c r="AM163" s="33">
        <f t="shared" si="85"/>
        <v>0</v>
      </c>
      <c r="AN163" s="33">
        <f t="shared" si="86"/>
        <v>0</v>
      </c>
      <c r="AO163" s="33">
        <f t="shared" si="87"/>
        <v>0</v>
      </c>
      <c r="AP163" s="33">
        <f t="shared" si="88"/>
        <v>0</v>
      </c>
      <c r="AQ163" s="193">
        <f t="shared" si="74"/>
        <v>0</v>
      </c>
      <c r="AR163" s="193">
        <f t="shared" si="74"/>
        <v>0</v>
      </c>
      <c r="AS163" s="193">
        <f t="shared" si="74"/>
        <v>0</v>
      </c>
      <c r="AT163" s="193">
        <f t="shared" si="73"/>
        <v>0</v>
      </c>
      <c r="AU163" s="33"/>
      <c r="AV163" s="33"/>
      <c r="AW163" s="33"/>
      <c r="AX163" s="33"/>
      <c r="AY163" s="76"/>
    </row>
    <row r="164" spans="3:51">
      <c r="C164" s="165" t="s">
        <v>39</v>
      </c>
      <c r="D164" s="4">
        <v>0.42</v>
      </c>
      <c r="E164" s="187" t="s">
        <v>229</v>
      </c>
      <c r="F164" s="342">
        <f>IF(OR(Tableau145[[#This Row],[Type]]="Feuillus",Tableau145[[#This Row],[Type]]="Peupliers"),1.56,1.3)</f>
        <v>1.3</v>
      </c>
      <c r="I164" s="55">
        <v>159</v>
      </c>
      <c r="J164" s="33">
        <f t="shared" si="91"/>
        <v>0</v>
      </c>
      <c r="K164" s="33">
        <f t="shared" si="92"/>
        <v>0</v>
      </c>
      <c r="L164" s="33">
        <f t="shared" si="93"/>
        <v>0</v>
      </c>
      <c r="M164" s="33">
        <f t="shared" si="94"/>
        <v>0</v>
      </c>
      <c r="N164" s="33">
        <f t="shared" si="75"/>
        <v>0</v>
      </c>
      <c r="O164" s="34">
        <f t="shared" si="76"/>
        <v>0</v>
      </c>
      <c r="P164" s="55">
        <v>159</v>
      </c>
      <c r="Q164" s="33">
        <f t="shared" si="89"/>
        <v>0</v>
      </c>
      <c r="R164" s="33">
        <f t="shared" si="95"/>
        <v>0</v>
      </c>
      <c r="S164" s="33">
        <f t="shared" si="96"/>
        <v>0</v>
      </c>
      <c r="T164" s="33">
        <f t="shared" si="77"/>
        <v>0</v>
      </c>
      <c r="U164" s="33">
        <f t="shared" si="90"/>
        <v>0</v>
      </c>
      <c r="V164" s="33">
        <f t="shared" si="78"/>
        <v>0</v>
      </c>
      <c r="W164" s="33">
        <v>0</v>
      </c>
      <c r="X164" s="33">
        <f t="shared" si="79"/>
        <v>0</v>
      </c>
      <c r="Y164" s="38">
        <f t="shared" si="80"/>
        <v>0</v>
      </c>
      <c r="AA164" s="71">
        <v>159</v>
      </c>
      <c r="AB164" s="33">
        <f t="shared" si="81"/>
        <v>0</v>
      </c>
      <c r="AC164" s="304">
        <f t="shared" si="101"/>
        <v>0</v>
      </c>
      <c r="AD164" s="100">
        <f t="shared" si="82"/>
        <v>0</v>
      </c>
      <c r="AE164" s="100">
        <f t="shared" si="83"/>
        <v>0</v>
      </c>
      <c r="AF164" s="193">
        <f t="shared" si="97"/>
        <v>0</v>
      </c>
      <c r="AG164" s="193">
        <f t="shared" si="98"/>
        <v>0</v>
      </c>
      <c r="AH164" s="193">
        <f t="shared" si="99"/>
        <v>0</v>
      </c>
      <c r="AI164" s="198">
        <f t="shared" si="100"/>
        <v>0</v>
      </c>
      <c r="AK164" s="71">
        <v>159</v>
      </c>
      <c r="AL164" s="33">
        <f t="shared" si="84"/>
        <v>0</v>
      </c>
      <c r="AM164" s="33">
        <f t="shared" si="85"/>
        <v>0</v>
      </c>
      <c r="AN164" s="33">
        <f t="shared" si="86"/>
        <v>0</v>
      </c>
      <c r="AO164" s="33">
        <f t="shared" si="87"/>
        <v>0</v>
      </c>
      <c r="AP164" s="33">
        <f t="shared" si="88"/>
        <v>0</v>
      </c>
      <c r="AQ164" s="193">
        <f t="shared" si="74"/>
        <v>0</v>
      </c>
      <c r="AR164" s="193">
        <f t="shared" si="74"/>
        <v>0</v>
      </c>
      <c r="AS164" s="193">
        <f t="shared" si="74"/>
        <v>0</v>
      </c>
      <c r="AT164" s="193">
        <f t="shared" si="73"/>
        <v>0</v>
      </c>
      <c r="AU164" s="33"/>
      <c r="AV164" s="33"/>
      <c r="AW164" s="33"/>
      <c r="AX164" s="33"/>
      <c r="AY164" s="76"/>
    </row>
    <row r="165" spans="3:51">
      <c r="C165" s="165" t="s">
        <v>40</v>
      </c>
      <c r="D165" s="4">
        <v>0.5</v>
      </c>
      <c r="E165" s="187" t="s">
        <v>228</v>
      </c>
      <c r="F165" s="342">
        <f>IF(OR(Tableau145[[#This Row],[Type]]="Feuillus",Tableau145[[#This Row],[Type]]="Peupliers"),1.56,1.3)</f>
        <v>1.56</v>
      </c>
      <c r="I165" s="55">
        <v>160</v>
      </c>
      <c r="J165" s="33">
        <f t="shared" si="91"/>
        <v>0</v>
      </c>
      <c r="K165" s="33">
        <f t="shared" si="92"/>
        <v>0</v>
      </c>
      <c r="L165" s="33">
        <f t="shared" si="93"/>
        <v>0</v>
      </c>
      <c r="M165" s="33">
        <f t="shared" si="94"/>
        <v>0</v>
      </c>
      <c r="N165" s="33">
        <f t="shared" si="75"/>
        <v>0</v>
      </c>
      <c r="O165" s="34">
        <f t="shared" si="76"/>
        <v>0</v>
      </c>
      <c r="P165" s="55">
        <v>160</v>
      </c>
      <c r="Q165" s="33">
        <f t="shared" si="89"/>
        <v>0</v>
      </c>
      <c r="R165" s="33">
        <f t="shared" si="95"/>
        <v>0</v>
      </c>
      <c r="S165" s="33">
        <f t="shared" si="96"/>
        <v>0</v>
      </c>
      <c r="T165" s="33">
        <f t="shared" si="77"/>
        <v>0</v>
      </c>
      <c r="U165" s="33">
        <f t="shared" si="90"/>
        <v>0</v>
      </c>
      <c r="V165" s="33">
        <f t="shared" si="78"/>
        <v>0</v>
      </c>
      <c r="W165" s="33">
        <v>0</v>
      </c>
      <c r="X165" s="33">
        <f t="shared" si="79"/>
        <v>0</v>
      </c>
      <c r="Y165" s="38">
        <f t="shared" si="80"/>
        <v>0</v>
      </c>
      <c r="AA165" s="71">
        <v>160</v>
      </c>
      <c r="AB165" s="33">
        <f t="shared" si="81"/>
        <v>0</v>
      </c>
      <c r="AC165" s="304">
        <f t="shared" si="101"/>
        <v>0</v>
      </c>
      <c r="AD165" s="100">
        <f t="shared" si="82"/>
        <v>0</v>
      </c>
      <c r="AE165" s="100">
        <f t="shared" si="83"/>
        <v>0</v>
      </c>
      <c r="AF165" s="193">
        <f t="shared" si="97"/>
        <v>0</v>
      </c>
      <c r="AG165" s="193">
        <f t="shared" si="98"/>
        <v>0</v>
      </c>
      <c r="AH165" s="193">
        <f t="shared" si="99"/>
        <v>0</v>
      </c>
      <c r="AI165" s="198">
        <f t="shared" si="100"/>
        <v>0</v>
      </c>
      <c r="AK165" s="71">
        <v>160</v>
      </c>
      <c r="AL165" s="33">
        <f t="shared" si="84"/>
        <v>0</v>
      </c>
      <c r="AM165" s="33">
        <f t="shared" si="85"/>
        <v>0</v>
      </c>
      <c r="AN165" s="33">
        <f t="shared" si="86"/>
        <v>0</v>
      </c>
      <c r="AO165" s="33">
        <f t="shared" si="87"/>
        <v>0</v>
      </c>
      <c r="AP165" s="33">
        <f t="shared" si="88"/>
        <v>0</v>
      </c>
      <c r="AQ165" s="193">
        <f t="shared" si="74"/>
        <v>0</v>
      </c>
      <c r="AR165" s="193">
        <f t="shared" si="74"/>
        <v>0</v>
      </c>
      <c r="AS165" s="193">
        <f t="shared" si="74"/>
        <v>0</v>
      </c>
      <c r="AT165" s="193">
        <f t="shared" si="73"/>
        <v>0</v>
      </c>
      <c r="AU165" s="33"/>
      <c r="AV165" s="33"/>
      <c r="AW165" s="33"/>
      <c r="AX165" s="33"/>
      <c r="AY165" s="76"/>
    </row>
    <row r="166" spans="3:51">
      <c r="C166" s="165" t="s">
        <v>41</v>
      </c>
      <c r="D166" s="4">
        <v>0.55000000000000004</v>
      </c>
      <c r="E166" s="187" t="s">
        <v>228</v>
      </c>
      <c r="F166" s="342">
        <f>IF(OR(Tableau145[[#This Row],[Type]]="Feuillus",Tableau145[[#This Row],[Type]]="Peupliers"),1.56,1.3)</f>
        <v>1.56</v>
      </c>
      <c r="I166" s="55">
        <v>161</v>
      </c>
      <c r="J166" s="33">
        <f t="shared" si="91"/>
        <v>0</v>
      </c>
      <c r="K166" s="33">
        <f t="shared" si="92"/>
        <v>0</v>
      </c>
      <c r="L166" s="33">
        <f t="shared" si="93"/>
        <v>0</v>
      </c>
      <c r="M166" s="33">
        <f t="shared" si="94"/>
        <v>0</v>
      </c>
      <c r="N166" s="33">
        <f t="shared" si="75"/>
        <v>0</v>
      </c>
      <c r="O166" s="34">
        <f t="shared" si="76"/>
        <v>0</v>
      </c>
      <c r="P166" s="55">
        <v>161</v>
      </c>
      <c r="Q166" s="33">
        <f t="shared" si="89"/>
        <v>0</v>
      </c>
      <c r="R166" s="33">
        <f t="shared" si="95"/>
        <v>0</v>
      </c>
      <c r="S166" s="33">
        <f t="shared" si="96"/>
        <v>0</v>
      </c>
      <c r="T166" s="33">
        <f t="shared" si="77"/>
        <v>0</v>
      </c>
      <c r="U166" s="33">
        <f t="shared" si="90"/>
        <v>0</v>
      </c>
      <c r="V166" s="33">
        <f t="shared" si="78"/>
        <v>0</v>
      </c>
      <c r="W166" s="33">
        <v>0</v>
      </c>
      <c r="X166" s="33">
        <f t="shared" si="79"/>
        <v>0</v>
      </c>
      <c r="Y166" s="38">
        <f t="shared" si="80"/>
        <v>0</v>
      </c>
      <c r="AA166" s="71">
        <v>161</v>
      </c>
      <c r="AB166" s="33">
        <f t="shared" si="81"/>
        <v>0</v>
      </c>
      <c r="AC166" s="304">
        <f t="shared" si="101"/>
        <v>0</v>
      </c>
      <c r="AD166" s="100">
        <f t="shared" si="82"/>
        <v>0</v>
      </c>
      <c r="AE166" s="100">
        <f t="shared" si="83"/>
        <v>0</v>
      </c>
      <c r="AF166" s="193">
        <f t="shared" si="97"/>
        <v>0</v>
      </c>
      <c r="AG166" s="193">
        <f t="shared" si="98"/>
        <v>0</v>
      </c>
      <c r="AH166" s="193">
        <f t="shared" si="99"/>
        <v>0</v>
      </c>
      <c r="AI166" s="198">
        <f t="shared" si="100"/>
        <v>0</v>
      </c>
      <c r="AK166" s="71">
        <v>161</v>
      </c>
      <c r="AL166" s="33">
        <f t="shared" si="84"/>
        <v>0</v>
      </c>
      <c r="AM166" s="33">
        <f t="shared" si="85"/>
        <v>0</v>
      </c>
      <c r="AN166" s="33">
        <f t="shared" si="86"/>
        <v>0</v>
      </c>
      <c r="AO166" s="33">
        <f t="shared" si="87"/>
        <v>0</v>
      </c>
      <c r="AP166" s="33">
        <f t="shared" si="88"/>
        <v>0</v>
      </c>
      <c r="AQ166" s="193">
        <f t="shared" si="74"/>
        <v>0</v>
      </c>
      <c r="AR166" s="193">
        <f t="shared" si="74"/>
        <v>0</v>
      </c>
      <c r="AS166" s="193">
        <f t="shared" si="74"/>
        <v>0</v>
      </c>
      <c r="AT166" s="193">
        <f t="shared" si="73"/>
        <v>0</v>
      </c>
      <c r="AU166" s="33"/>
      <c r="AV166" s="33"/>
      <c r="AW166" s="33"/>
      <c r="AX166" s="33"/>
      <c r="AY166" s="76"/>
    </row>
    <row r="167" spans="3:51">
      <c r="C167" s="165" t="s">
        <v>42</v>
      </c>
      <c r="D167" s="4">
        <v>0.53</v>
      </c>
      <c r="E167" s="187" t="s">
        <v>228</v>
      </c>
      <c r="F167" s="342">
        <f>IF(OR(Tableau145[[#This Row],[Type]]="Feuillus",Tableau145[[#This Row],[Type]]="Peupliers"),1.56,1.3)</f>
        <v>1.56</v>
      </c>
      <c r="I167" s="55">
        <v>162</v>
      </c>
      <c r="J167" s="33">
        <f t="shared" si="91"/>
        <v>0</v>
      </c>
      <c r="K167" s="33">
        <f t="shared" si="92"/>
        <v>0</v>
      </c>
      <c r="L167" s="33">
        <f t="shared" si="93"/>
        <v>0</v>
      </c>
      <c r="M167" s="33">
        <f t="shared" si="94"/>
        <v>0</v>
      </c>
      <c r="N167" s="33">
        <f t="shared" si="75"/>
        <v>0</v>
      </c>
      <c r="O167" s="34">
        <f t="shared" si="76"/>
        <v>0</v>
      </c>
      <c r="P167" s="55">
        <v>162</v>
      </c>
      <c r="Q167" s="33">
        <f t="shared" si="89"/>
        <v>0</v>
      </c>
      <c r="R167" s="33">
        <f t="shared" si="95"/>
        <v>0</v>
      </c>
      <c r="S167" s="33">
        <f t="shared" si="96"/>
        <v>0</v>
      </c>
      <c r="T167" s="33">
        <f t="shared" si="77"/>
        <v>0</v>
      </c>
      <c r="U167" s="33">
        <f t="shared" si="90"/>
        <v>0</v>
      </c>
      <c r="V167" s="33">
        <f t="shared" si="78"/>
        <v>0</v>
      </c>
      <c r="W167" s="33">
        <v>0</v>
      </c>
      <c r="X167" s="33">
        <f t="shared" si="79"/>
        <v>0</v>
      </c>
      <c r="Y167" s="38">
        <f t="shared" si="80"/>
        <v>0</v>
      </c>
      <c r="AA167" s="71">
        <v>162</v>
      </c>
      <c r="AB167" s="33">
        <f t="shared" si="81"/>
        <v>0</v>
      </c>
      <c r="AC167" s="304">
        <f t="shared" si="101"/>
        <v>0</v>
      </c>
      <c r="AD167" s="100">
        <f t="shared" si="82"/>
        <v>0</v>
      </c>
      <c r="AE167" s="100">
        <f t="shared" si="83"/>
        <v>0</v>
      </c>
      <c r="AF167" s="193">
        <f t="shared" si="97"/>
        <v>0</v>
      </c>
      <c r="AG167" s="193">
        <f t="shared" si="98"/>
        <v>0</v>
      </c>
      <c r="AH167" s="193">
        <f t="shared" si="99"/>
        <v>0</v>
      </c>
      <c r="AI167" s="198">
        <f t="shared" si="100"/>
        <v>0</v>
      </c>
      <c r="AK167" s="71">
        <v>162</v>
      </c>
      <c r="AL167" s="33">
        <f t="shared" si="84"/>
        <v>0</v>
      </c>
      <c r="AM167" s="33">
        <f t="shared" si="85"/>
        <v>0</v>
      </c>
      <c r="AN167" s="33">
        <f t="shared" si="86"/>
        <v>0</v>
      </c>
      <c r="AO167" s="33">
        <f t="shared" si="87"/>
        <v>0</v>
      </c>
      <c r="AP167" s="33">
        <f t="shared" si="88"/>
        <v>0</v>
      </c>
      <c r="AQ167" s="193">
        <f t="shared" si="74"/>
        <v>0</v>
      </c>
      <c r="AR167" s="193">
        <f t="shared" si="74"/>
        <v>0</v>
      </c>
      <c r="AS167" s="193">
        <f t="shared" si="74"/>
        <v>0</v>
      </c>
      <c r="AT167" s="193">
        <f t="shared" si="73"/>
        <v>0</v>
      </c>
      <c r="AU167" s="33"/>
      <c r="AV167" s="33"/>
      <c r="AW167" s="33"/>
      <c r="AX167" s="33"/>
      <c r="AY167" s="76"/>
    </row>
    <row r="168" spans="3:51">
      <c r="C168" s="165" t="s">
        <v>43</v>
      </c>
      <c r="D168" s="4">
        <v>0.52</v>
      </c>
      <c r="E168" s="187" t="s">
        <v>228</v>
      </c>
      <c r="F168" s="342">
        <f>IF(OR(Tableau145[[#This Row],[Type]]="Feuillus",Tableau145[[#This Row],[Type]]="Peupliers"),1.56,1.3)</f>
        <v>1.56</v>
      </c>
      <c r="I168" s="55">
        <v>163</v>
      </c>
      <c r="J168" s="33">
        <f t="shared" si="91"/>
        <v>0</v>
      </c>
      <c r="K168" s="33">
        <f t="shared" si="92"/>
        <v>0</v>
      </c>
      <c r="L168" s="33">
        <f t="shared" si="93"/>
        <v>0</v>
      </c>
      <c r="M168" s="33">
        <f t="shared" si="94"/>
        <v>0</v>
      </c>
      <c r="N168" s="33">
        <f t="shared" si="75"/>
        <v>0</v>
      </c>
      <c r="O168" s="34">
        <f t="shared" si="76"/>
        <v>0</v>
      </c>
      <c r="P168" s="55">
        <v>163</v>
      </c>
      <c r="Q168" s="33">
        <f t="shared" si="89"/>
        <v>0</v>
      </c>
      <c r="R168" s="33">
        <f t="shared" si="95"/>
        <v>0</v>
      </c>
      <c r="S168" s="33">
        <f t="shared" si="96"/>
        <v>0</v>
      </c>
      <c r="T168" s="33">
        <f t="shared" si="77"/>
        <v>0</v>
      </c>
      <c r="U168" s="33">
        <f t="shared" si="90"/>
        <v>0</v>
      </c>
      <c r="V168" s="33">
        <f t="shared" si="78"/>
        <v>0</v>
      </c>
      <c r="W168" s="33">
        <v>0</v>
      </c>
      <c r="X168" s="33">
        <f t="shared" si="79"/>
        <v>0</v>
      </c>
      <c r="Y168" s="38">
        <f t="shared" si="80"/>
        <v>0</v>
      </c>
      <c r="AA168" s="71">
        <v>163</v>
      </c>
      <c r="AB168" s="33">
        <f t="shared" si="81"/>
        <v>0</v>
      </c>
      <c r="AC168" s="304">
        <f t="shared" si="101"/>
        <v>0</v>
      </c>
      <c r="AD168" s="100">
        <f t="shared" si="82"/>
        <v>0</v>
      </c>
      <c r="AE168" s="100">
        <f t="shared" si="83"/>
        <v>0</v>
      </c>
      <c r="AF168" s="193">
        <f t="shared" si="97"/>
        <v>0</v>
      </c>
      <c r="AG168" s="193">
        <f t="shared" si="98"/>
        <v>0</v>
      </c>
      <c r="AH168" s="193">
        <f t="shared" si="99"/>
        <v>0</v>
      </c>
      <c r="AI168" s="198">
        <f t="shared" si="100"/>
        <v>0</v>
      </c>
      <c r="AK168" s="71">
        <v>163</v>
      </c>
      <c r="AL168" s="33">
        <f t="shared" si="84"/>
        <v>0</v>
      </c>
      <c r="AM168" s="33">
        <f t="shared" si="85"/>
        <v>0</v>
      </c>
      <c r="AN168" s="33">
        <f t="shared" si="86"/>
        <v>0</v>
      </c>
      <c r="AO168" s="33">
        <f t="shared" si="87"/>
        <v>0</v>
      </c>
      <c r="AP168" s="33">
        <f t="shared" si="88"/>
        <v>0</v>
      </c>
      <c r="AQ168" s="193">
        <f t="shared" si="74"/>
        <v>0</v>
      </c>
      <c r="AR168" s="193">
        <f t="shared" si="74"/>
        <v>0</v>
      </c>
      <c r="AS168" s="193">
        <f t="shared" si="74"/>
        <v>0</v>
      </c>
      <c r="AT168" s="193">
        <f t="shared" si="73"/>
        <v>0</v>
      </c>
      <c r="AU168" s="33"/>
      <c r="AV168" s="33"/>
      <c r="AW168" s="33"/>
      <c r="AX168" s="33"/>
      <c r="AY168" s="76"/>
    </row>
    <row r="169" spans="3:51">
      <c r="C169" s="165" t="s">
        <v>44</v>
      </c>
      <c r="D169" s="4">
        <v>0.52</v>
      </c>
      <c r="E169" s="187" t="s">
        <v>228</v>
      </c>
      <c r="F169" s="342">
        <f>IF(OR(Tableau145[[#This Row],[Type]]="Feuillus",Tableau145[[#This Row],[Type]]="Peupliers"),1.56,1.3)</f>
        <v>1.56</v>
      </c>
      <c r="I169" s="55">
        <v>164</v>
      </c>
      <c r="J169" s="33">
        <f t="shared" si="91"/>
        <v>0</v>
      </c>
      <c r="K169" s="33">
        <f t="shared" si="92"/>
        <v>0</v>
      </c>
      <c r="L169" s="33">
        <f t="shared" si="93"/>
        <v>0</v>
      </c>
      <c r="M169" s="33">
        <f t="shared" si="94"/>
        <v>0</v>
      </c>
      <c r="N169" s="33">
        <f t="shared" si="75"/>
        <v>0</v>
      </c>
      <c r="O169" s="34">
        <f t="shared" si="76"/>
        <v>0</v>
      </c>
      <c r="P169" s="55">
        <v>164</v>
      </c>
      <c r="Q169" s="33">
        <f t="shared" si="89"/>
        <v>0</v>
      </c>
      <c r="R169" s="33">
        <f t="shared" si="95"/>
        <v>0</v>
      </c>
      <c r="S169" s="33">
        <f t="shared" si="96"/>
        <v>0</v>
      </c>
      <c r="T169" s="33">
        <f t="shared" si="77"/>
        <v>0</v>
      </c>
      <c r="U169" s="33">
        <f t="shared" si="90"/>
        <v>0</v>
      </c>
      <c r="V169" s="33">
        <f t="shared" si="78"/>
        <v>0</v>
      </c>
      <c r="W169" s="33">
        <v>0</v>
      </c>
      <c r="X169" s="33">
        <f t="shared" si="79"/>
        <v>0</v>
      </c>
      <c r="Y169" s="38">
        <f t="shared" si="80"/>
        <v>0</v>
      </c>
      <c r="AA169" s="71">
        <v>164</v>
      </c>
      <c r="AB169" s="33">
        <f t="shared" si="81"/>
        <v>0</v>
      </c>
      <c r="AC169" s="304">
        <f t="shared" si="101"/>
        <v>0</v>
      </c>
      <c r="AD169" s="100">
        <f t="shared" si="82"/>
        <v>0</v>
      </c>
      <c r="AE169" s="100">
        <f t="shared" si="83"/>
        <v>0</v>
      </c>
      <c r="AF169" s="193">
        <f t="shared" si="97"/>
        <v>0</v>
      </c>
      <c r="AG169" s="193">
        <f t="shared" si="98"/>
        <v>0</v>
      </c>
      <c r="AH169" s="193">
        <f t="shared" si="99"/>
        <v>0</v>
      </c>
      <c r="AI169" s="198">
        <f t="shared" si="100"/>
        <v>0</v>
      </c>
      <c r="AK169" s="71">
        <v>164</v>
      </c>
      <c r="AL169" s="33">
        <f t="shared" si="84"/>
        <v>0</v>
      </c>
      <c r="AM169" s="33">
        <f t="shared" si="85"/>
        <v>0</v>
      </c>
      <c r="AN169" s="33">
        <f t="shared" si="86"/>
        <v>0</v>
      </c>
      <c r="AO169" s="33">
        <f t="shared" si="87"/>
        <v>0</v>
      </c>
      <c r="AP169" s="33">
        <f t="shared" si="88"/>
        <v>0</v>
      </c>
      <c r="AQ169" s="193">
        <f t="shared" si="74"/>
        <v>0</v>
      </c>
      <c r="AR169" s="193">
        <f t="shared" si="74"/>
        <v>0</v>
      </c>
      <c r="AS169" s="193">
        <f t="shared" si="74"/>
        <v>0</v>
      </c>
      <c r="AT169" s="193">
        <f t="shared" si="74"/>
        <v>0</v>
      </c>
      <c r="AU169" s="33"/>
      <c r="AV169" s="33"/>
      <c r="AW169" s="33"/>
      <c r="AX169" s="33"/>
      <c r="AY169" s="76"/>
    </row>
    <row r="170" spans="3:51">
      <c r="C170" s="165" t="s">
        <v>45</v>
      </c>
      <c r="D170" s="4">
        <v>0.75</v>
      </c>
      <c r="E170" s="187" t="s">
        <v>228</v>
      </c>
      <c r="F170" s="342">
        <f>IF(OR(Tableau145[[#This Row],[Type]]="Feuillus",Tableau145[[#This Row],[Type]]="Peupliers"),1.56,1.3)</f>
        <v>1.56</v>
      </c>
      <c r="I170" s="55">
        <v>165</v>
      </c>
      <c r="J170" s="33">
        <f t="shared" si="91"/>
        <v>0</v>
      </c>
      <c r="K170" s="33">
        <f t="shared" si="92"/>
        <v>0</v>
      </c>
      <c r="L170" s="33">
        <f t="shared" si="93"/>
        <v>0</v>
      </c>
      <c r="M170" s="33">
        <f t="shared" si="94"/>
        <v>0</v>
      </c>
      <c r="N170" s="33">
        <f t="shared" si="75"/>
        <v>0</v>
      </c>
      <c r="O170" s="34">
        <f t="shared" si="76"/>
        <v>0</v>
      </c>
      <c r="P170" s="55">
        <v>165</v>
      </c>
      <c r="Q170" s="33">
        <f t="shared" si="89"/>
        <v>0</v>
      </c>
      <c r="R170" s="33">
        <f t="shared" si="95"/>
        <v>0</v>
      </c>
      <c r="S170" s="33">
        <f t="shared" si="96"/>
        <v>0</v>
      </c>
      <c r="T170" s="33">
        <f t="shared" si="77"/>
        <v>0</v>
      </c>
      <c r="U170" s="33">
        <f t="shared" si="90"/>
        <v>0</v>
      </c>
      <c r="V170" s="33">
        <f t="shared" si="78"/>
        <v>0</v>
      </c>
      <c r="W170" s="33">
        <v>0</v>
      </c>
      <c r="X170" s="33">
        <f t="shared" si="79"/>
        <v>0</v>
      </c>
      <c r="Y170" s="38">
        <f t="shared" si="80"/>
        <v>0</v>
      </c>
      <c r="AA170" s="71">
        <v>165</v>
      </c>
      <c r="AB170" s="33">
        <f t="shared" si="81"/>
        <v>0</v>
      </c>
      <c r="AC170" s="304">
        <f t="shared" si="101"/>
        <v>0</v>
      </c>
      <c r="AD170" s="100">
        <f t="shared" si="82"/>
        <v>0</v>
      </c>
      <c r="AE170" s="100">
        <f t="shared" si="83"/>
        <v>0</v>
      </c>
      <c r="AF170" s="193">
        <f t="shared" si="97"/>
        <v>0</v>
      </c>
      <c r="AG170" s="193">
        <f t="shared" si="98"/>
        <v>0</v>
      </c>
      <c r="AH170" s="193">
        <f t="shared" si="99"/>
        <v>0</v>
      </c>
      <c r="AI170" s="198">
        <f t="shared" si="100"/>
        <v>0</v>
      </c>
      <c r="AK170" s="71">
        <v>165</v>
      </c>
      <c r="AL170" s="33">
        <f t="shared" si="84"/>
        <v>0</v>
      </c>
      <c r="AM170" s="33">
        <f t="shared" si="85"/>
        <v>0</v>
      </c>
      <c r="AN170" s="33">
        <f t="shared" si="86"/>
        <v>0</v>
      </c>
      <c r="AO170" s="33">
        <f t="shared" si="87"/>
        <v>0</v>
      </c>
      <c r="AP170" s="33">
        <f t="shared" si="88"/>
        <v>0</v>
      </c>
      <c r="AQ170" s="193">
        <f t="shared" ref="AQ170:AT205" si="102">IF($AK170&lt;=$F$18,$AL170*AM170,)</f>
        <v>0</v>
      </c>
      <c r="AR170" s="193">
        <f t="shared" si="102"/>
        <v>0</v>
      </c>
      <c r="AS170" s="193">
        <f t="shared" si="102"/>
        <v>0</v>
      </c>
      <c r="AT170" s="193">
        <f t="shared" si="102"/>
        <v>0</v>
      </c>
      <c r="AU170" s="33"/>
      <c r="AV170" s="33"/>
      <c r="AW170" s="33"/>
      <c r="AX170" s="33"/>
      <c r="AY170" s="76"/>
    </row>
    <row r="171" spans="3:51">
      <c r="C171" s="165" t="s">
        <v>46</v>
      </c>
      <c r="D171" s="4">
        <v>0.52</v>
      </c>
      <c r="E171" s="187" t="s">
        <v>228</v>
      </c>
      <c r="F171" s="342">
        <f>IF(OR(Tableau145[[#This Row],[Type]]="Feuillus",Tableau145[[#This Row],[Type]]="Peupliers"),1.56,1.3)</f>
        <v>1.56</v>
      </c>
      <c r="I171" s="55">
        <v>166</v>
      </c>
      <c r="J171" s="33">
        <f t="shared" si="91"/>
        <v>0</v>
      </c>
      <c r="K171" s="33">
        <f t="shared" si="92"/>
        <v>0</v>
      </c>
      <c r="L171" s="33">
        <f t="shared" si="93"/>
        <v>0</v>
      </c>
      <c r="M171" s="33">
        <f t="shared" si="94"/>
        <v>0</v>
      </c>
      <c r="N171" s="33">
        <f t="shared" si="75"/>
        <v>0</v>
      </c>
      <c r="O171" s="34">
        <f t="shared" si="76"/>
        <v>0</v>
      </c>
      <c r="P171" s="55">
        <v>166</v>
      </c>
      <c r="Q171" s="33">
        <f t="shared" si="89"/>
        <v>0</v>
      </c>
      <c r="R171" s="33">
        <f t="shared" si="95"/>
        <v>0</v>
      </c>
      <c r="S171" s="33">
        <f t="shared" si="96"/>
        <v>0</v>
      </c>
      <c r="T171" s="33">
        <f t="shared" si="77"/>
        <v>0</v>
      </c>
      <c r="U171" s="33">
        <f t="shared" si="90"/>
        <v>0</v>
      </c>
      <c r="V171" s="33">
        <f t="shared" si="78"/>
        <v>0</v>
      </c>
      <c r="W171" s="33">
        <v>0</v>
      </c>
      <c r="X171" s="33">
        <f t="shared" si="79"/>
        <v>0</v>
      </c>
      <c r="Y171" s="38">
        <f t="shared" si="80"/>
        <v>0</v>
      </c>
      <c r="AA171" s="71">
        <v>166</v>
      </c>
      <c r="AB171" s="33">
        <f t="shared" si="81"/>
        <v>0</v>
      </c>
      <c r="AC171" s="304">
        <f t="shared" si="101"/>
        <v>0</v>
      </c>
      <c r="AD171" s="100">
        <f t="shared" si="82"/>
        <v>0</v>
      </c>
      <c r="AE171" s="100">
        <f t="shared" si="83"/>
        <v>0</v>
      </c>
      <c r="AF171" s="193">
        <f t="shared" si="97"/>
        <v>0</v>
      </c>
      <c r="AG171" s="193">
        <f t="shared" si="98"/>
        <v>0</v>
      </c>
      <c r="AH171" s="193">
        <f t="shared" si="99"/>
        <v>0</v>
      </c>
      <c r="AI171" s="198">
        <f t="shared" si="100"/>
        <v>0</v>
      </c>
      <c r="AK171" s="71">
        <v>166</v>
      </c>
      <c r="AL171" s="33">
        <f t="shared" si="84"/>
        <v>0</v>
      </c>
      <c r="AM171" s="33">
        <f t="shared" si="85"/>
        <v>0</v>
      </c>
      <c r="AN171" s="33">
        <f t="shared" si="86"/>
        <v>0</v>
      </c>
      <c r="AO171" s="33">
        <f t="shared" si="87"/>
        <v>0</v>
      </c>
      <c r="AP171" s="33">
        <f t="shared" si="88"/>
        <v>0</v>
      </c>
      <c r="AQ171" s="193">
        <f t="shared" si="102"/>
        <v>0</v>
      </c>
      <c r="AR171" s="193">
        <f t="shared" si="102"/>
        <v>0</v>
      </c>
      <c r="AS171" s="193">
        <f t="shared" si="102"/>
        <v>0</v>
      </c>
      <c r="AT171" s="193">
        <f t="shared" si="102"/>
        <v>0</v>
      </c>
      <c r="AU171" s="33"/>
      <c r="AV171" s="33"/>
      <c r="AW171" s="33"/>
      <c r="AX171" s="33"/>
      <c r="AY171" s="76"/>
    </row>
    <row r="172" spans="3:51">
      <c r="C172" s="165" t="s">
        <v>47</v>
      </c>
      <c r="D172" s="4">
        <v>0.35</v>
      </c>
      <c r="E172" s="187" t="s">
        <v>230</v>
      </c>
      <c r="F172" s="342">
        <f>IF(OR(Tableau145[[#This Row],[Type]]="Feuillus",Tableau145[[#This Row],[Type]]="Peupliers"),1.56,1.3)</f>
        <v>1.56</v>
      </c>
      <c r="I172" s="55">
        <v>167</v>
      </c>
      <c r="J172" s="33">
        <f t="shared" si="91"/>
        <v>0</v>
      </c>
      <c r="K172" s="33">
        <f t="shared" si="92"/>
        <v>0</v>
      </c>
      <c r="L172" s="33">
        <f t="shared" si="93"/>
        <v>0</v>
      </c>
      <c r="M172" s="33">
        <f t="shared" si="94"/>
        <v>0</v>
      </c>
      <c r="N172" s="33">
        <f t="shared" si="75"/>
        <v>0</v>
      </c>
      <c r="O172" s="34">
        <f t="shared" si="76"/>
        <v>0</v>
      </c>
      <c r="P172" s="55">
        <v>167</v>
      </c>
      <c r="Q172" s="33">
        <f t="shared" si="89"/>
        <v>0</v>
      </c>
      <c r="R172" s="33">
        <f t="shared" si="95"/>
        <v>0</v>
      </c>
      <c r="S172" s="33">
        <f t="shared" si="96"/>
        <v>0</v>
      </c>
      <c r="T172" s="33">
        <f t="shared" si="77"/>
        <v>0</v>
      </c>
      <c r="U172" s="33">
        <f t="shared" si="90"/>
        <v>0</v>
      </c>
      <c r="V172" s="33">
        <f t="shared" si="78"/>
        <v>0</v>
      </c>
      <c r="W172" s="33">
        <v>0</v>
      </c>
      <c r="X172" s="33">
        <f t="shared" si="79"/>
        <v>0</v>
      </c>
      <c r="Y172" s="38">
        <f t="shared" si="80"/>
        <v>0</v>
      </c>
      <c r="AA172" s="71">
        <v>167</v>
      </c>
      <c r="AB172" s="33">
        <f t="shared" si="81"/>
        <v>0</v>
      </c>
      <c r="AC172" s="304">
        <f t="shared" si="101"/>
        <v>0</v>
      </c>
      <c r="AD172" s="100">
        <f t="shared" si="82"/>
        <v>0</v>
      </c>
      <c r="AE172" s="100">
        <f t="shared" si="83"/>
        <v>0</v>
      </c>
      <c r="AF172" s="193">
        <f t="shared" si="97"/>
        <v>0</v>
      </c>
      <c r="AG172" s="193">
        <f t="shared" si="98"/>
        <v>0</v>
      </c>
      <c r="AH172" s="193">
        <f t="shared" si="99"/>
        <v>0</v>
      </c>
      <c r="AI172" s="198">
        <f t="shared" si="100"/>
        <v>0</v>
      </c>
      <c r="AK172" s="71">
        <v>167</v>
      </c>
      <c r="AL172" s="33">
        <f t="shared" si="84"/>
        <v>0</v>
      </c>
      <c r="AM172" s="33">
        <f t="shared" si="85"/>
        <v>0</v>
      </c>
      <c r="AN172" s="33">
        <f t="shared" si="86"/>
        <v>0</v>
      </c>
      <c r="AO172" s="33">
        <f t="shared" si="87"/>
        <v>0</v>
      </c>
      <c r="AP172" s="33">
        <f t="shared" si="88"/>
        <v>0</v>
      </c>
      <c r="AQ172" s="193">
        <f t="shared" si="102"/>
        <v>0</v>
      </c>
      <c r="AR172" s="193">
        <f t="shared" si="102"/>
        <v>0</v>
      </c>
      <c r="AS172" s="193">
        <f t="shared" si="102"/>
        <v>0</v>
      </c>
      <c r="AT172" s="193">
        <f t="shared" si="102"/>
        <v>0</v>
      </c>
      <c r="AU172" s="33"/>
      <c r="AV172" s="33"/>
      <c r="AW172" s="33"/>
      <c r="AX172" s="33"/>
      <c r="AY172" s="76"/>
    </row>
    <row r="173" spans="3:51">
      <c r="C173" s="165" t="s">
        <v>48</v>
      </c>
      <c r="D173" s="4">
        <v>0.37</v>
      </c>
      <c r="E173" s="187" t="s">
        <v>228</v>
      </c>
      <c r="F173" s="342">
        <f>IF(OR(Tableau145[[#This Row],[Type]]="Feuillus",Tableau145[[#This Row],[Type]]="Peupliers"),1.56,1.3)</f>
        <v>1.56</v>
      </c>
      <c r="I173" s="55">
        <v>168</v>
      </c>
      <c r="J173" s="33">
        <f t="shared" si="91"/>
        <v>0</v>
      </c>
      <c r="K173" s="33">
        <f t="shared" si="92"/>
        <v>0</v>
      </c>
      <c r="L173" s="33">
        <f t="shared" si="93"/>
        <v>0</v>
      </c>
      <c r="M173" s="33">
        <f t="shared" si="94"/>
        <v>0</v>
      </c>
      <c r="N173" s="33">
        <f t="shared" si="75"/>
        <v>0</v>
      </c>
      <c r="O173" s="34">
        <f t="shared" si="76"/>
        <v>0</v>
      </c>
      <c r="P173" s="55">
        <v>168</v>
      </c>
      <c r="Q173" s="33">
        <f t="shared" si="89"/>
        <v>0</v>
      </c>
      <c r="R173" s="33">
        <f t="shared" si="95"/>
        <v>0</v>
      </c>
      <c r="S173" s="33">
        <f t="shared" si="96"/>
        <v>0</v>
      </c>
      <c r="T173" s="33">
        <f t="shared" si="77"/>
        <v>0</v>
      </c>
      <c r="U173" s="33">
        <f t="shared" si="90"/>
        <v>0</v>
      </c>
      <c r="V173" s="33">
        <f t="shared" si="78"/>
        <v>0</v>
      </c>
      <c r="W173" s="33">
        <v>0</v>
      </c>
      <c r="X173" s="33">
        <f t="shared" si="79"/>
        <v>0</v>
      </c>
      <c r="Y173" s="38">
        <f t="shared" si="80"/>
        <v>0</v>
      </c>
      <c r="AA173" s="71">
        <v>168</v>
      </c>
      <c r="AB173" s="33">
        <f t="shared" si="81"/>
        <v>0</v>
      </c>
      <c r="AC173" s="304">
        <f t="shared" si="101"/>
        <v>0</v>
      </c>
      <c r="AD173" s="100">
        <f t="shared" si="82"/>
        <v>0</v>
      </c>
      <c r="AE173" s="100">
        <f t="shared" si="83"/>
        <v>0</v>
      </c>
      <c r="AF173" s="193">
        <f t="shared" si="97"/>
        <v>0</v>
      </c>
      <c r="AG173" s="193">
        <f t="shared" si="98"/>
        <v>0</v>
      </c>
      <c r="AH173" s="193">
        <f t="shared" si="99"/>
        <v>0</v>
      </c>
      <c r="AI173" s="198">
        <f t="shared" si="100"/>
        <v>0</v>
      </c>
      <c r="AK173" s="71">
        <v>168</v>
      </c>
      <c r="AL173" s="33">
        <f t="shared" si="84"/>
        <v>0</v>
      </c>
      <c r="AM173" s="33">
        <f t="shared" si="85"/>
        <v>0</v>
      </c>
      <c r="AN173" s="33">
        <f t="shared" si="86"/>
        <v>0</v>
      </c>
      <c r="AO173" s="33">
        <f t="shared" si="87"/>
        <v>0</v>
      </c>
      <c r="AP173" s="33">
        <f t="shared" si="88"/>
        <v>0</v>
      </c>
      <c r="AQ173" s="193">
        <f t="shared" si="102"/>
        <v>0</v>
      </c>
      <c r="AR173" s="193">
        <f t="shared" si="102"/>
        <v>0</v>
      </c>
      <c r="AS173" s="193">
        <f t="shared" si="102"/>
        <v>0</v>
      </c>
      <c r="AT173" s="193">
        <f t="shared" si="102"/>
        <v>0</v>
      </c>
      <c r="AU173" s="33"/>
      <c r="AV173" s="33"/>
      <c r="AW173" s="33"/>
      <c r="AX173" s="33"/>
      <c r="AY173" s="76"/>
    </row>
    <row r="174" spans="3:51">
      <c r="C174" s="165" t="s">
        <v>49</v>
      </c>
      <c r="D174" s="4">
        <v>0.45</v>
      </c>
      <c r="E174" s="187" t="s">
        <v>229</v>
      </c>
      <c r="F174" s="342">
        <f>IF(OR(Tableau145[[#This Row],[Type]]="Feuillus",Tableau145[[#This Row],[Type]]="Peupliers"),1.56,1.3)</f>
        <v>1.3</v>
      </c>
      <c r="I174" s="55">
        <v>169</v>
      </c>
      <c r="J174" s="33">
        <f t="shared" si="91"/>
        <v>0</v>
      </c>
      <c r="K174" s="33">
        <f t="shared" si="92"/>
        <v>0</v>
      </c>
      <c r="L174" s="33">
        <f t="shared" si="93"/>
        <v>0</v>
      </c>
      <c r="M174" s="33">
        <f t="shared" si="94"/>
        <v>0</v>
      </c>
      <c r="N174" s="33">
        <f t="shared" si="75"/>
        <v>0</v>
      </c>
      <c r="O174" s="34">
        <f t="shared" si="76"/>
        <v>0</v>
      </c>
      <c r="P174" s="55">
        <v>169</v>
      </c>
      <c r="Q174" s="33">
        <f t="shared" si="89"/>
        <v>0</v>
      </c>
      <c r="R174" s="33">
        <f t="shared" si="95"/>
        <v>0</v>
      </c>
      <c r="S174" s="33">
        <f t="shared" si="96"/>
        <v>0</v>
      </c>
      <c r="T174" s="33">
        <f t="shared" si="77"/>
        <v>0</v>
      </c>
      <c r="U174" s="33">
        <f t="shared" si="90"/>
        <v>0</v>
      </c>
      <c r="V174" s="33">
        <f t="shared" si="78"/>
        <v>0</v>
      </c>
      <c r="W174" s="33">
        <v>0</v>
      </c>
      <c r="X174" s="33">
        <f t="shared" si="79"/>
        <v>0</v>
      </c>
      <c r="Y174" s="38">
        <f t="shared" si="80"/>
        <v>0</v>
      </c>
      <c r="AA174" s="71">
        <v>169</v>
      </c>
      <c r="AB174" s="33">
        <f t="shared" si="81"/>
        <v>0</v>
      </c>
      <c r="AC174" s="304">
        <f t="shared" si="101"/>
        <v>0</v>
      </c>
      <c r="AD174" s="100">
        <f t="shared" si="82"/>
        <v>0</v>
      </c>
      <c r="AE174" s="100">
        <f t="shared" si="83"/>
        <v>0</v>
      </c>
      <c r="AF174" s="193">
        <f t="shared" si="97"/>
        <v>0</v>
      </c>
      <c r="AG174" s="193">
        <f t="shared" si="98"/>
        <v>0</v>
      </c>
      <c r="AH174" s="193">
        <f t="shared" si="99"/>
        <v>0</v>
      </c>
      <c r="AI174" s="198">
        <f t="shared" si="100"/>
        <v>0</v>
      </c>
      <c r="AK174" s="71">
        <v>169</v>
      </c>
      <c r="AL174" s="33">
        <f t="shared" si="84"/>
        <v>0</v>
      </c>
      <c r="AM174" s="33">
        <f t="shared" si="85"/>
        <v>0</v>
      </c>
      <c r="AN174" s="33">
        <f t="shared" si="86"/>
        <v>0</v>
      </c>
      <c r="AO174" s="33">
        <f t="shared" si="87"/>
        <v>0</v>
      </c>
      <c r="AP174" s="33">
        <f t="shared" si="88"/>
        <v>0</v>
      </c>
      <c r="AQ174" s="193">
        <f t="shared" si="102"/>
        <v>0</v>
      </c>
      <c r="AR174" s="193">
        <f t="shared" si="102"/>
        <v>0</v>
      </c>
      <c r="AS174" s="193">
        <f t="shared" si="102"/>
        <v>0</v>
      </c>
      <c r="AT174" s="193">
        <f t="shared" si="102"/>
        <v>0</v>
      </c>
      <c r="AU174" s="33"/>
      <c r="AV174" s="33"/>
      <c r="AW174" s="33"/>
      <c r="AX174" s="33"/>
      <c r="AY174" s="76"/>
    </row>
    <row r="175" spans="3:51">
      <c r="C175" s="165" t="s">
        <v>50</v>
      </c>
      <c r="D175" s="4">
        <v>0.39</v>
      </c>
      <c r="E175" s="187" t="s">
        <v>229</v>
      </c>
      <c r="F175" s="342">
        <f>IF(OR(Tableau145[[#This Row],[Type]]="Feuillus",Tableau145[[#This Row],[Type]]="Peupliers"),1.56,1.3)</f>
        <v>1.3</v>
      </c>
      <c r="I175" s="55">
        <v>170</v>
      </c>
      <c r="J175" s="33">
        <f t="shared" si="91"/>
        <v>0</v>
      </c>
      <c r="K175" s="33">
        <f t="shared" si="92"/>
        <v>0</v>
      </c>
      <c r="L175" s="33">
        <f t="shared" si="93"/>
        <v>0</v>
      </c>
      <c r="M175" s="33">
        <f t="shared" si="94"/>
        <v>0</v>
      </c>
      <c r="N175" s="33">
        <f t="shared" si="75"/>
        <v>0</v>
      </c>
      <c r="O175" s="34">
        <f t="shared" si="76"/>
        <v>0</v>
      </c>
      <c r="P175" s="55">
        <v>170</v>
      </c>
      <c r="Q175" s="33">
        <f t="shared" si="89"/>
        <v>0</v>
      </c>
      <c r="R175" s="33">
        <f t="shared" si="95"/>
        <v>0</v>
      </c>
      <c r="S175" s="33">
        <f t="shared" si="96"/>
        <v>0</v>
      </c>
      <c r="T175" s="33">
        <f t="shared" si="77"/>
        <v>0</v>
      </c>
      <c r="U175" s="33">
        <f t="shared" si="90"/>
        <v>0</v>
      </c>
      <c r="V175" s="33">
        <f t="shared" si="78"/>
        <v>0</v>
      </c>
      <c r="W175" s="33">
        <v>0</v>
      </c>
      <c r="X175" s="33">
        <f t="shared" si="79"/>
        <v>0</v>
      </c>
      <c r="Y175" s="38">
        <f t="shared" si="80"/>
        <v>0</v>
      </c>
      <c r="AA175" s="71">
        <v>170</v>
      </c>
      <c r="AB175" s="33">
        <f t="shared" si="81"/>
        <v>0</v>
      </c>
      <c r="AC175" s="304">
        <f t="shared" si="101"/>
        <v>0</v>
      </c>
      <c r="AD175" s="100">
        <f t="shared" si="82"/>
        <v>0</v>
      </c>
      <c r="AE175" s="100">
        <f t="shared" si="83"/>
        <v>0</v>
      </c>
      <c r="AF175" s="193">
        <f t="shared" si="97"/>
        <v>0</v>
      </c>
      <c r="AG175" s="193">
        <f t="shared" si="98"/>
        <v>0</v>
      </c>
      <c r="AH175" s="193">
        <f t="shared" si="99"/>
        <v>0</v>
      </c>
      <c r="AI175" s="198">
        <f t="shared" si="100"/>
        <v>0</v>
      </c>
      <c r="AK175" s="71">
        <v>170</v>
      </c>
      <c r="AL175" s="33">
        <f t="shared" si="84"/>
        <v>0</v>
      </c>
      <c r="AM175" s="33">
        <f t="shared" si="85"/>
        <v>0</v>
      </c>
      <c r="AN175" s="33">
        <f t="shared" si="86"/>
        <v>0</v>
      </c>
      <c r="AO175" s="33">
        <f t="shared" si="87"/>
        <v>0</v>
      </c>
      <c r="AP175" s="33">
        <f t="shared" si="88"/>
        <v>0</v>
      </c>
      <c r="AQ175" s="193">
        <f t="shared" si="102"/>
        <v>0</v>
      </c>
      <c r="AR175" s="193">
        <f t="shared" si="102"/>
        <v>0</v>
      </c>
      <c r="AS175" s="193">
        <f t="shared" si="102"/>
        <v>0</v>
      </c>
      <c r="AT175" s="193">
        <f t="shared" si="102"/>
        <v>0</v>
      </c>
      <c r="AU175" s="33"/>
      <c r="AV175" s="33"/>
      <c r="AW175" s="33"/>
      <c r="AX175" s="33"/>
      <c r="AY175" s="76"/>
    </row>
    <row r="176" spans="3:51">
      <c r="C176" s="165" t="s">
        <v>51</v>
      </c>
      <c r="D176" s="4">
        <v>0.44</v>
      </c>
      <c r="E176" s="187" t="s">
        <v>229</v>
      </c>
      <c r="F176" s="342">
        <f>IF(OR(Tableau145[[#This Row],[Type]]="Feuillus",Tableau145[[#This Row],[Type]]="Peupliers"),1.56,1.3)</f>
        <v>1.3</v>
      </c>
      <c r="I176" s="55">
        <v>171</v>
      </c>
      <c r="J176" s="33">
        <f t="shared" si="91"/>
        <v>0</v>
      </c>
      <c r="K176" s="33">
        <f t="shared" si="92"/>
        <v>0</v>
      </c>
      <c r="L176" s="33">
        <f t="shared" si="93"/>
        <v>0</v>
      </c>
      <c r="M176" s="33">
        <f t="shared" si="94"/>
        <v>0</v>
      </c>
      <c r="N176" s="33">
        <f t="shared" si="75"/>
        <v>0</v>
      </c>
      <c r="O176" s="34">
        <f t="shared" si="76"/>
        <v>0</v>
      </c>
      <c r="P176" s="55">
        <v>171</v>
      </c>
      <c r="Q176" s="33">
        <f t="shared" si="89"/>
        <v>0</v>
      </c>
      <c r="R176" s="33">
        <f t="shared" si="95"/>
        <v>0</v>
      </c>
      <c r="S176" s="33">
        <f t="shared" si="96"/>
        <v>0</v>
      </c>
      <c r="T176" s="33">
        <f t="shared" si="77"/>
        <v>0</v>
      </c>
      <c r="U176" s="33">
        <f t="shared" si="90"/>
        <v>0</v>
      </c>
      <c r="V176" s="33">
        <f t="shared" si="78"/>
        <v>0</v>
      </c>
      <c r="W176" s="33">
        <v>0</v>
      </c>
      <c r="X176" s="33">
        <f t="shared" si="79"/>
        <v>0</v>
      </c>
      <c r="Y176" s="38">
        <f t="shared" si="80"/>
        <v>0</v>
      </c>
      <c r="AA176" s="71">
        <v>171</v>
      </c>
      <c r="AB176" s="33">
        <f t="shared" si="81"/>
        <v>0</v>
      </c>
      <c r="AC176" s="304">
        <f t="shared" si="101"/>
        <v>0</v>
      </c>
      <c r="AD176" s="100">
        <f t="shared" si="82"/>
        <v>0</v>
      </c>
      <c r="AE176" s="100">
        <f t="shared" si="83"/>
        <v>0</v>
      </c>
      <c r="AF176" s="193">
        <f t="shared" si="97"/>
        <v>0</v>
      </c>
      <c r="AG176" s="193">
        <f t="shared" si="98"/>
        <v>0</v>
      </c>
      <c r="AH176" s="193">
        <f t="shared" si="99"/>
        <v>0</v>
      </c>
      <c r="AI176" s="198">
        <f t="shared" si="100"/>
        <v>0</v>
      </c>
      <c r="AK176" s="71">
        <v>171</v>
      </c>
      <c r="AL176" s="33">
        <f t="shared" si="84"/>
        <v>0</v>
      </c>
      <c r="AM176" s="33">
        <f t="shared" si="85"/>
        <v>0</v>
      </c>
      <c r="AN176" s="33">
        <f t="shared" si="86"/>
        <v>0</v>
      </c>
      <c r="AO176" s="33">
        <f t="shared" si="87"/>
        <v>0</v>
      </c>
      <c r="AP176" s="33">
        <f t="shared" si="88"/>
        <v>0</v>
      </c>
      <c r="AQ176" s="193">
        <f t="shared" si="102"/>
        <v>0</v>
      </c>
      <c r="AR176" s="193">
        <f t="shared" si="102"/>
        <v>0</v>
      </c>
      <c r="AS176" s="193">
        <f t="shared" si="102"/>
        <v>0</v>
      </c>
      <c r="AT176" s="193">
        <f t="shared" si="102"/>
        <v>0</v>
      </c>
      <c r="AU176" s="33"/>
      <c r="AV176" s="33"/>
      <c r="AW176" s="33"/>
      <c r="AX176" s="33"/>
      <c r="AY176" s="76"/>
    </row>
    <row r="177" spans="3:51">
      <c r="C177" s="165" t="s">
        <v>52</v>
      </c>
      <c r="D177" s="4">
        <v>0.46</v>
      </c>
      <c r="E177" s="187" t="s">
        <v>229</v>
      </c>
      <c r="F177" s="342">
        <f>IF(OR(Tableau145[[#This Row],[Type]]="Feuillus",Tableau145[[#This Row],[Type]]="Peupliers"),1.56,1.3)</f>
        <v>1.3</v>
      </c>
      <c r="I177" s="55">
        <v>172</v>
      </c>
      <c r="J177" s="33">
        <f t="shared" si="91"/>
        <v>0</v>
      </c>
      <c r="K177" s="33">
        <f t="shared" si="92"/>
        <v>0</v>
      </c>
      <c r="L177" s="33">
        <f t="shared" si="93"/>
        <v>0</v>
      </c>
      <c r="M177" s="33">
        <f t="shared" si="94"/>
        <v>0</v>
      </c>
      <c r="N177" s="33">
        <f t="shared" si="75"/>
        <v>0</v>
      </c>
      <c r="O177" s="34">
        <f t="shared" si="76"/>
        <v>0</v>
      </c>
      <c r="P177" s="55">
        <v>172</v>
      </c>
      <c r="Q177" s="33">
        <f t="shared" si="89"/>
        <v>0</v>
      </c>
      <c r="R177" s="33">
        <f t="shared" si="95"/>
        <v>0</v>
      </c>
      <c r="S177" s="33">
        <f t="shared" si="96"/>
        <v>0</v>
      </c>
      <c r="T177" s="33">
        <f t="shared" si="77"/>
        <v>0</v>
      </c>
      <c r="U177" s="33">
        <f t="shared" si="90"/>
        <v>0</v>
      </c>
      <c r="V177" s="33">
        <f t="shared" si="78"/>
        <v>0</v>
      </c>
      <c r="W177" s="33">
        <v>0</v>
      </c>
      <c r="X177" s="33">
        <f t="shared" si="79"/>
        <v>0</v>
      </c>
      <c r="Y177" s="38">
        <f t="shared" si="80"/>
        <v>0</v>
      </c>
      <c r="AA177" s="71">
        <v>172</v>
      </c>
      <c r="AB177" s="33">
        <f t="shared" si="81"/>
        <v>0</v>
      </c>
      <c r="AC177" s="304">
        <f t="shared" si="101"/>
        <v>0</v>
      </c>
      <c r="AD177" s="100">
        <f t="shared" si="82"/>
        <v>0</v>
      </c>
      <c r="AE177" s="100">
        <f t="shared" si="83"/>
        <v>0</v>
      </c>
      <c r="AF177" s="193">
        <f t="shared" si="97"/>
        <v>0</v>
      </c>
      <c r="AG177" s="193">
        <f t="shared" si="98"/>
        <v>0</v>
      </c>
      <c r="AH177" s="193">
        <f t="shared" si="99"/>
        <v>0</v>
      </c>
      <c r="AI177" s="198">
        <f t="shared" si="100"/>
        <v>0</v>
      </c>
      <c r="AK177" s="71">
        <v>172</v>
      </c>
      <c r="AL177" s="33">
        <f t="shared" si="84"/>
        <v>0</v>
      </c>
      <c r="AM177" s="33">
        <f t="shared" si="85"/>
        <v>0</v>
      </c>
      <c r="AN177" s="33">
        <f t="shared" si="86"/>
        <v>0</v>
      </c>
      <c r="AO177" s="33">
        <f t="shared" si="87"/>
        <v>0</v>
      </c>
      <c r="AP177" s="33">
        <f t="shared" si="88"/>
        <v>0</v>
      </c>
      <c r="AQ177" s="193">
        <f t="shared" si="102"/>
        <v>0</v>
      </c>
      <c r="AR177" s="193">
        <f t="shared" si="102"/>
        <v>0</v>
      </c>
      <c r="AS177" s="193">
        <f t="shared" si="102"/>
        <v>0</v>
      </c>
      <c r="AT177" s="193">
        <f t="shared" si="102"/>
        <v>0</v>
      </c>
      <c r="AU177" s="33"/>
      <c r="AV177" s="33"/>
      <c r="AW177" s="33"/>
      <c r="AX177" s="33"/>
      <c r="AY177" s="76"/>
    </row>
    <row r="178" spans="3:51" ht="30">
      <c r="C178" s="165" t="s">
        <v>53</v>
      </c>
      <c r="D178" s="4">
        <v>0.46</v>
      </c>
      <c r="E178" s="187" t="s">
        <v>231</v>
      </c>
      <c r="F178" s="342">
        <f>IF(OR(Tableau145[[#This Row],[Type]]="Feuillus",Tableau145[[#This Row],[Type]]="Peupliers"),1.56,1.3)</f>
        <v>1.3</v>
      </c>
      <c r="I178" s="55">
        <v>173</v>
      </c>
      <c r="J178" s="33">
        <f t="shared" si="91"/>
        <v>0</v>
      </c>
      <c r="K178" s="33">
        <f t="shared" si="92"/>
        <v>0</v>
      </c>
      <c r="L178" s="33">
        <f t="shared" si="93"/>
        <v>0</v>
      </c>
      <c r="M178" s="33">
        <f t="shared" si="94"/>
        <v>0</v>
      </c>
      <c r="N178" s="33">
        <f t="shared" si="75"/>
        <v>0</v>
      </c>
      <c r="O178" s="34">
        <f t="shared" si="76"/>
        <v>0</v>
      </c>
      <c r="P178" s="55">
        <v>173</v>
      </c>
      <c r="Q178" s="33">
        <f t="shared" si="89"/>
        <v>0</v>
      </c>
      <c r="R178" s="33">
        <f t="shared" si="95"/>
        <v>0</v>
      </c>
      <c r="S178" s="33">
        <f t="shared" si="96"/>
        <v>0</v>
      </c>
      <c r="T178" s="33">
        <f t="shared" si="77"/>
        <v>0</v>
      </c>
      <c r="U178" s="33">
        <f t="shared" si="90"/>
        <v>0</v>
      </c>
      <c r="V178" s="33">
        <f t="shared" si="78"/>
        <v>0</v>
      </c>
      <c r="W178" s="33">
        <v>0</v>
      </c>
      <c r="X178" s="33">
        <f t="shared" si="79"/>
        <v>0</v>
      </c>
      <c r="Y178" s="38">
        <f t="shared" si="80"/>
        <v>0</v>
      </c>
      <c r="AA178" s="71">
        <v>173</v>
      </c>
      <c r="AB178" s="33">
        <f t="shared" si="81"/>
        <v>0</v>
      </c>
      <c r="AC178" s="304">
        <f t="shared" si="101"/>
        <v>0</v>
      </c>
      <c r="AD178" s="100">
        <f t="shared" si="82"/>
        <v>0</v>
      </c>
      <c r="AE178" s="100">
        <f t="shared" si="83"/>
        <v>0</v>
      </c>
      <c r="AF178" s="193">
        <f t="shared" si="97"/>
        <v>0</v>
      </c>
      <c r="AG178" s="193">
        <f t="shared" si="98"/>
        <v>0</v>
      </c>
      <c r="AH178" s="193">
        <f t="shared" si="99"/>
        <v>0</v>
      </c>
      <c r="AI178" s="198">
        <f t="shared" si="100"/>
        <v>0</v>
      </c>
      <c r="AK178" s="71">
        <v>173</v>
      </c>
      <c r="AL178" s="33">
        <f t="shared" si="84"/>
        <v>0</v>
      </c>
      <c r="AM178" s="33">
        <f t="shared" si="85"/>
        <v>0</v>
      </c>
      <c r="AN178" s="33">
        <f t="shared" si="86"/>
        <v>0</v>
      </c>
      <c r="AO178" s="33">
        <f t="shared" si="87"/>
        <v>0</v>
      </c>
      <c r="AP178" s="33">
        <f t="shared" si="88"/>
        <v>0</v>
      </c>
      <c r="AQ178" s="193">
        <f t="shared" si="102"/>
        <v>0</v>
      </c>
      <c r="AR178" s="193">
        <f t="shared" si="102"/>
        <v>0</v>
      </c>
      <c r="AS178" s="193">
        <f t="shared" si="102"/>
        <v>0</v>
      </c>
      <c r="AT178" s="193">
        <f t="shared" si="102"/>
        <v>0</v>
      </c>
      <c r="AU178" s="33"/>
      <c r="AV178" s="33"/>
      <c r="AW178" s="33"/>
      <c r="AX178" s="33"/>
      <c r="AY178" s="76"/>
    </row>
    <row r="179" spans="3:51">
      <c r="C179" s="165" t="s">
        <v>54</v>
      </c>
      <c r="D179" s="4">
        <v>0.44</v>
      </c>
      <c r="E179" s="187" t="s">
        <v>229</v>
      </c>
      <c r="F179" s="342">
        <f>IF(OR(Tableau145[[#This Row],[Type]]="Feuillus",Tableau145[[#This Row],[Type]]="Peupliers"),1.56,1.3)</f>
        <v>1.3</v>
      </c>
      <c r="I179" s="55">
        <v>174</v>
      </c>
      <c r="J179" s="33">
        <f t="shared" si="91"/>
        <v>0</v>
      </c>
      <c r="K179" s="33">
        <f t="shared" si="92"/>
        <v>0</v>
      </c>
      <c r="L179" s="33">
        <f t="shared" si="93"/>
        <v>0</v>
      </c>
      <c r="M179" s="33">
        <f t="shared" si="94"/>
        <v>0</v>
      </c>
      <c r="N179" s="33">
        <f t="shared" si="75"/>
        <v>0</v>
      </c>
      <c r="O179" s="34">
        <f t="shared" si="76"/>
        <v>0</v>
      </c>
      <c r="P179" s="55">
        <v>174</v>
      </c>
      <c r="Q179" s="33">
        <f t="shared" si="89"/>
        <v>0</v>
      </c>
      <c r="R179" s="33">
        <f t="shared" si="95"/>
        <v>0</v>
      </c>
      <c r="S179" s="33">
        <f t="shared" si="96"/>
        <v>0</v>
      </c>
      <c r="T179" s="33">
        <f t="shared" si="77"/>
        <v>0</v>
      </c>
      <c r="U179" s="33">
        <f t="shared" si="90"/>
        <v>0</v>
      </c>
      <c r="V179" s="33">
        <f t="shared" si="78"/>
        <v>0</v>
      </c>
      <c r="W179" s="33">
        <v>0</v>
      </c>
      <c r="X179" s="33">
        <f t="shared" si="79"/>
        <v>0</v>
      </c>
      <c r="Y179" s="38">
        <f t="shared" si="80"/>
        <v>0</v>
      </c>
      <c r="AA179" s="71">
        <v>174</v>
      </c>
      <c r="AB179" s="33">
        <f t="shared" si="81"/>
        <v>0</v>
      </c>
      <c r="AC179" s="304">
        <f t="shared" si="101"/>
        <v>0</v>
      </c>
      <c r="AD179" s="100">
        <f t="shared" si="82"/>
        <v>0</v>
      </c>
      <c r="AE179" s="100">
        <f t="shared" si="83"/>
        <v>0</v>
      </c>
      <c r="AF179" s="193">
        <f t="shared" si="97"/>
        <v>0</v>
      </c>
      <c r="AG179" s="193">
        <f t="shared" si="98"/>
        <v>0</v>
      </c>
      <c r="AH179" s="193">
        <f t="shared" si="99"/>
        <v>0</v>
      </c>
      <c r="AI179" s="198">
        <f t="shared" si="100"/>
        <v>0</v>
      </c>
      <c r="AK179" s="71">
        <v>174</v>
      </c>
      <c r="AL179" s="33">
        <f t="shared" si="84"/>
        <v>0</v>
      </c>
      <c r="AM179" s="33">
        <f t="shared" si="85"/>
        <v>0</v>
      </c>
      <c r="AN179" s="33">
        <f t="shared" si="86"/>
        <v>0</v>
      </c>
      <c r="AO179" s="33">
        <f t="shared" si="87"/>
        <v>0</v>
      </c>
      <c r="AP179" s="33">
        <f t="shared" si="88"/>
        <v>0</v>
      </c>
      <c r="AQ179" s="193">
        <f t="shared" si="102"/>
        <v>0</v>
      </c>
      <c r="AR179" s="193">
        <f t="shared" si="102"/>
        <v>0</v>
      </c>
      <c r="AS179" s="193">
        <f t="shared" si="102"/>
        <v>0</v>
      </c>
      <c r="AT179" s="193">
        <f t="shared" si="102"/>
        <v>0</v>
      </c>
      <c r="AU179" s="33"/>
      <c r="AV179" s="33"/>
      <c r="AW179" s="33"/>
      <c r="AX179" s="33"/>
      <c r="AY179" s="76"/>
    </row>
    <row r="180" spans="3:51">
      <c r="C180" s="165" t="s">
        <v>55</v>
      </c>
      <c r="D180" s="4">
        <v>0.46</v>
      </c>
      <c r="E180" s="187" t="s">
        <v>229</v>
      </c>
      <c r="F180" s="342">
        <f>IF(OR(Tableau145[[#This Row],[Type]]="Feuillus",Tableau145[[#This Row],[Type]]="Peupliers"),1.56,1.3)</f>
        <v>1.3</v>
      </c>
      <c r="I180" s="55">
        <v>175</v>
      </c>
      <c r="J180" s="33">
        <f t="shared" si="91"/>
        <v>0</v>
      </c>
      <c r="K180" s="33">
        <f t="shared" si="92"/>
        <v>0</v>
      </c>
      <c r="L180" s="33">
        <f t="shared" si="93"/>
        <v>0</v>
      </c>
      <c r="M180" s="33">
        <f t="shared" si="94"/>
        <v>0</v>
      </c>
      <c r="N180" s="33">
        <f t="shared" si="75"/>
        <v>0</v>
      </c>
      <c r="O180" s="34">
        <f t="shared" si="76"/>
        <v>0</v>
      </c>
      <c r="P180" s="55">
        <v>175</v>
      </c>
      <c r="Q180" s="33">
        <f t="shared" si="89"/>
        <v>0</v>
      </c>
      <c r="R180" s="33">
        <f t="shared" si="95"/>
        <v>0</v>
      </c>
      <c r="S180" s="33">
        <f t="shared" si="96"/>
        <v>0</v>
      </c>
      <c r="T180" s="33">
        <f t="shared" si="77"/>
        <v>0</v>
      </c>
      <c r="U180" s="33">
        <f t="shared" si="90"/>
        <v>0</v>
      </c>
      <c r="V180" s="33">
        <f t="shared" si="78"/>
        <v>0</v>
      </c>
      <c r="W180" s="33">
        <v>0</v>
      </c>
      <c r="X180" s="33">
        <f t="shared" si="79"/>
        <v>0</v>
      </c>
      <c r="Y180" s="38">
        <f t="shared" si="80"/>
        <v>0</v>
      </c>
      <c r="AA180" s="71">
        <v>175</v>
      </c>
      <c r="AB180" s="33">
        <f t="shared" si="81"/>
        <v>0</v>
      </c>
      <c r="AC180" s="304">
        <f t="shared" si="101"/>
        <v>0</v>
      </c>
      <c r="AD180" s="100">
        <f t="shared" si="82"/>
        <v>0</v>
      </c>
      <c r="AE180" s="100">
        <f t="shared" si="83"/>
        <v>0</v>
      </c>
      <c r="AF180" s="193">
        <f t="shared" si="97"/>
        <v>0</v>
      </c>
      <c r="AG180" s="193">
        <f t="shared" si="98"/>
        <v>0</v>
      </c>
      <c r="AH180" s="193">
        <f t="shared" si="99"/>
        <v>0</v>
      </c>
      <c r="AI180" s="198">
        <f t="shared" si="100"/>
        <v>0</v>
      </c>
      <c r="AK180" s="71">
        <v>175</v>
      </c>
      <c r="AL180" s="33">
        <f t="shared" si="84"/>
        <v>0</v>
      </c>
      <c r="AM180" s="33">
        <f t="shared" si="85"/>
        <v>0</v>
      </c>
      <c r="AN180" s="33">
        <f t="shared" si="86"/>
        <v>0</v>
      </c>
      <c r="AO180" s="33">
        <f t="shared" si="87"/>
        <v>0</v>
      </c>
      <c r="AP180" s="33">
        <f t="shared" si="88"/>
        <v>0</v>
      </c>
      <c r="AQ180" s="193">
        <f t="shared" si="102"/>
        <v>0</v>
      </c>
      <c r="AR180" s="193">
        <f t="shared" si="102"/>
        <v>0</v>
      </c>
      <c r="AS180" s="193">
        <f t="shared" si="102"/>
        <v>0</v>
      </c>
      <c r="AT180" s="193">
        <f t="shared" si="102"/>
        <v>0</v>
      </c>
      <c r="AU180" s="33"/>
      <c r="AV180" s="33"/>
      <c r="AW180" s="33"/>
      <c r="AX180" s="33"/>
      <c r="AY180" s="76"/>
    </row>
    <row r="181" spans="3:51">
      <c r="C181" s="165" t="s">
        <v>56</v>
      </c>
      <c r="D181" s="4">
        <v>0.48</v>
      </c>
      <c r="E181" s="187" t="s">
        <v>229</v>
      </c>
      <c r="F181" s="342">
        <f>IF(OR(Tableau145[[#This Row],[Type]]="Feuillus",Tableau145[[#This Row],[Type]]="Peupliers"),1.56,1.3)</f>
        <v>1.3</v>
      </c>
      <c r="I181" s="55">
        <v>176</v>
      </c>
      <c r="J181" s="33">
        <f t="shared" si="91"/>
        <v>0</v>
      </c>
      <c r="K181" s="33">
        <f t="shared" si="92"/>
        <v>0</v>
      </c>
      <c r="L181" s="33">
        <f t="shared" si="93"/>
        <v>0</v>
      </c>
      <c r="M181" s="33">
        <f t="shared" si="94"/>
        <v>0</v>
      </c>
      <c r="N181" s="33">
        <f t="shared" si="75"/>
        <v>0</v>
      </c>
      <c r="O181" s="34">
        <f t="shared" si="76"/>
        <v>0</v>
      </c>
      <c r="P181" s="55">
        <v>176</v>
      </c>
      <c r="Q181" s="33">
        <f t="shared" si="89"/>
        <v>0</v>
      </c>
      <c r="R181" s="33">
        <f t="shared" si="95"/>
        <v>0</v>
      </c>
      <c r="S181" s="33">
        <f t="shared" si="96"/>
        <v>0</v>
      </c>
      <c r="T181" s="33">
        <f t="shared" si="77"/>
        <v>0</v>
      </c>
      <c r="U181" s="33">
        <f t="shared" si="90"/>
        <v>0</v>
      </c>
      <c r="V181" s="33">
        <f t="shared" si="78"/>
        <v>0</v>
      </c>
      <c r="W181" s="33">
        <v>0</v>
      </c>
      <c r="X181" s="33">
        <f t="shared" si="79"/>
        <v>0</v>
      </c>
      <c r="Y181" s="38">
        <f t="shared" si="80"/>
        <v>0</v>
      </c>
      <c r="AA181" s="71">
        <v>176</v>
      </c>
      <c r="AB181" s="33">
        <f t="shared" si="81"/>
        <v>0</v>
      </c>
      <c r="AC181" s="304">
        <f t="shared" si="101"/>
        <v>0</v>
      </c>
      <c r="AD181" s="100">
        <f t="shared" si="82"/>
        <v>0</v>
      </c>
      <c r="AE181" s="100">
        <f t="shared" si="83"/>
        <v>0</v>
      </c>
      <c r="AF181" s="193">
        <f t="shared" si="97"/>
        <v>0</v>
      </c>
      <c r="AG181" s="193">
        <f t="shared" si="98"/>
        <v>0</v>
      </c>
      <c r="AH181" s="193">
        <f t="shared" si="99"/>
        <v>0</v>
      </c>
      <c r="AI181" s="198">
        <f t="shared" si="100"/>
        <v>0</v>
      </c>
      <c r="AK181" s="71">
        <v>176</v>
      </c>
      <c r="AL181" s="33">
        <f t="shared" si="84"/>
        <v>0</v>
      </c>
      <c r="AM181" s="33">
        <f t="shared" si="85"/>
        <v>0</v>
      </c>
      <c r="AN181" s="33">
        <f t="shared" si="86"/>
        <v>0</v>
      </c>
      <c r="AO181" s="33">
        <f t="shared" si="87"/>
        <v>0</v>
      </c>
      <c r="AP181" s="33">
        <f t="shared" si="88"/>
        <v>0</v>
      </c>
      <c r="AQ181" s="193">
        <f t="shared" si="102"/>
        <v>0</v>
      </c>
      <c r="AR181" s="193">
        <f t="shared" si="102"/>
        <v>0</v>
      </c>
      <c r="AS181" s="193">
        <f t="shared" si="102"/>
        <v>0</v>
      </c>
      <c r="AT181" s="193">
        <f t="shared" si="102"/>
        <v>0</v>
      </c>
      <c r="AU181" s="33"/>
      <c r="AV181" s="33"/>
      <c r="AW181" s="33"/>
      <c r="AX181" s="33"/>
      <c r="AY181" s="76"/>
    </row>
    <row r="182" spans="3:51">
      <c r="C182" s="165" t="s">
        <v>57</v>
      </c>
      <c r="D182" s="4">
        <v>0.44</v>
      </c>
      <c r="E182" s="187" t="s">
        <v>229</v>
      </c>
      <c r="F182" s="342">
        <f>IF(OR(Tableau145[[#This Row],[Type]]="Feuillus",Tableau145[[#This Row],[Type]]="Peupliers"),1.56,1.3)</f>
        <v>1.3</v>
      </c>
      <c r="I182" s="55">
        <v>177</v>
      </c>
      <c r="J182" s="33">
        <f t="shared" si="91"/>
        <v>0</v>
      </c>
      <c r="K182" s="33">
        <f t="shared" si="92"/>
        <v>0</v>
      </c>
      <c r="L182" s="33">
        <f t="shared" si="93"/>
        <v>0</v>
      </c>
      <c r="M182" s="33">
        <f t="shared" si="94"/>
        <v>0</v>
      </c>
      <c r="N182" s="33">
        <f t="shared" si="75"/>
        <v>0</v>
      </c>
      <c r="O182" s="34">
        <f t="shared" si="76"/>
        <v>0</v>
      </c>
      <c r="P182" s="55">
        <v>177</v>
      </c>
      <c r="Q182" s="33">
        <f t="shared" si="89"/>
        <v>0</v>
      </c>
      <c r="R182" s="33">
        <f t="shared" si="95"/>
        <v>0</v>
      </c>
      <c r="S182" s="33">
        <f t="shared" si="96"/>
        <v>0</v>
      </c>
      <c r="T182" s="33">
        <f t="shared" si="77"/>
        <v>0</v>
      </c>
      <c r="U182" s="33">
        <f t="shared" si="90"/>
        <v>0</v>
      </c>
      <c r="V182" s="33">
        <f t="shared" si="78"/>
        <v>0</v>
      </c>
      <c r="W182" s="33">
        <v>0</v>
      </c>
      <c r="X182" s="33">
        <f t="shared" si="79"/>
        <v>0</v>
      </c>
      <c r="Y182" s="38">
        <f t="shared" si="80"/>
        <v>0</v>
      </c>
      <c r="AA182" s="71">
        <v>177</v>
      </c>
      <c r="AB182" s="33">
        <f t="shared" si="81"/>
        <v>0</v>
      </c>
      <c r="AC182" s="304">
        <f t="shared" si="101"/>
        <v>0</v>
      </c>
      <c r="AD182" s="100">
        <f t="shared" si="82"/>
        <v>0</v>
      </c>
      <c r="AE182" s="100">
        <f t="shared" si="83"/>
        <v>0</v>
      </c>
      <c r="AF182" s="193">
        <f t="shared" si="97"/>
        <v>0</v>
      </c>
      <c r="AG182" s="193">
        <f t="shared" si="98"/>
        <v>0</v>
      </c>
      <c r="AH182" s="193">
        <f t="shared" si="99"/>
        <v>0</v>
      </c>
      <c r="AI182" s="198">
        <f t="shared" si="100"/>
        <v>0</v>
      </c>
      <c r="AK182" s="71">
        <v>177</v>
      </c>
      <c r="AL182" s="33">
        <f t="shared" si="84"/>
        <v>0</v>
      </c>
      <c r="AM182" s="33">
        <f t="shared" si="85"/>
        <v>0</v>
      </c>
      <c r="AN182" s="33">
        <f t="shared" si="86"/>
        <v>0</v>
      </c>
      <c r="AO182" s="33">
        <f t="shared" si="87"/>
        <v>0</v>
      </c>
      <c r="AP182" s="33">
        <f t="shared" si="88"/>
        <v>0</v>
      </c>
      <c r="AQ182" s="193">
        <f t="shared" si="102"/>
        <v>0</v>
      </c>
      <c r="AR182" s="193">
        <f t="shared" si="102"/>
        <v>0</v>
      </c>
      <c r="AS182" s="193">
        <f t="shared" si="102"/>
        <v>0</v>
      </c>
      <c r="AT182" s="193">
        <f t="shared" si="102"/>
        <v>0</v>
      </c>
      <c r="AU182" s="33"/>
      <c r="AV182" s="33"/>
      <c r="AW182" s="33"/>
      <c r="AX182" s="33"/>
      <c r="AY182" s="76"/>
    </row>
    <row r="183" spans="3:51">
      <c r="C183" s="165" t="s">
        <v>58</v>
      </c>
      <c r="D183" s="4">
        <v>0.34</v>
      </c>
      <c r="E183" s="187" t="s">
        <v>229</v>
      </c>
      <c r="F183" s="342">
        <f>IF(OR(Tableau145[[#This Row],[Type]]="Feuillus",Tableau145[[#This Row],[Type]]="Peupliers"),1.56,1.3)</f>
        <v>1.3</v>
      </c>
      <c r="I183" s="55">
        <v>178</v>
      </c>
      <c r="J183" s="33">
        <f t="shared" si="91"/>
        <v>0</v>
      </c>
      <c r="K183" s="33">
        <f t="shared" si="92"/>
        <v>0</v>
      </c>
      <c r="L183" s="33">
        <f t="shared" si="93"/>
        <v>0</v>
      </c>
      <c r="M183" s="33">
        <f t="shared" si="94"/>
        <v>0</v>
      </c>
      <c r="N183" s="33">
        <f t="shared" si="75"/>
        <v>0</v>
      </c>
      <c r="O183" s="34">
        <f t="shared" si="76"/>
        <v>0</v>
      </c>
      <c r="P183" s="55">
        <v>178</v>
      </c>
      <c r="Q183" s="33">
        <f t="shared" si="89"/>
        <v>0</v>
      </c>
      <c r="R183" s="33">
        <f t="shared" si="95"/>
        <v>0</v>
      </c>
      <c r="S183" s="33">
        <f t="shared" si="96"/>
        <v>0</v>
      </c>
      <c r="T183" s="33">
        <f t="shared" si="77"/>
        <v>0</v>
      </c>
      <c r="U183" s="33">
        <f t="shared" si="90"/>
        <v>0</v>
      </c>
      <c r="V183" s="33">
        <f t="shared" si="78"/>
        <v>0</v>
      </c>
      <c r="W183" s="33">
        <v>0</v>
      </c>
      <c r="X183" s="33">
        <f t="shared" si="79"/>
        <v>0</v>
      </c>
      <c r="Y183" s="38">
        <f t="shared" si="80"/>
        <v>0</v>
      </c>
      <c r="AA183" s="71">
        <v>178</v>
      </c>
      <c r="AB183" s="33">
        <f t="shared" si="81"/>
        <v>0</v>
      </c>
      <c r="AC183" s="304">
        <f t="shared" si="101"/>
        <v>0</v>
      </c>
      <c r="AD183" s="100">
        <f t="shared" si="82"/>
        <v>0</v>
      </c>
      <c r="AE183" s="100">
        <f t="shared" si="83"/>
        <v>0</v>
      </c>
      <c r="AF183" s="193">
        <f t="shared" si="97"/>
        <v>0</v>
      </c>
      <c r="AG183" s="193">
        <f t="shared" si="98"/>
        <v>0</v>
      </c>
      <c r="AH183" s="193">
        <f t="shared" si="99"/>
        <v>0</v>
      </c>
      <c r="AI183" s="198">
        <f t="shared" si="100"/>
        <v>0</v>
      </c>
      <c r="AK183" s="71">
        <v>178</v>
      </c>
      <c r="AL183" s="33">
        <f t="shared" si="84"/>
        <v>0</v>
      </c>
      <c r="AM183" s="33">
        <f t="shared" si="85"/>
        <v>0</v>
      </c>
      <c r="AN183" s="33">
        <f t="shared" si="86"/>
        <v>0</v>
      </c>
      <c r="AO183" s="33">
        <f t="shared" si="87"/>
        <v>0</v>
      </c>
      <c r="AP183" s="33">
        <f t="shared" si="88"/>
        <v>0</v>
      </c>
      <c r="AQ183" s="193">
        <f t="shared" si="102"/>
        <v>0</v>
      </c>
      <c r="AR183" s="193">
        <f t="shared" si="102"/>
        <v>0</v>
      </c>
      <c r="AS183" s="193">
        <f t="shared" si="102"/>
        <v>0</v>
      </c>
      <c r="AT183" s="193">
        <f t="shared" si="102"/>
        <v>0</v>
      </c>
      <c r="AU183" s="33"/>
      <c r="AV183" s="33"/>
      <c r="AW183" s="33"/>
      <c r="AX183" s="33"/>
      <c r="AY183" s="76"/>
    </row>
    <row r="184" spans="3:51">
      <c r="C184" s="165" t="s">
        <v>59</v>
      </c>
      <c r="D184" s="4">
        <v>0.5</v>
      </c>
      <c r="E184" s="187" t="s">
        <v>228</v>
      </c>
      <c r="F184" s="342">
        <f>IF(OR(Tableau145[[#This Row],[Type]]="Feuillus",Tableau145[[#This Row],[Type]]="Peupliers"),1.56,1.3)</f>
        <v>1.56</v>
      </c>
      <c r="I184" s="55">
        <v>179</v>
      </c>
      <c r="J184" s="33">
        <f t="shared" si="91"/>
        <v>0</v>
      </c>
      <c r="K184" s="33">
        <f t="shared" si="92"/>
        <v>0</v>
      </c>
      <c r="L184" s="33">
        <f t="shared" si="93"/>
        <v>0</v>
      </c>
      <c r="M184" s="33">
        <f t="shared" si="94"/>
        <v>0</v>
      </c>
      <c r="N184" s="33">
        <f t="shared" si="75"/>
        <v>0</v>
      </c>
      <c r="O184" s="34">
        <f t="shared" si="76"/>
        <v>0</v>
      </c>
      <c r="P184" s="55">
        <v>179</v>
      </c>
      <c r="Q184" s="33">
        <f t="shared" si="89"/>
        <v>0</v>
      </c>
      <c r="R184" s="33">
        <f t="shared" si="95"/>
        <v>0</v>
      </c>
      <c r="S184" s="33">
        <f t="shared" si="96"/>
        <v>0</v>
      </c>
      <c r="T184" s="33">
        <f t="shared" si="77"/>
        <v>0</v>
      </c>
      <c r="U184" s="33">
        <f t="shared" si="90"/>
        <v>0</v>
      </c>
      <c r="V184" s="33">
        <f t="shared" si="78"/>
        <v>0</v>
      </c>
      <c r="W184" s="33">
        <v>0</v>
      </c>
      <c r="X184" s="33">
        <f t="shared" si="79"/>
        <v>0</v>
      </c>
      <c r="Y184" s="38">
        <f t="shared" si="80"/>
        <v>0</v>
      </c>
      <c r="AA184" s="71">
        <v>179</v>
      </c>
      <c r="AB184" s="33">
        <f t="shared" si="81"/>
        <v>0</v>
      </c>
      <c r="AC184" s="304">
        <f t="shared" si="101"/>
        <v>0</v>
      </c>
      <c r="AD184" s="100">
        <f t="shared" si="82"/>
        <v>0</v>
      </c>
      <c r="AE184" s="100">
        <f t="shared" si="83"/>
        <v>0</v>
      </c>
      <c r="AF184" s="193">
        <f t="shared" si="97"/>
        <v>0</v>
      </c>
      <c r="AG184" s="193">
        <f t="shared" si="98"/>
        <v>0</v>
      </c>
      <c r="AH184" s="193">
        <f t="shared" si="99"/>
        <v>0</v>
      </c>
      <c r="AI184" s="198">
        <f t="shared" si="100"/>
        <v>0</v>
      </c>
      <c r="AK184" s="71">
        <v>179</v>
      </c>
      <c r="AL184" s="33">
        <f t="shared" si="84"/>
        <v>0</v>
      </c>
      <c r="AM184" s="33">
        <f t="shared" si="85"/>
        <v>0</v>
      </c>
      <c r="AN184" s="33">
        <f t="shared" si="86"/>
        <v>0</v>
      </c>
      <c r="AO184" s="33">
        <f t="shared" si="87"/>
        <v>0</v>
      </c>
      <c r="AP184" s="33">
        <f t="shared" si="88"/>
        <v>0</v>
      </c>
      <c r="AQ184" s="193">
        <f t="shared" si="102"/>
        <v>0</v>
      </c>
      <c r="AR184" s="193">
        <f t="shared" si="102"/>
        <v>0</v>
      </c>
      <c r="AS184" s="193">
        <f t="shared" si="102"/>
        <v>0</v>
      </c>
      <c r="AT184" s="193">
        <f t="shared" si="102"/>
        <v>0</v>
      </c>
      <c r="AU184" s="33"/>
      <c r="AV184" s="33"/>
      <c r="AW184" s="33"/>
      <c r="AX184" s="33"/>
      <c r="AY184" s="76"/>
    </row>
    <row r="185" spans="3:51">
      <c r="C185" s="165" t="s">
        <v>60</v>
      </c>
      <c r="D185" s="4">
        <v>0.57999999999999996</v>
      </c>
      <c r="E185" s="187" t="s">
        <v>228</v>
      </c>
      <c r="F185" s="342">
        <f>IF(OR(Tableau145[[#This Row],[Type]]="Feuillus",Tableau145[[#This Row],[Type]]="Peupliers"),1.56,1.3)</f>
        <v>1.56</v>
      </c>
      <c r="I185" s="55">
        <v>180</v>
      </c>
      <c r="J185" s="33">
        <f t="shared" si="91"/>
        <v>0</v>
      </c>
      <c r="K185" s="33">
        <f t="shared" si="92"/>
        <v>0</v>
      </c>
      <c r="L185" s="33">
        <f t="shared" si="93"/>
        <v>0</v>
      </c>
      <c r="M185" s="33">
        <f t="shared" si="94"/>
        <v>0</v>
      </c>
      <c r="N185" s="33">
        <f t="shared" si="75"/>
        <v>0</v>
      </c>
      <c r="O185" s="34">
        <f t="shared" si="76"/>
        <v>0</v>
      </c>
      <c r="P185" s="55">
        <v>180</v>
      </c>
      <c r="Q185" s="33">
        <f t="shared" si="89"/>
        <v>0</v>
      </c>
      <c r="R185" s="33">
        <f t="shared" si="95"/>
        <v>0</v>
      </c>
      <c r="S185" s="33">
        <f t="shared" si="96"/>
        <v>0</v>
      </c>
      <c r="T185" s="33">
        <f t="shared" si="77"/>
        <v>0</v>
      </c>
      <c r="U185" s="33">
        <f t="shared" si="90"/>
        <v>0</v>
      </c>
      <c r="V185" s="33">
        <f t="shared" si="78"/>
        <v>0</v>
      </c>
      <c r="W185" s="33">
        <v>0</v>
      </c>
      <c r="X185" s="33">
        <f t="shared" si="79"/>
        <v>0</v>
      </c>
      <c r="Y185" s="38">
        <f t="shared" si="80"/>
        <v>0</v>
      </c>
      <c r="AA185" s="71">
        <v>180</v>
      </c>
      <c r="AB185" s="33">
        <f t="shared" si="81"/>
        <v>0</v>
      </c>
      <c r="AC185" s="304">
        <f t="shared" si="101"/>
        <v>0</v>
      </c>
      <c r="AD185" s="100">
        <f t="shared" si="82"/>
        <v>0</v>
      </c>
      <c r="AE185" s="100">
        <f t="shared" si="83"/>
        <v>0</v>
      </c>
      <c r="AF185" s="193">
        <f t="shared" si="97"/>
        <v>0</v>
      </c>
      <c r="AG185" s="193">
        <f t="shared" si="98"/>
        <v>0</v>
      </c>
      <c r="AH185" s="193">
        <f t="shared" si="99"/>
        <v>0</v>
      </c>
      <c r="AI185" s="198">
        <f t="shared" si="100"/>
        <v>0</v>
      </c>
      <c r="AK185" s="71">
        <v>180</v>
      </c>
      <c r="AL185" s="33">
        <f t="shared" si="84"/>
        <v>0</v>
      </c>
      <c r="AM185" s="33">
        <f t="shared" si="85"/>
        <v>0</v>
      </c>
      <c r="AN185" s="33">
        <f t="shared" si="86"/>
        <v>0</v>
      </c>
      <c r="AO185" s="33">
        <f t="shared" si="87"/>
        <v>0</v>
      </c>
      <c r="AP185" s="33">
        <f t="shared" si="88"/>
        <v>0</v>
      </c>
      <c r="AQ185" s="193">
        <f t="shared" si="102"/>
        <v>0</v>
      </c>
      <c r="AR185" s="193">
        <f t="shared" si="102"/>
        <v>0</v>
      </c>
      <c r="AS185" s="193">
        <f t="shared" si="102"/>
        <v>0</v>
      </c>
      <c r="AT185" s="193">
        <f t="shared" si="102"/>
        <v>0</v>
      </c>
      <c r="AU185" s="33"/>
      <c r="AV185" s="33"/>
      <c r="AW185" s="33"/>
      <c r="AX185" s="33"/>
      <c r="AY185" s="76"/>
    </row>
    <row r="186" spans="3:51">
      <c r="C186" s="165" t="s">
        <v>61</v>
      </c>
      <c r="D186" s="4">
        <v>0.37</v>
      </c>
      <c r="E186" s="187" t="s">
        <v>229</v>
      </c>
      <c r="F186" s="342">
        <f>IF(OR(Tableau145[[#This Row],[Type]]="Feuillus",Tableau145[[#This Row],[Type]]="Peupliers"),1.56,1.3)</f>
        <v>1.3</v>
      </c>
      <c r="I186" s="55">
        <v>181</v>
      </c>
      <c r="J186" s="33">
        <f t="shared" si="91"/>
        <v>0</v>
      </c>
      <c r="K186" s="33">
        <f t="shared" si="92"/>
        <v>0</v>
      </c>
      <c r="L186" s="33">
        <f t="shared" si="93"/>
        <v>0</v>
      </c>
      <c r="M186" s="33">
        <f t="shared" si="94"/>
        <v>0</v>
      </c>
      <c r="N186" s="33">
        <f t="shared" si="75"/>
        <v>0</v>
      </c>
      <c r="O186" s="34">
        <f t="shared" si="76"/>
        <v>0</v>
      </c>
      <c r="P186" s="55">
        <v>181</v>
      </c>
      <c r="Q186" s="33">
        <f t="shared" si="89"/>
        <v>0</v>
      </c>
      <c r="R186" s="33">
        <f t="shared" si="95"/>
        <v>0</v>
      </c>
      <c r="S186" s="33">
        <f t="shared" si="96"/>
        <v>0</v>
      </c>
      <c r="T186" s="33">
        <f t="shared" si="77"/>
        <v>0</v>
      </c>
      <c r="U186" s="33">
        <f t="shared" si="90"/>
        <v>0</v>
      </c>
      <c r="V186" s="33">
        <f t="shared" si="78"/>
        <v>0</v>
      </c>
      <c r="W186" s="33">
        <v>0</v>
      </c>
      <c r="X186" s="33">
        <f t="shared" si="79"/>
        <v>0</v>
      </c>
      <c r="Y186" s="38">
        <f t="shared" si="80"/>
        <v>0</v>
      </c>
      <c r="AA186" s="71">
        <v>181</v>
      </c>
      <c r="AB186" s="33">
        <f t="shared" si="81"/>
        <v>0</v>
      </c>
      <c r="AC186" s="304">
        <f t="shared" si="101"/>
        <v>0</v>
      </c>
      <c r="AD186" s="100">
        <f t="shared" si="82"/>
        <v>0</v>
      </c>
      <c r="AE186" s="100">
        <f t="shared" si="83"/>
        <v>0</v>
      </c>
      <c r="AF186" s="193">
        <f t="shared" si="97"/>
        <v>0</v>
      </c>
      <c r="AG186" s="193">
        <f t="shared" si="98"/>
        <v>0</v>
      </c>
      <c r="AH186" s="193">
        <f t="shared" si="99"/>
        <v>0</v>
      </c>
      <c r="AI186" s="198">
        <f t="shared" si="100"/>
        <v>0</v>
      </c>
      <c r="AK186" s="71">
        <v>181</v>
      </c>
      <c r="AL186" s="33">
        <f t="shared" si="84"/>
        <v>0</v>
      </c>
      <c r="AM186" s="33">
        <f t="shared" si="85"/>
        <v>0</v>
      </c>
      <c r="AN186" s="33">
        <f t="shared" si="86"/>
        <v>0</v>
      </c>
      <c r="AO186" s="33">
        <f t="shared" si="87"/>
        <v>0</v>
      </c>
      <c r="AP186" s="33">
        <f t="shared" si="88"/>
        <v>0</v>
      </c>
      <c r="AQ186" s="193">
        <f t="shared" si="102"/>
        <v>0</v>
      </c>
      <c r="AR186" s="193">
        <f t="shared" si="102"/>
        <v>0</v>
      </c>
      <c r="AS186" s="193">
        <f t="shared" si="102"/>
        <v>0</v>
      </c>
      <c r="AT186" s="193">
        <f t="shared" si="102"/>
        <v>0</v>
      </c>
      <c r="AU186" s="33"/>
      <c r="AV186" s="33"/>
      <c r="AW186" s="33"/>
      <c r="AX186" s="33"/>
      <c r="AY186" s="76"/>
    </row>
    <row r="187" spans="3:51">
      <c r="C187" s="165" t="s">
        <v>62</v>
      </c>
      <c r="D187" s="4">
        <v>0.37</v>
      </c>
      <c r="E187" s="187" t="s">
        <v>229</v>
      </c>
      <c r="F187" s="342">
        <f>IF(OR(Tableau145[[#This Row],[Type]]="Feuillus",Tableau145[[#This Row],[Type]]="Peupliers"),1.56,1.3)</f>
        <v>1.3</v>
      </c>
      <c r="I187" s="55">
        <v>182</v>
      </c>
      <c r="J187" s="33">
        <f t="shared" si="91"/>
        <v>0</v>
      </c>
      <c r="K187" s="33">
        <f t="shared" si="92"/>
        <v>0</v>
      </c>
      <c r="L187" s="33">
        <f t="shared" si="93"/>
        <v>0</v>
      </c>
      <c r="M187" s="33">
        <f t="shared" si="94"/>
        <v>0</v>
      </c>
      <c r="N187" s="33">
        <f t="shared" si="75"/>
        <v>0</v>
      </c>
      <c r="O187" s="34">
        <f t="shared" si="76"/>
        <v>0</v>
      </c>
      <c r="P187" s="55">
        <v>182</v>
      </c>
      <c r="Q187" s="33">
        <f t="shared" si="89"/>
        <v>0</v>
      </c>
      <c r="R187" s="33">
        <f t="shared" si="95"/>
        <v>0</v>
      </c>
      <c r="S187" s="33">
        <f t="shared" si="96"/>
        <v>0</v>
      </c>
      <c r="T187" s="33">
        <f t="shared" si="77"/>
        <v>0</v>
      </c>
      <c r="U187" s="33">
        <f t="shared" si="90"/>
        <v>0</v>
      </c>
      <c r="V187" s="33">
        <f t="shared" si="78"/>
        <v>0</v>
      </c>
      <c r="W187" s="33">
        <v>0</v>
      </c>
      <c r="X187" s="33">
        <f t="shared" si="79"/>
        <v>0</v>
      </c>
      <c r="Y187" s="38">
        <f t="shared" si="80"/>
        <v>0</v>
      </c>
      <c r="AA187" s="71">
        <v>182</v>
      </c>
      <c r="AB187" s="33">
        <f t="shared" si="81"/>
        <v>0</v>
      </c>
      <c r="AC187" s="304">
        <f t="shared" si="101"/>
        <v>0</v>
      </c>
      <c r="AD187" s="100">
        <f t="shared" si="82"/>
        <v>0</v>
      </c>
      <c r="AE187" s="100">
        <f t="shared" si="83"/>
        <v>0</v>
      </c>
      <c r="AF187" s="193">
        <f t="shared" si="97"/>
        <v>0</v>
      </c>
      <c r="AG187" s="193">
        <f t="shared" si="98"/>
        <v>0</v>
      </c>
      <c r="AH187" s="193">
        <f t="shared" si="99"/>
        <v>0</v>
      </c>
      <c r="AI187" s="198">
        <f t="shared" si="100"/>
        <v>0</v>
      </c>
      <c r="AK187" s="71">
        <v>182</v>
      </c>
      <c r="AL187" s="33">
        <f t="shared" si="84"/>
        <v>0</v>
      </c>
      <c r="AM187" s="33">
        <f t="shared" si="85"/>
        <v>0</v>
      </c>
      <c r="AN187" s="33">
        <f t="shared" si="86"/>
        <v>0</v>
      </c>
      <c r="AO187" s="33">
        <f t="shared" si="87"/>
        <v>0</v>
      </c>
      <c r="AP187" s="33">
        <f t="shared" si="88"/>
        <v>0</v>
      </c>
      <c r="AQ187" s="193">
        <f t="shared" si="102"/>
        <v>0</v>
      </c>
      <c r="AR187" s="193">
        <f t="shared" si="102"/>
        <v>0</v>
      </c>
      <c r="AS187" s="193">
        <f t="shared" si="102"/>
        <v>0</v>
      </c>
      <c r="AT187" s="193">
        <f t="shared" si="102"/>
        <v>0</v>
      </c>
      <c r="AU187" s="33"/>
      <c r="AV187" s="33"/>
      <c r="AW187" s="33"/>
      <c r="AX187" s="33"/>
      <c r="AY187" s="76"/>
    </row>
    <row r="188" spans="3:51">
      <c r="C188" s="165" t="s">
        <v>63</v>
      </c>
      <c r="D188" s="4">
        <v>0.38</v>
      </c>
      <c r="E188" s="187" t="s">
        <v>229</v>
      </c>
      <c r="F188" s="342">
        <f>IF(OR(Tableau145[[#This Row],[Type]]="Feuillus",Tableau145[[#This Row],[Type]]="Peupliers"),1.56,1.3)</f>
        <v>1.3</v>
      </c>
      <c r="I188" s="55">
        <v>183</v>
      </c>
      <c r="J188" s="33">
        <f t="shared" si="91"/>
        <v>0</v>
      </c>
      <c r="K188" s="33">
        <f t="shared" si="92"/>
        <v>0</v>
      </c>
      <c r="L188" s="33">
        <f t="shared" si="93"/>
        <v>0</v>
      </c>
      <c r="M188" s="33">
        <f t="shared" si="94"/>
        <v>0</v>
      </c>
      <c r="N188" s="33">
        <f t="shared" si="75"/>
        <v>0</v>
      </c>
      <c r="O188" s="34">
        <f t="shared" si="76"/>
        <v>0</v>
      </c>
      <c r="P188" s="55">
        <v>183</v>
      </c>
      <c r="Q188" s="33">
        <f t="shared" si="89"/>
        <v>0</v>
      </c>
      <c r="R188" s="33">
        <f t="shared" si="95"/>
        <v>0</v>
      </c>
      <c r="S188" s="33">
        <f t="shared" si="96"/>
        <v>0</v>
      </c>
      <c r="T188" s="33">
        <f t="shared" si="77"/>
        <v>0</v>
      </c>
      <c r="U188" s="33">
        <f t="shared" si="90"/>
        <v>0</v>
      </c>
      <c r="V188" s="33">
        <f t="shared" si="78"/>
        <v>0</v>
      </c>
      <c r="W188" s="33">
        <v>0</v>
      </c>
      <c r="X188" s="33">
        <f t="shared" si="79"/>
        <v>0</v>
      </c>
      <c r="Y188" s="38">
        <f t="shared" si="80"/>
        <v>0</v>
      </c>
      <c r="AA188" s="71">
        <v>183</v>
      </c>
      <c r="AB188" s="33">
        <f t="shared" si="81"/>
        <v>0</v>
      </c>
      <c r="AC188" s="304">
        <f t="shared" si="101"/>
        <v>0</v>
      </c>
      <c r="AD188" s="100">
        <f t="shared" si="82"/>
        <v>0</v>
      </c>
      <c r="AE188" s="100">
        <f t="shared" si="83"/>
        <v>0</v>
      </c>
      <c r="AF188" s="193">
        <f t="shared" si="97"/>
        <v>0</v>
      </c>
      <c r="AG188" s="193">
        <f t="shared" si="98"/>
        <v>0</v>
      </c>
      <c r="AH188" s="193">
        <f t="shared" si="99"/>
        <v>0</v>
      </c>
      <c r="AI188" s="198">
        <f t="shared" si="100"/>
        <v>0</v>
      </c>
      <c r="AK188" s="71">
        <v>183</v>
      </c>
      <c r="AL188" s="33">
        <f t="shared" si="84"/>
        <v>0</v>
      </c>
      <c r="AM188" s="33">
        <f t="shared" si="85"/>
        <v>0</v>
      </c>
      <c r="AN188" s="33">
        <f t="shared" si="86"/>
        <v>0</v>
      </c>
      <c r="AO188" s="33">
        <f t="shared" si="87"/>
        <v>0</v>
      </c>
      <c r="AP188" s="33">
        <f t="shared" si="88"/>
        <v>0</v>
      </c>
      <c r="AQ188" s="193">
        <f t="shared" si="102"/>
        <v>0</v>
      </c>
      <c r="AR188" s="193">
        <f t="shared" si="102"/>
        <v>0</v>
      </c>
      <c r="AS188" s="193">
        <f t="shared" si="102"/>
        <v>0</v>
      </c>
      <c r="AT188" s="193">
        <f t="shared" si="102"/>
        <v>0</v>
      </c>
      <c r="AU188" s="33"/>
      <c r="AV188" s="33"/>
      <c r="AW188" s="33"/>
      <c r="AX188" s="33"/>
      <c r="AY188" s="76"/>
    </row>
    <row r="189" spans="3:51">
      <c r="C189" s="165" t="s">
        <v>64</v>
      </c>
      <c r="D189" s="4">
        <v>0.36</v>
      </c>
      <c r="E189" s="187" t="s">
        <v>229</v>
      </c>
      <c r="F189" s="342">
        <f>IF(OR(Tableau145[[#This Row],[Type]]="Feuillus",Tableau145[[#This Row],[Type]]="Peupliers"),1.56,1.3)</f>
        <v>1.3</v>
      </c>
      <c r="I189" s="55">
        <v>184</v>
      </c>
      <c r="J189" s="33">
        <f t="shared" si="91"/>
        <v>0</v>
      </c>
      <c r="K189" s="33">
        <f t="shared" si="92"/>
        <v>0</v>
      </c>
      <c r="L189" s="33">
        <f t="shared" si="93"/>
        <v>0</v>
      </c>
      <c r="M189" s="33">
        <f t="shared" si="94"/>
        <v>0</v>
      </c>
      <c r="N189" s="33">
        <f t="shared" si="75"/>
        <v>0</v>
      </c>
      <c r="O189" s="34">
        <f t="shared" si="76"/>
        <v>0</v>
      </c>
      <c r="P189" s="55">
        <v>184</v>
      </c>
      <c r="Q189" s="33">
        <f t="shared" si="89"/>
        <v>0</v>
      </c>
      <c r="R189" s="33">
        <f t="shared" si="95"/>
        <v>0</v>
      </c>
      <c r="S189" s="33">
        <f t="shared" si="96"/>
        <v>0</v>
      </c>
      <c r="T189" s="33">
        <f t="shared" si="77"/>
        <v>0</v>
      </c>
      <c r="U189" s="33">
        <f t="shared" si="90"/>
        <v>0</v>
      </c>
      <c r="V189" s="33">
        <f t="shared" si="78"/>
        <v>0</v>
      </c>
      <c r="W189" s="33">
        <v>0</v>
      </c>
      <c r="X189" s="33">
        <f t="shared" si="79"/>
        <v>0</v>
      </c>
      <c r="Y189" s="38">
        <f t="shared" si="80"/>
        <v>0</v>
      </c>
      <c r="AA189" s="71">
        <v>184</v>
      </c>
      <c r="AB189" s="33">
        <f t="shared" si="81"/>
        <v>0</v>
      </c>
      <c r="AC189" s="304">
        <f t="shared" si="101"/>
        <v>0</v>
      </c>
      <c r="AD189" s="100">
        <f t="shared" si="82"/>
        <v>0</v>
      </c>
      <c r="AE189" s="100">
        <f t="shared" si="83"/>
        <v>0</v>
      </c>
      <c r="AF189" s="193">
        <f t="shared" si="97"/>
        <v>0</v>
      </c>
      <c r="AG189" s="193">
        <f t="shared" si="98"/>
        <v>0</v>
      </c>
      <c r="AH189" s="193">
        <f t="shared" si="99"/>
        <v>0</v>
      </c>
      <c r="AI189" s="198">
        <f t="shared" si="100"/>
        <v>0</v>
      </c>
      <c r="AK189" s="71">
        <v>184</v>
      </c>
      <c r="AL189" s="33">
        <f t="shared" si="84"/>
        <v>0</v>
      </c>
      <c r="AM189" s="33">
        <f t="shared" si="85"/>
        <v>0</v>
      </c>
      <c r="AN189" s="33">
        <f t="shared" si="86"/>
        <v>0</v>
      </c>
      <c r="AO189" s="33">
        <f t="shared" si="87"/>
        <v>0</v>
      </c>
      <c r="AP189" s="33">
        <f t="shared" si="88"/>
        <v>0</v>
      </c>
      <c r="AQ189" s="193">
        <f t="shared" si="102"/>
        <v>0</v>
      </c>
      <c r="AR189" s="193">
        <f t="shared" si="102"/>
        <v>0</v>
      </c>
      <c r="AS189" s="193">
        <f t="shared" si="102"/>
        <v>0</v>
      </c>
      <c r="AT189" s="193">
        <f t="shared" si="102"/>
        <v>0</v>
      </c>
      <c r="AU189" s="33"/>
      <c r="AV189" s="33"/>
      <c r="AW189" s="33"/>
      <c r="AX189" s="33"/>
      <c r="AY189" s="76"/>
    </row>
    <row r="190" spans="3:51">
      <c r="C190" s="165" t="s">
        <v>65</v>
      </c>
      <c r="D190" s="4">
        <v>0.37</v>
      </c>
      <c r="E190" s="187" t="s">
        <v>228</v>
      </c>
      <c r="F190" s="342">
        <f>IF(OR(Tableau145[[#This Row],[Type]]="Feuillus",Tableau145[[#This Row],[Type]]="Peupliers"),1.56,1.3)</f>
        <v>1.56</v>
      </c>
      <c r="I190" s="55">
        <v>185</v>
      </c>
      <c r="J190" s="33">
        <f t="shared" si="91"/>
        <v>0</v>
      </c>
      <c r="K190" s="33">
        <f t="shared" si="92"/>
        <v>0</v>
      </c>
      <c r="L190" s="33">
        <f t="shared" si="93"/>
        <v>0</v>
      </c>
      <c r="M190" s="33">
        <f t="shared" si="94"/>
        <v>0</v>
      </c>
      <c r="N190" s="33">
        <f t="shared" si="75"/>
        <v>0</v>
      </c>
      <c r="O190" s="34">
        <f t="shared" si="76"/>
        <v>0</v>
      </c>
      <c r="P190" s="55">
        <v>185</v>
      </c>
      <c r="Q190" s="33">
        <f t="shared" si="89"/>
        <v>0</v>
      </c>
      <c r="R190" s="33">
        <f t="shared" si="95"/>
        <v>0</v>
      </c>
      <c r="S190" s="33">
        <f t="shared" si="96"/>
        <v>0</v>
      </c>
      <c r="T190" s="33">
        <f t="shared" si="77"/>
        <v>0</v>
      </c>
      <c r="U190" s="33">
        <f t="shared" si="90"/>
        <v>0</v>
      </c>
      <c r="V190" s="33">
        <f t="shared" si="78"/>
        <v>0</v>
      </c>
      <c r="W190" s="33">
        <v>0</v>
      </c>
      <c r="X190" s="33">
        <f t="shared" si="79"/>
        <v>0</v>
      </c>
      <c r="Y190" s="38">
        <f t="shared" si="80"/>
        <v>0</v>
      </c>
      <c r="AA190" s="71">
        <v>185</v>
      </c>
      <c r="AB190" s="33">
        <f t="shared" si="81"/>
        <v>0</v>
      </c>
      <c r="AC190" s="304">
        <f t="shared" si="101"/>
        <v>0</v>
      </c>
      <c r="AD190" s="100">
        <f t="shared" si="82"/>
        <v>0</v>
      </c>
      <c r="AE190" s="100">
        <f t="shared" si="83"/>
        <v>0</v>
      </c>
      <c r="AF190" s="193">
        <f t="shared" si="97"/>
        <v>0</v>
      </c>
      <c r="AG190" s="193">
        <f t="shared" si="98"/>
        <v>0</v>
      </c>
      <c r="AH190" s="193">
        <f t="shared" si="99"/>
        <v>0</v>
      </c>
      <c r="AI190" s="198">
        <f t="shared" si="100"/>
        <v>0</v>
      </c>
      <c r="AK190" s="71">
        <v>185</v>
      </c>
      <c r="AL190" s="33">
        <f t="shared" si="84"/>
        <v>0</v>
      </c>
      <c r="AM190" s="33">
        <f t="shared" si="85"/>
        <v>0</v>
      </c>
      <c r="AN190" s="33">
        <f t="shared" si="86"/>
        <v>0</v>
      </c>
      <c r="AO190" s="33">
        <f t="shared" si="87"/>
        <v>0</v>
      </c>
      <c r="AP190" s="33">
        <f t="shared" si="88"/>
        <v>0</v>
      </c>
      <c r="AQ190" s="193">
        <f t="shared" si="102"/>
        <v>0</v>
      </c>
      <c r="AR190" s="193">
        <f t="shared" si="102"/>
        <v>0</v>
      </c>
      <c r="AS190" s="193">
        <f t="shared" si="102"/>
        <v>0</v>
      </c>
      <c r="AT190" s="193">
        <f t="shared" si="102"/>
        <v>0</v>
      </c>
      <c r="AU190" s="33"/>
      <c r="AV190" s="33"/>
      <c r="AW190" s="33"/>
      <c r="AX190" s="33"/>
      <c r="AY190" s="76"/>
    </row>
    <row r="191" spans="3:51">
      <c r="C191" s="165" t="s">
        <v>66</v>
      </c>
      <c r="D191" s="4">
        <v>0.53</v>
      </c>
      <c r="E191" s="187" t="s">
        <v>228</v>
      </c>
      <c r="F191" s="342">
        <f>IF(OR(Tableau145[[#This Row],[Type]]="Feuillus",Tableau145[[#This Row],[Type]]="Peupliers"),1.56,1.3)</f>
        <v>1.56</v>
      </c>
      <c r="I191" s="55">
        <v>186</v>
      </c>
      <c r="J191" s="33">
        <f t="shared" si="91"/>
        <v>0</v>
      </c>
      <c r="K191" s="33">
        <f t="shared" si="92"/>
        <v>0</v>
      </c>
      <c r="L191" s="33">
        <f t="shared" si="93"/>
        <v>0</v>
      </c>
      <c r="M191" s="33">
        <f t="shared" si="94"/>
        <v>0</v>
      </c>
      <c r="N191" s="33">
        <f t="shared" si="75"/>
        <v>0</v>
      </c>
      <c r="O191" s="34">
        <f t="shared" si="76"/>
        <v>0</v>
      </c>
      <c r="P191" s="55">
        <v>186</v>
      </c>
      <c r="Q191" s="33">
        <f t="shared" si="89"/>
        <v>0</v>
      </c>
      <c r="R191" s="33">
        <f t="shared" si="95"/>
        <v>0</v>
      </c>
      <c r="S191" s="33">
        <f t="shared" si="96"/>
        <v>0</v>
      </c>
      <c r="T191" s="33">
        <f t="shared" si="77"/>
        <v>0</v>
      </c>
      <c r="U191" s="33">
        <f t="shared" si="90"/>
        <v>0</v>
      </c>
      <c r="V191" s="33">
        <f t="shared" si="78"/>
        <v>0</v>
      </c>
      <c r="W191" s="33">
        <v>0</v>
      </c>
      <c r="X191" s="33">
        <f t="shared" si="79"/>
        <v>0</v>
      </c>
      <c r="Y191" s="38">
        <f t="shared" si="80"/>
        <v>0</v>
      </c>
      <c r="AA191" s="71">
        <v>186</v>
      </c>
      <c r="AB191" s="33">
        <f t="shared" si="81"/>
        <v>0</v>
      </c>
      <c r="AC191" s="304">
        <f t="shared" si="101"/>
        <v>0</v>
      </c>
      <c r="AD191" s="100">
        <f t="shared" si="82"/>
        <v>0</v>
      </c>
      <c r="AE191" s="100">
        <f t="shared" si="83"/>
        <v>0</v>
      </c>
      <c r="AF191" s="193">
        <f t="shared" si="97"/>
        <v>0</v>
      </c>
      <c r="AG191" s="193">
        <f t="shared" si="98"/>
        <v>0</v>
      </c>
      <c r="AH191" s="193">
        <f t="shared" si="99"/>
        <v>0</v>
      </c>
      <c r="AI191" s="198">
        <f t="shared" si="100"/>
        <v>0</v>
      </c>
      <c r="AK191" s="71">
        <v>186</v>
      </c>
      <c r="AL191" s="33">
        <f t="shared" si="84"/>
        <v>0</v>
      </c>
      <c r="AM191" s="33">
        <f t="shared" si="85"/>
        <v>0</v>
      </c>
      <c r="AN191" s="33">
        <f t="shared" si="86"/>
        <v>0</v>
      </c>
      <c r="AO191" s="33">
        <f t="shared" si="87"/>
        <v>0</v>
      </c>
      <c r="AP191" s="33">
        <f t="shared" si="88"/>
        <v>0</v>
      </c>
      <c r="AQ191" s="193">
        <f t="shared" si="102"/>
        <v>0</v>
      </c>
      <c r="AR191" s="193">
        <f t="shared" si="102"/>
        <v>0</v>
      </c>
      <c r="AS191" s="193">
        <f t="shared" si="102"/>
        <v>0</v>
      </c>
      <c r="AT191" s="193">
        <f t="shared" si="102"/>
        <v>0</v>
      </c>
      <c r="AU191" s="33"/>
      <c r="AV191" s="33"/>
      <c r="AW191" s="33"/>
      <c r="AX191" s="33"/>
      <c r="AY191" s="76"/>
    </row>
    <row r="192" spans="3:51">
      <c r="C192" s="165" t="s">
        <v>67</v>
      </c>
      <c r="D192" s="4">
        <v>0.43</v>
      </c>
      <c r="E192" s="187" t="s">
        <v>228</v>
      </c>
      <c r="F192" s="342">
        <f>IF(OR(Tableau145[[#This Row],[Type]]="Feuillus",Tableau145[[#This Row],[Type]]="Peupliers"),1.56,1.3)</f>
        <v>1.56</v>
      </c>
      <c r="I192" s="55">
        <v>187</v>
      </c>
      <c r="J192" s="33">
        <f t="shared" si="91"/>
        <v>0</v>
      </c>
      <c r="K192" s="33">
        <f t="shared" si="92"/>
        <v>0</v>
      </c>
      <c r="L192" s="33">
        <f t="shared" si="93"/>
        <v>0</v>
      </c>
      <c r="M192" s="33">
        <f t="shared" si="94"/>
        <v>0</v>
      </c>
      <c r="N192" s="33">
        <f t="shared" si="75"/>
        <v>0</v>
      </c>
      <c r="O192" s="34">
        <f t="shared" si="76"/>
        <v>0</v>
      </c>
      <c r="P192" s="55">
        <v>187</v>
      </c>
      <c r="Q192" s="33">
        <f t="shared" si="89"/>
        <v>0</v>
      </c>
      <c r="R192" s="33">
        <f t="shared" si="95"/>
        <v>0</v>
      </c>
      <c r="S192" s="33">
        <f t="shared" si="96"/>
        <v>0</v>
      </c>
      <c r="T192" s="33">
        <f t="shared" si="77"/>
        <v>0</v>
      </c>
      <c r="U192" s="33">
        <f t="shared" si="90"/>
        <v>0</v>
      </c>
      <c r="V192" s="33">
        <f t="shared" si="78"/>
        <v>0</v>
      </c>
      <c r="W192" s="33">
        <v>0</v>
      </c>
      <c r="X192" s="33">
        <f t="shared" si="79"/>
        <v>0</v>
      </c>
      <c r="Y192" s="38">
        <f t="shared" si="80"/>
        <v>0</v>
      </c>
      <c r="AA192" s="71">
        <v>187</v>
      </c>
      <c r="AB192" s="33">
        <f t="shared" si="81"/>
        <v>0</v>
      </c>
      <c r="AC192" s="304">
        <f t="shared" si="101"/>
        <v>0</v>
      </c>
      <c r="AD192" s="100">
        <f t="shared" si="82"/>
        <v>0</v>
      </c>
      <c r="AE192" s="100">
        <f t="shared" si="83"/>
        <v>0</v>
      </c>
      <c r="AF192" s="193">
        <f t="shared" si="97"/>
        <v>0</v>
      </c>
      <c r="AG192" s="193">
        <f t="shared" si="98"/>
        <v>0</v>
      </c>
      <c r="AH192" s="193">
        <f t="shared" si="99"/>
        <v>0</v>
      </c>
      <c r="AI192" s="198">
        <f t="shared" si="100"/>
        <v>0</v>
      </c>
      <c r="AK192" s="71">
        <v>187</v>
      </c>
      <c r="AL192" s="33">
        <f t="shared" si="84"/>
        <v>0</v>
      </c>
      <c r="AM192" s="33">
        <f t="shared" si="85"/>
        <v>0</v>
      </c>
      <c r="AN192" s="33">
        <f t="shared" si="86"/>
        <v>0</v>
      </c>
      <c r="AO192" s="33">
        <f t="shared" si="87"/>
        <v>0</v>
      </c>
      <c r="AP192" s="33">
        <f t="shared" si="88"/>
        <v>0</v>
      </c>
      <c r="AQ192" s="193">
        <f t="shared" si="102"/>
        <v>0</v>
      </c>
      <c r="AR192" s="193">
        <f t="shared" si="102"/>
        <v>0</v>
      </c>
      <c r="AS192" s="193">
        <f t="shared" si="102"/>
        <v>0</v>
      </c>
      <c r="AT192" s="193">
        <f t="shared" si="102"/>
        <v>0</v>
      </c>
      <c r="AU192" s="33"/>
      <c r="AV192" s="33"/>
      <c r="AW192" s="33"/>
      <c r="AX192" s="33"/>
      <c r="AY192" s="76"/>
    </row>
    <row r="193" spans="3:51">
      <c r="C193" s="165" t="s">
        <v>68</v>
      </c>
      <c r="D193" s="4">
        <v>0.38</v>
      </c>
      <c r="E193" s="187" t="s">
        <v>228</v>
      </c>
      <c r="F193" s="342">
        <f>IF(OR(Tableau145[[#This Row],[Type]]="Feuillus",Tableau145[[#This Row],[Type]]="Peupliers"),1.56,1.3)</f>
        <v>1.56</v>
      </c>
      <c r="I193" s="55">
        <v>188</v>
      </c>
      <c r="J193" s="33">
        <f t="shared" si="91"/>
        <v>0</v>
      </c>
      <c r="K193" s="33">
        <f t="shared" si="92"/>
        <v>0</v>
      </c>
      <c r="L193" s="33">
        <f t="shared" si="93"/>
        <v>0</v>
      </c>
      <c r="M193" s="33">
        <f t="shared" si="94"/>
        <v>0</v>
      </c>
      <c r="N193" s="33">
        <f t="shared" si="75"/>
        <v>0</v>
      </c>
      <c r="O193" s="34">
        <f t="shared" si="76"/>
        <v>0</v>
      </c>
      <c r="P193" s="55">
        <v>188</v>
      </c>
      <c r="Q193" s="33">
        <f t="shared" si="89"/>
        <v>0</v>
      </c>
      <c r="R193" s="33">
        <f t="shared" si="95"/>
        <v>0</v>
      </c>
      <c r="S193" s="33">
        <f t="shared" si="96"/>
        <v>0</v>
      </c>
      <c r="T193" s="33">
        <f t="shared" si="77"/>
        <v>0</v>
      </c>
      <c r="U193" s="33">
        <f t="shared" si="90"/>
        <v>0</v>
      </c>
      <c r="V193" s="33">
        <f t="shared" si="78"/>
        <v>0</v>
      </c>
      <c r="W193" s="33">
        <v>0</v>
      </c>
      <c r="X193" s="33">
        <f t="shared" si="79"/>
        <v>0</v>
      </c>
      <c r="Y193" s="38">
        <f t="shared" si="80"/>
        <v>0</v>
      </c>
      <c r="AA193" s="71">
        <v>188</v>
      </c>
      <c r="AB193" s="33">
        <f t="shared" si="81"/>
        <v>0</v>
      </c>
      <c r="AC193" s="304">
        <f t="shared" si="101"/>
        <v>0</v>
      </c>
      <c r="AD193" s="100">
        <f t="shared" si="82"/>
        <v>0</v>
      </c>
      <c r="AE193" s="100">
        <f t="shared" si="83"/>
        <v>0</v>
      </c>
      <c r="AF193" s="193">
        <f t="shared" si="97"/>
        <v>0</v>
      </c>
      <c r="AG193" s="193">
        <f t="shared" si="98"/>
        <v>0</v>
      </c>
      <c r="AH193" s="193">
        <f t="shared" si="99"/>
        <v>0</v>
      </c>
      <c r="AI193" s="198">
        <f t="shared" si="100"/>
        <v>0</v>
      </c>
      <c r="AK193" s="71">
        <v>188</v>
      </c>
      <c r="AL193" s="33">
        <f t="shared" si="84"/>
        <v>0</v>
      </c>
      <c r="AM193" s="33">
        <f t="shared" si="85"/>
        <v>0</v>
      </c>
      <c r="AN193" s="33">
        <f t="shared" si="86"/>
        <v>0</v>
      </c>
      <c r="AO193" s="33">
        <f t="shared" si="87"/>
        <v>0</v>
      </c>
      <c r="AP193" s="33">
        <f t="shared" si="88"/>
        <v>0</v>
      </c>
      <c r="AQ193" s="193">
        <f t="shared" si="102"/>
        <v>0</v>
      </c>
      <c r="AR193" s="193">
        <f t="shared" si="102"/>
        <v>0</v>
      </c>
      <c r="AS193" s="193">
        <f t="shared" si="102"/>
        <v>0</v>
      </c>
      <c r="AT193" s="193">
        <f t="shared" si="102"/>
        <v>0</v>
      </c>
      <c r="AU193" s="33"/>
      <c r="AV193" s="33"/>
      <c r="AW193" s="33"/>
      <c r="AX193" s="33"/>
      <c r="AY193" s="76"/>
    </row>
    <row r="194" spans="3:51">
      <c r="C194" s="167" t="s">
        <v>69</v>
      </c>
      <c r="D194" s="3">
        <v>0.42</v>
      </c>
      <c r="E194" s="187" t="s">
        <v>229</v>
      </c>
      <c r="F194" s="342">
        <f>IF(OR(Tableau145[[#This Row],[Type]]="Feuillus",Tableau145[[#This Row],[Type]]="Peupliers"),1.56,1.3)</f>
        <v>1.3</v>
      </c>
      <c r="I194" s="55">
        <v>189</v>
      </c>
      <c r="J194" s="33">
        <f t="shared" si="91"/>
        <v>0</v>
      </c>
      <c r="K194" s="33">
        <f t="shared" si="92"/>
        <v>0</v>
      </c>
      <c r="L194" s="33">
        <f t="shared" si="93"/>
        <v>0</v>
      </c>
      <c r="M194" s="33">
        <f t="shared" si="94"/>
        <v>0</v>
      </c>
      <c r="N194" s="33">
        <f t="shared" si="75"/>
        <v>0</v>
      </c>
      <c r="O194" s="34">
        <f t="shared" si="76"/>
        <v>0</v>
      </c>
      <c r="P194" s="55">
        <v>189</v>
      </c>
      <c r="Q194" s="33">
        <f t="shared" si="89"/>
        <v>0</v>
      </c>
      <c r="R194" s="33">
        <f t="shared" si="95"/>
        <v>0</v>
      </c>
      <c r="S194" s="33">
        <f t="shared" si="96"/>
        <v>0</v>
      </c>
      <c r="T194" s="33">
        <f t="shared" si="77"/>
        <v>0</v>
      </c>
      <c r="U194" s="33">
        <f t="shared" si="90"/>
        <v>0</v>
      </c>
      <c r="V194" s="33">
        <f t="shared" si="78"/>
        <v>0</v>
      </c>
      <c r="W194" s="33">
        <v>0</v>
      </c>
      <c r="X194" s="33">
        <f t="shared" si="79"/>
        <v>0</v>
      </c>
      <c r="Y194" s="38">
        <f t="shared" si="80"/>
        <v>0</v>
      </c>
      <c r="AA194" s="71">
        <v>189</v>
      </c>
      <c r="AB194" s="33">
        <f t="shared" si="81"/>
        <v>0</v>
      </c>
      <c r="AC194" s="304">
        <f t="shared" si="101"/>
        <v>0</v>
      </c>
      <c r="AD194" s="100">
        <f t="shared" si="82"/>
        <v>0</v>
      </c>
      <c r="AE194" s="100">
        <f t="shared" si="83"/>
        <v>0</v>
      </c>
      <c r="AF194" s="193">
        <f t="shared" si="97"/>
        <v>0</v>
      </c>
      <c r="AG194" s="193">
        <f t="shared" si="98"/>
        <v>0</v>
      </c>
      <c r="AH194" s="193">
        <f t="shared" si="99"/>
        <v>0</v>
      </c>
      <c r="AI194" s="198">
        <f t="shared" si="100"/>
        <v>0</v>
      </c>
      <c r="AK194" s="71">
        <v>189</v>
      </c>
      <c r="AL194" s="33">
        <f t="shared" si="84"/>
        <v>0</v>
      </c>
      <c r="AM194" s="33">
        <f t="shared" si="85"/>
        <v>0</v>
      </c>
      <c r="AN194" s="33">
        <f t="shared" si="86"/>
        <v>0</v>
      </c>
      <c r="AO194" s="33">
        <f t="shared" si="87"/>
        <v>0</v>
      </c>
      <c r="AP194" s="33">
        <f t="shared" si="88"/>
        <v>0</v>
      </c>
      <c r="AQ194" s="193">
        <f t="shared" si="102"/>
        <v>0</v>
      </c>
      <c r="AR194" s="193">
        <f t="shared" si="102"/>
        <v>0</v>
      </c>
      <c r="AS194" s="193">
        <f t="shared" si="102"/>
        <v>0</v>
      </c>
      <c r="AT194" s="193">
        <f t="shared" si="102"/>
        <v>0</v>
      </c>
      <c r="AU194" s="33"/>
      <c r="AV194" s="33"/>
      <c r="AW194" s="33"/>
      <c r="AX194" s="33"/>
      <c r="AY194" s="76"/>
    </row>
    <row r="195" spans="3:51">
      <c r="C195" s="167" t="s">
        <v>70</v>
      </c>
      <c r="D195" s="3">
        <v>0.56999999999999995</v>
      </c>
      <c r="E195" s="187" t="s">
        <v>228</v>
      </c>
      <c r="F195" s="342">
        <f>IF(OR(Tableau145[[#This Row],[Type]]="Feuillus",Tableau145[[#This Row],[Type]]="Peupliers"),1.56,1.3)</f>
        <v>1.56</v>
      </c>
      <c r="I195" s="55">
        <v>190</v>
      </c>
      <c r="J195" s="33">
        <f t="shared" si="91"/>
        <v>0</v>
      </c>
      <c r="K195" s="33">
        <f t="shared" si="92"/>
        <v>0</v>
      </c>
      <c r="L195" s="33">
        <f t="shared" si="93"/>
        <v>0</v>
      </c>
      <c r="M195" s="33">
        <f t="shared" si="94"/>
        <v>0</v>
      </c>
      <c r="N195" s="33">
        <f t="shared" si="75"/>
        <v>0</v>
      </c>
      <c r="O195" s="34">
        <f t="shared" si="76"/>
        <v>0</v>
      </c>
      <c r="P195" s="55">
        <v>190</v>
      </c>
      <c r="Q195" s="33">
        <f t="shared" si="89"/>
        <v>0</v>
      </c>
      <c r="R195" s="33">
        <f t="shared" si="95"/>
        <v>0</v>
      </c>
      <c r="S195" s="33">
        <f t="shared" si="96"/>
        <v>0</v>
      </c>
      <c r="T195" s="33">
        <f t="shared" si="77"/>
        <v>0</v>
      </c>
      <c r="U195" s="33">
        <f t="shared" si="90"/>
        <v>0</v>
      </c>
      <c r="V195" s="33">
        <f t="shared" si="78"/>
        <v>0</v>
      </c>
      <c r="W195" s="33">
        <v>0</v>
      </c>
      <c r="X195" s="33">
        <f t="shared" si="79"/>
        <v>0</v>
      </c>
      <c r="Y195" s="38">
        <f t="shared" si="80"/>
        <v>0</v>
      </c>
      <c r="AA195" s="71">
        <v>190</v>
      </c>
      <c r="AB195" s="33">
        <f t="shared" si="81"/>
        <v>0</v>
      </c>
      <c r="AC195" s="304">
        <f t="shared" si="101"/>
        <v>0</v>
      </c>
      <c r="AD195" s="100">
        <f t="shared" si="82"/>
        <v>0</v>
      </c>
      <c r="AE195" s="100">
        <f t="shared" si="83"/>
        <v>0</v>
      </c>
      <c r="AF195" s="193">
        <f t="shared" si="97"/>
        <v>0</v>
      </c>
      <c r="AG195" s="193">
        <f t="shared" si="98"/>
        <v>0</v>
      </c>
      <c r="AH195" s="193">
        <f t="shared" si="99"/>
        <v>0</v>
      </c>
      <c r="AI195" s="198">
        <f t="shared" si="100"/>
        <v>0</v>
      </c>
      <c r="AK195" s="71">
        <v>190</v>
      </c>
      <c r="AL195" s="33">
        <f t="shared" si="84"/>
        <v>0</v>
      </c>
      <c r="AM195" s="33">
        <f t="shared" si="85"/>
        <v>0</v>
      </c>
      <c r="AN195" s="33">
        <f t="shared" si="86"/>
        <v>0</v>
      </c>
      <c r="AO195" s="33">
        <f t="shared" si="87"/>
        <v>0</v>
      </c>
      <c r="AP195" s="33">
        <f t="shared" si="88"/>
        <v>0</v>
      </c>
      <c r="AQ195" s="193">
        <f t="shared" si="102"/>
        <v>0</v>
      </c>
      <c r="AR195" s="193">
        <f t="shared" si="102"/>
        <v>0</v>
      </c>
      <c r="AS195" s="193">
        <f t="shared" si="102"/>
        <v>0</v>
      </c>
      <c r="AT195" s="193">
        <f t="shared" si="102"/>
        <v>0</v>
      </c>
      <c r="AU195" s="33"/>
      <c r="AV195" s="33"/>
      <c r="AW195" s="33"/>
      <c r="AX195" s="33"/>
      <c r="AY195" s="76"/>
    </row>
    <row r="196" spans="3:51">
      <c r="C196" s="167" t="s">
        <v>71</v>
      </c>
      <c r="D196" s="3">
        <v>0.54</v>
      </c>
      <c r="E196" s="187"/>
      <c r="F196" s="342">
        <f>IF(OR(Tableau145[[#This Row],[Type]]="Feuillus",Tableau145[[#This Row],[Type]]="Peupliers"),1.56,1.3)</f>
        <v>1.3</v>
      </c>
      <c r="I196" s="55">
        <v>191</v>
      </c>
      <c r="J196" s="33">
        <f t="shared" si="91"/>
        <v>0</v>
      </c>
      <c r="K196" s="33">
        <f t="shared" si="92"/>
        <v>0</v>
      </c>
      <c r="L196" s="33">
        <f t="shared" si="93"/>
        <v>0</v>
      </c>
      <c r="M196" s="33">
        <f t="shared" si="94"/>
        <v>0</v>
      </c>
      <c r="N196" s="33">
        <f t="shared" si="75"/>
        <v>0</v>
      </c>
      <c r="O196" s="34">
        <f t="shared" si="76"/>
        <v>0</v>
      </c>
      <c r="P196" s="55">
        <v>191</v>
      </c>
      <c r="Q196" s="33">
        <f t="shared" si="89"/>
        <v>0</v>
      </c>
      <c r="R196" s="33">
        <f t="shared" si="95"/>
        <v>0</v>
      </c>
      <c r="S196" s="33">
        <f t="shared" si="96"/>
        <v>0</v>
      </c>
      <c r="T196" s="33">
        <f t="shared" si="77"/>
        <v>0</v>
      </c>
      <c r="U196" s="33">
        <f t="shared" si="90"/>
        <v>0</v>
      </c>
      <c r="V196" s="33">
        <f t="shared" si="78"/>
        <v>0</v>
      </c>
      <c r="W196" s="33">
        <v>0</v>
      </c>
      <c r="X196" s="33">
        <f t="shared" si="79"/>
        <v>0</v>
      </c>
      <c r="Y196" s="38">
        <f t="shared" si="80"/>
        <v>0</v>
      </c>
      <c r="AA196" s="71">
        <v>191</v>
      </c>
      <c r="AB196" s="33">
        <f t="shared" si="81"/>
        <v>0</v>
      </c>
      <c r="AC196" s="304">
        <f t="shared" si="101"/>
        <v>0</v>
      </c>
      <c r="AD196" s="100">
        <f t="shared" si="82"/>
        <v>0</v>
      </c>
      <c r="AE196" s="100">
        <f t="shared" si="83"/>
        <v>0</v>
      </c>
      <c r="AF196" s="193">
        <f t="shared" si="97"/>
        <v>0</v>
      </c>
      <c r="AG196" s="193">
        <f t="shared" si="98"/>
        <v>0</v>
      </c>
      <c r="AH196" s="193">
        <f t="shared" si="99"/>
        <v>0</v>
      </c>
      <c r="AI196" s="198">
        <f t="shared" si="100"/>
        <v>0</v>
      </c>
      <c r="AK196" s="71">
        <v>191</v>
      </c>
      <c r="AL196" s="33">
        <f t="shared" si="84"/>
        <v>0</v>
      </c>
      <c r="AM196" s="33">
        <f t="shared" si="85"/>
        <v>0</v>
      </c>
      <c r="AN196" s="33">
        <f t="shared" si="86"/>
        <v>0</v>
      </c>
      <c r="AO196" s="33">
        <f t="shared" si="87"/>
        <v>0</v>
      </c>
      <c r="AP196" s="33">
        <f t="shared" si="88"/>
        <v>0</v>
      </c>
      <c r="AQ196" s="193">
        <f t="shared" si="102"/>
        <v>0</v>
      </c>
      <c r="AR196" s="193">
        <f t="shared" si="102"/>
        <v>0</v>
      </c>
      <c r="AS196" s="193">
        <f t="shared" si="102"/>
        <v>0</v>
      </c>
      <c r="AT196" s="193">
        <f t="shared" si="102"/>
        <v>0</v>
      </c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91"/>
        <v>0</v>
      </c>
      <c r="K197" s="33">
        <f t="shared" si="92"/>
        <v>0</v>
      </c>
      <c r="L197" s="33">
        <f t="shared" si="93"/>
        <v>0</v>
      </c>
      <c r="M197" s="33">
        <f t="shared" si="94"/>
        <v>0</v>
      </c>
      <c r="N197" s="33">
        <f t="shared" ref="N197:N204" si="103">IF(P198&lt;=$F$18,0,)</f>
        <v>0</v>
      </c>
      <c r="O197" s="34">
        <f t="shared" ref="O197:O205" si="104">((J197+K197)*0.475+L197+M197+N197)*44/12</f>
        <v>0</v>
      </c>
      <c r="P197" s="55">
        <v>192</v>
      </c>
      <c r="Q197" s="33">
        <f t="shared" si="89"/>
        <v>0</v>
      </c>
      <c r="R197" s="33">
        <f t="shared" si="95"/>
        <v>0</v>
      </c>
      <c r="S197" s="33">
        <f t="shared" si="96"/>
        <v>0</v>
      </c>
      <c r="T197" s="33">
        <f t="shared" ref="T197:T205" si="105">IF(S197=0,0,EXP(-1.0587+0.8836*LN(S197)+0.284))</f>
        <v>0</v>
      </c>
      <c r="U197" s="33">
        <f t="shared" si="90"/>
        <v>0</v>
      </c>
      <c r="V197" s="33">
        <f t="shared" ref="V197:V205" si="106">IF(P197&lt;=$F$18,IF(P197&lt;=30,P197*($F$16-$F$6)/30,$F$16-$F$6),)</f>
        <v>0</v>
      </c>
      <c r="W197" s="33">
        <v>0</v>
      </c>
      <c r="X197" s="33">
        <f t="shared" ref="X197:X205" si="107">((S197+T197)*0.475+U197+V197+W197)*44/12</f>
        <v>0</v>
      </c>
      <c r="Y197" s="38">
        <f t="shared" ref="Y197:Y205" si="108">IF(P197&lt;=$F$18,X197-O197,)</f>
        <v>0</v>
      </c>
      <c r="AA197" s="71">
        <v>192</v>
      </c>
      <c r="AB197" s="33">
        <f t="shared" ref="AB197:AB205" si="109">IF(AA197&lt;=$F$18,IFERROR(VLOOKUP($AA197,$B$82:$G$94,2,FALSE),0),)</f>
        <v>0</v>
      </c>
      <c r="AC197" s="304">
        <f t="shared" si="101"/>
        <v>0</v>
      </c>
      <c r="AD197" s="100">
        <f t="shared" ref="AD197:AD205" si="110">IF(AA197&lt;=$F$18,IFERROR(VLOOKUP($AA197,$B$82:$G$94,4,FALSE),0),)</f>
        <v>0</v>
      </c>
      <c r="AE197" s="100">
        <f t="shared" ref="AE197:AE205" si="111">IF(AA197&lt;=$F$18,IFERROR(VLOOKUP($AA197,$B$82:$G$94,5,FALSE),0),)</f>
        <v>0</v>
      </c>
      <c r="AF197" s="193">
        <f t="shared" si="97"/>
        <v>0</v>
      </c>
      <c r="AG197" s="193">
        <f t="shared" si="98"/>
        <v>0</v>
      </c>
      <c r="AH197" s="193">
        <f t="shared" si="99"/>
        <v>0</v>
      </c>
      <c r="AI197" s="198">
        <f t="shared" si="100"/>
        <v>0</v>
      </c>
      <c r="AK197" s="71">
        <v>192</v>
      </c>
      <c r="AL197" s="33">
        <f t="shared" ref="AL197:AL205" si="112">IF(AK197&lt;=$F$18,IFERROR(VLOOKUP($AA197,$B$82:$G$94,2,FALSE),0),)</f>
        <v>0</v>
      </c>
      <c r="AM197" s="33">
        <f t="shared" ref="AM197:AM205" si="113">IF(AK197&lt;=$F$18,IFERROR(VLOOKUP($AA197,$B$82:$G$94,3,FALSE),0),)</f>
        <v>0</v>
      </c>
      <c r="AN197" s="33">
        <f t="shared" ref="AN197:AN205" si="114">IF(AK197&lt;=$F$18,IFERROR(VLOOKUP($AA197,$B$82:$G$94,4,FALSE),0),)</f>
        <v>0</v>
      </c>
      <c r="AO197" s="33">
        <f t="shared" ref="AO197:AO205" si="115">IF(AK197&lt;=$F$18,IFERROR(VLOOKUP($AA197,$B$82:$G$94,5,FALSE),0),)</f>
        <v>0</v>
      </c>
      <c r="AP197" s="33">
        <f t="shared" ref="AP197:AP205" si="116">IF(AK197&lt;=$F$18,IFERROR(VLOOKUP($AA197,$B$82:$G$94,6,FALSE),0),)</f>
        <v>0</v>
      </c>
      <c r="AQ197" s="193">
        <f t="shared" si="102"/>
        <v>0</v>
      </c>
      <c r="AR197" s="193">
        <f t="shared" si="102"/>
        <v>0</v>
      </c>
      <c r="AS197" s="193">
        <f t="shared" si="102"/>
        <v>0</v>
      </c>
      <c r="AT197" s="193">
        <f t="shared" si="102"/>
        <v>0</v>
      </c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91"/>
        <v>0</v>
      </c>
      <c r="K198" s="33">
        <f t="shared" si="92"/>
        <v>0</v>
      </c>
      <c r="L198" s="33">
        <f t="shared" si="93"/>
        <v>0</v>
      </c>
      <c r="M198" s="33">
        <f t="shared" si="94"/>
        <v>0</v>
      </c>
      <c r="N198" s="33">
        <f t="shared" si="103"/>
        <v>0</v>
      </c>
      <c r="O198" s="34">
        <f t="shared" si="104"/>
        <v>0</v>
      </c>
      <c r="P198" s="55">
        <v>193</v>
      </c>
      <c r="Q198" s="33">
        <f t="shared" ref="Q198:Q205" si="117">IF(P198&lt;=$F$18,LOOKUP(P198-1,$B$25:$B$78,$G$25:$G$78),)</f>
        <v>0</v>
      </c>
      <c r="R198" s="33">
        <f t="shared" si="95"/>
        <v>0</v>
      </c>
      <c r="S198" s="33">
        <f t="shared" si="96"/>
        <v>0</v>
      </c>
      <c r="T198" s="33">
        <f t="shared" si="105"/>
        <v>0</v>
      </c>
      <c r="U198" s="33">
        <f t="shared" ref="U198:U205" si="118">IF(P198&lt;=$F$18,$F$5+($F$15-$F$5)*(1-EXP(-0.0175*P198)),)</f>
        <v>0</v>
      </c>
      <c r="V198" s="33">
        <f t="shared" si="106"/>
        <v>0</v>
      </c>
      <c r="W198" s="33">
        <v>0</v>
      </c>
      <c r="X198" s="33">
        <f t="shared" si="107"/>
        <v>0</v>
      </c>
      <c r="Y198" s="38">
        <f t="shared" si="108"/>
        <v>0</v>
      </c>
      <c r="AA198" s="71">
        <v>193</v>
      </c>
      <c r="AB198" s="33">
        <f t="shared" si="109"/>
        <v>0</v>
      </c>
      <c r="AC198" s="304">
        <f t="shared" si="101"/>
        <v>0</v>
      </c>
      <c r="AD198" s="100">
        <f t="shared" si="110"/>
        <v>0</v>
      </c>
      <c r="AE198" s="100">
        <f t="shared" si="111"/>
        <v>0</v>
      </c>
      <c r="AF198" s="193">
        <f t="shared" si="97"/>
        <v>0</v>
      </c>
      <c r="AG198" s="193">
        <f t="shared" si="98"/>
        <v>0</v>
      </c>
      <c r="AH198" s="193">
        <f t="shared" si="99"/>
        <v>0</v>
      </c>
      <c r="AI198" s="198">
        <f t="shared" si="100"/>
        <v>0</v>
      </c>
      <c r="AK198" s="71">
        <v>193</v>
      </c>
      <c r="AL198" s="33">
        <f t="shared" si="112"/>
        <v>0</v>
      </c>
      <c r="AM198" s="33">
        <f t="shared" si="113"/>
        <v>0</v>
      </c>
      <c r="AN198" s="33">
        <f t="shared" si="114"/>
        <v>0</v>
      </c>
      <c r="AO198" s="33">
        <f t="shared" si="115"/>
        <v>0</v>
      </c>
      <c r="AP198" s="33">
        <f t="shared" si="116"/>
        <v>0</v>
      </c>
      <c r="AQ198" s="193">
        <f t="shared" si="102"/>
        <v>0</v>
      </c>
      <c r="AR198" s="193">
        <f t="shared" si="102"/>
        <v>0</v>
      </c>
      <c r="AS198" s="193">
        <f t="shared" si="102"/>
        <v>0</v>
      </c>
      <c r="AT198" s="193">
        <f t="shared" si="102"/>
        <v>0</v>
      </c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119">IF($I199&lt;=$F$10,$F$11*$F$13+J198,)</f>
        <v>0</v>
      </c>
      <c r="K199" s="33">
        <f t="shared" ref="K199:K205" si="120">IF(J199=0,0,EXP(-1.0587+0.8836*LN(J199)+0.284))</f>
        <v>0</v>
      </c>
      <c r="L199" s="33">
        <f t="shared" ref="L199:L205" si="121">IF(I199&lt;=$F$10,$F$5+($F$8-$F$5)*(1-EXP(-0.0175*I199)),)</f>
        <v>0</v>
      </c>
      <c r="M199" s="33">
        <f t="shared" ref="M199:M205" si="122">IF(I199&lt;=$F$10,IF(I199&lt;=30,I199*($F$9-$F$6)/30,$F$9-$F$6),)</f>
        <v>0</v>
      </c>
      <c r="N199" s="33">
        <f t="shared" si="103"/>
        <v>0</v>
      </c>
      <c r="O199" s="34">
        <f t="shared" si="104"/>
        <v>0</v>
      </c>
      <c r="P199" s="55">
        <v>194</v>
      </c>
      <c r="Q199" s="33">
        <f t="shared" si="117"/>
        <v>0</v>
      </c>
      <c r="R199" s="33">
        <f t="shared" ref="R199:R205" si="123">IF(P199&lt;=$F$18,Q199+R198,)</f>
        <v>0</v>
      </c>
      <c r="S199" s="33">
        <f t="shared" ref="S199:S205" si="124">$F$19*R199</f>
        <v>0</v>
      </c>
      <c r="T199" s="33">
        <f t="shared" si="105"/>
        <v>0</v>
      </c>
      <c r="U199" s="33">
        <f t="shared" si="118"/>
        <v>0</v>
      </c>
      <c r="V199" s="33">
        <f t="shared" si="106"/>
        <v>0</v>
      </c>
      <c r="W199" s="33">
        <v>0</v>
      </c>
      <c r="X199" s="33">
        <f t="shared" si="107"/>
        <v>0</v>
      </c>
      <c r="Y199" s="38">
        <f t="shared" si="108"/>
        <v>0</v>
      </c>
      <c r="AA199" s="71">
        <v>194</v>
      </c>
      <c r="AB199" s="33">
        <f t="shared" si="109"/>
        <v>0</v>
      </c>
      <c r="AC199" s="304">
        <f t="shared" si="101"/>
        <v>0</v>
      </c>
      <c r="AD199" s="100">
        <f t="shared" si="110"/>
        <v>0</v>
      </c>
      <c r="AE199" s="100">
        <f t="shared" si="111"/>
        <v>0</v>
      </c>
      <c r="AF199" s="193">
        <f t="shared" si="97"/>
        <v>0</v>
      </c>
      <c r="AG199" s="193">
        <f t="shared" si="98"/>
        <v>0</v>
      </c>
      <c r="AH199" s="193">
        <f t="shared" si="99"/>
        <v>0</v>
      </c>
      <c r="AI199" s="198">
        <f t="shared" si="100"/>
        <v>0</v>
      </c>
      <c r="AK199" s="71">
        <v>194</v>
      </c>
      <c r="AL199" s="33">
        <f t="shared" si="112"/>
        <v>0</v>
      </c>
      <c r="AM199" s="33">
        <f t="shared" si="113"/>
        <v>0</v>
      </c>
      <c r="AN199" s="33">
        <f t="shared" si="114"/>
        <v>0</v>
      </c>
      <c r="AO199" s="33">
        <f t="shared" si="115"/>
        <v>0</v>
      </c>
      <c r="AP199" s="33">
        <f t="shared" si="116"/>
        <v>0</v>
      </c>
      <c r="AQ199" s="193">
        <f t="shared" si="102"/>
        <v>0</v>
      </c>
      <c r="AR199" s="193">
        <f t="shared" si="102"/>
        <v>0</v>
      </c>
      <c r="AS199" s="193">
        <f t="shared" si="102"/>
        <v>0</v>
      </c>
      <c r="AT199" s="193">
        <f t="shared" si="102"/>
        <v>0</v>
      </c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119"/>
        <v>0</v>
      </c>
      <c r="K200" s="33">
        <f t="shared" si="120"/>
        <v>0</v>
      </c>
      <c r="L200" s="33">
        <f t="shared" si="121"/>
        <v>0</v>
      </c>
      <c r="M200" s="33">
        <f t="shared" si="122"/>
        <v>0</v>
      </c>
      <c r="N200" s="33">
        <f t="shared" si="103"/>
        <v>0</v>
      </c>
      <c r="O200" s="34">
        <f t="shared" si="104"/>
        <v>0</v>
      </c>
      <c r="P200" s="55">
        <v>195</v>
      </c>
      <c r="Q200" s="33">
        <f t="shared" si="117"/>
        <v>0</v>
      </c>
      <c r="R200" s="33">
        <f t="shared" si="123"/>
        <v>0</v>
      </c>
      <c r="S200" s="33">
        <f t="shared" si="124"/>
        <v>0</v>
      </c>
      <c r="T200" s="33">
        <f t="shared" si="105"/>
        <v>0</v>
      </c>
      <c r="U200" s="33">
        <f t="shared" si="118"/>
        <v>0</v>
      </c>
      <c r="V200" s="33">
        <f t="shared" si="106"/>
        <v>0</v>
      </c>
      <c r="W200" s="33">
        <v>0</v>
      </c>
      <c r="X200" s="33">
        <f t="shared" si="107"/>
        <v>0</v>
      </c>
      <c r="Y200" s="38">
        <f t="shared" si="108"/>
        <v>0</v>
      </c>
      <c r="AA200" s="71">
        <v>195</v>
      </c>
      <c r="AB200" s="33">
        <f t="shared" si="109"/>
        <v>0</v>
      </c>
      <c r="AC200" s="304">
        <f t="shared" si="101"/>
        <v>0</v>
      </c>
      <c r="AD200" s="100">
        <f t="shared" si="110"/>
        <v>0</v>
      </c>
      <c r="AE200" s="100">
        <f t="shared" si="111"/>
        <v>0</v>
      </c>
      <c r="AF200" s="193">
        <f t="shared" si="97"/>
        <v>0</v>
      </c>
      <c r="AG200" s="193">
        <f t="shared" si="98"/>
        <v>0</v>
      </c>
      <c r="AH200" s="193">
        <f t="shared" si="99"/>
        <v>0</v>
      </c>
      <c r="AI200" s="198">
        <f t="shared" si="100"/>
        <v>0</v>
      </c>
      <c r="AK200" s="71">
        <v>195</v>
      </c>
      <c r="AL200" s="33">
        <f t="shared" si="112"/>
        <v>0</v>
      </c>
      <c r="AM200" s="33">
        <f t="shared" si="113"/>
        <v>0</v>
      </c>
      <c r="AN200" s="33">
        <f t="shared" si="114"/>
        <v>0</v>
      </c>
      <c r="AO200" s="33">
        <f t="shared" si="115"/>
        <v>0</v>
      </c>
      <c r="AP200" s="33">
        <f t="shared" si="116"/>
        <v>0</v>
      </c>
      <c r="AQ200" s="193">
        <f t="shared" si="102"/>
        <v>0</v>
      </c>
      <c r="AR200" s="193">
        <f t="shared" si="102"/>
        <v>0</v>
      </c>
      <c r="AS200" s="193">
        <f t="shared" si="102"/>
        <v>0</v>
      </c>
      <c r="AT200" s="193">
        <f t="shared" si="102"/>
        <v>0</v>
      </c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119"/>
        <v>0</v>
      </c>
      <c r="K201" s="33">
        <f t="shared" si="120"/>
        <v>0</v>
      </c>
      <c r="L201" s="33">
        <f t="shared" si="121"/>
        <v>0</v>
      </c>
      <c r="M201" s="33">
        <f t="shared" si="122"/>
        <v>0</v>
      </c>
      <c r="N201" s="33">
        <f t="shared" si="103"/>
        <v>0</v>
      </c>
      <c r="O201" s="34">
        <f t="shared" si="104"/>
        <v>0</v>
      </c>
      <c r="P201" s="55">
        <v>196</v>
      </c>
      <c r="Q201" s="33">
        <f t="shared" si="117"/>
        <v>0</v>
      </c>
      <c r="R201" s="33">
        <f t="shared" si="123"/>
        <v>0</v>
      </c>
      <c r="S201" s="33">
        <f t="shared" si="124"/>
        <v>0</v>
      </c>
      <c r="T201" s="33">
        <f t="shared" si="105"/>
        <v>0</v>
      </c>
      <c r="U201" s="33">
        <f t="shared" si="118"/>
        <v>0</v>
      </c>
      <c r="V201" s="33">
        <f t="shared" si="106"/>
        <v>0</v>
      </c>
      <c r="W201" s="33">
        <v>0</v>
      </c>
      <c r="X201" s="33">
        <f t="shared" si="107"/>
        <v>0</v>
      </c>
      <c r="Y201" s="38">
        <f t="shared" si="108"/>
        <v>0</v>
      </c>
      <c r="AA201" s="71">
        <v>196</v>
      </c>
      <c r="AB201" s="33">
        <f t="shared" si="109"/>
        <v>0</v>
      </c>
      <c r="AC201" s="304">
        <f t="shared" si="101"/>
        <v>0</v>
      </c>
      <c r="AD201" s="100">
        <f t="shared" si="110"/>
        <v>0</v>
      </c>
      <c r="AE201" s="100">
        <f t="shared" si="111"/>
        <v>0</v>
      </c>
      <c r="AF201" s="193">
        <f t="shared" si="97"/>
        <v>0</v>
      </c>
      <c r="AG201" s="193">
        <f t="shared" si="98"/>
        <v>0</v>
      </c>
      <c r="AH201" s="193">
        <f t="shared" si="99"/>
        <v>0</v>
      </c>
      <c r="AI201" s="198">
        <f t="shared" si="100"/>
        <v>0</v>
      </c>
      <c r="AK201" s="71">
        <v>196</v>
      </c>
      <c r="AL201" s="33">
        <f t="shared" si="112"/>
        <v>0</v>
      </c>
      <c r="AM201" s="33">
        <f t="shared" si="113"/>
        <v>0</v>
      </c>
      <c r="AN201" s="33">
        <f t="shared" si="114"/>
        <v>0</v>
      </c>
      <c r="AO201" s="33">
        <f t="shared" si="115"/>
        <v>0</v>
      </c>
      <c r="AP201" s="33">
        <f t="shared" si="116"/>
        <v>0</v>
      </c>
      <c r="AQ201" s="193">
        <f t="shared" si="102"/>
        <v>0</v>
      </c>
      <c r="AR201" s="193">
        <f t="shared" si="102"/>
        <v>0</v>
      </c>
      <c r="AS201" s="193">
        <f t="shared" si="102"/>
        <v>0</v>
      </c>
      <c r="AT201" s="193">
        <f t="shared" si="102"/>
        <v>0</v>
      </c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119"/>
        <v>0</v>
      </c>
      <c r="K202" s="33">
        <f t="shared" si="120"/>
        <v>0</v>
      </c>
      <c r="L202" s="33">
        <f t="shared" si="121"/>
        <v>0</v>
      </c>
      <c r="M202" s="33">
        <f t="shared" si="122"/>
        <v>0</v>
      </c>
      <c r="N202" s="33">
        <f t="shared" si="103"/>
        <v>0</v>
      </c>
      <c r="O202" s="34">
        <f t="shared" si="104"/>
        <v>0</v>
      </c>
      <c r="P202" s="55">
        <v>197</v>
      </c>
      <c r="Q202" s="33">
        <f t="shared" si="117"/>
        <v>0</v>
      </c>
      <c r="R202" s="33">
        <f t="shared" si="123"/>
        <v>0</v>
      </c>
      <c r="S202" s="33">
        <f t="shared" si="124"/>
        <v>0</v>
      </c>
      <c r="T202" s="33">
        <f t="shared" si="105"/>
        <v>0</v>
      </c>
      <c r="U202" s="33">
        <f t="shared" si="118"/>
        <v>0</v>
      </c>
      <c r="V202" s="33">
        <f t="shared" si="106"/>
        <v>0</v>
      </c>
      <c r="W202" s="33">
        <v>0</v>
      </c>
      <c r="X202" s="33">
        <f t="shared" si="107"/>
        <v>0</v>
      </c>
      <c r="Y202" s="38">
        <f t="shared" si="108"/>
        <v>0</v>
      </c>
      <c r="AA202" s="71">
        <v>197</v>
      </c>
      <c r="AB202" s="33">
        <f t="shared" si="109"/>
        <v>0</v>
      </c>
      <c r="AC202" s="304">
        <f t="shared" si="101"/>
        <v>0</v>
      </c>
      <c r="AD202" s="100">
        <f t="shared" si="110"/>
        <v>0</v>
      </c>
      <c r="AE202" s="100">
        <f t="shared" si="111"/>
        <v>0</v>
      </c>
      <c r="AF202" s="193">
        <f t="shared" si="97"/>
        <v>0</v>
      </c>
      <c r="AG202" s="193">
        <f t="shared" si="98"/>
        <v>0</v>
      </c>
      <c r="AH202" s="193">
        <f t="shared" si="99"/>
        <v>0</v>
      </c>
      <c r="AI202" s="198">
        <f t="shared" si="100"/>
        <v>0</v>
      </c>
      <c r="AK202" s="71">
        <v>197</v>
      </c>
      <c r="AL202" s="33">
        <f t="shared" si="112"/>
        <v>0</v>
      </c>
      <c r="AM202" s="33">
        <f t="shared" si="113"/>
        <v>0</v>
      </c>
      <c r="AN202" s="33">
        <f t="shared" si="114"/>
        <v>0</v>
      </c>
      <c r="AO202" s="33">
        <f t="shared" si="115"/>
        <v>0</v>
      </c>
      <c r="AP202" s="33">
        <f t="shared" si="116"/>
        <v>0</v>
      </c>
      <c r="AQ202" s="193">
        <f t="shared" si="102"/>
        <v>0</v>
      </c>
      <c r="AR202" s="193">
        <f t="shared" si="102"/>
        <v>0</v>
      </c>
      <c r="AS202" s="193">
        <f t="shared" si="102"/>
        <v>0</v>
      </c>
      <c r="AT202" s="193">
        <f t="shared" si="102"/>
        <v>0</v>
      </c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119"/>
        <v>0</v>
      </c>
      <c r="K203" s="33">
        <f t="shared" si="120"/>
        <v>0</v>
      </c>
      <c r="L203" s="33">
        <f t="shared" si="121"/>
        <v>0</v>
      </c>
      <c r="M203" s="33">
        <f t="shared" si="122"/>
        <v>0</v>
      </c>
      <c r="N203" s="33">
        <f t="shared" si="103"/>
        <v>0</v>
      </c>
      <c r="O203" s="34">
        <f t="shared" si="104"/>
        <v>0</v>
      </c>
      <c r="P203" s="55">
        <v>198</v>
      </c>
      <c r="Q203" s="33">
        <f t="shared" si="117"/>
        <v>0</v>
      </c>
      <c r="R203" s="33">
        <f t="shared" si="123"/>
        <v>0</v>
      </c>
      <c r="S203" s="33">
        <f t="shared" si="124"/>
        <v>0</v>
      </c>
      <c r="T203" s="33">
        <f t="shared" si="105"/>
        <v>0</v>
      </c>
      <c r="U203" s="33">
        <f t="shared" si="118"/>
        <v>0</v>
      </c>
      <c r="V203" s="33">
        <f t="shared" si="106"/>
        <v>0</v>
      </c>
      <c r="W203" s="33">
        <v>0</v>
      </c>
      <c r="X203" s="33">
        <f t="shared" si="107"/>
        <v>0</v>
      </c>
      <c r="Y203" s="38">
        <f t="shared" si="108"/>
        <v>0</v>
      </c>
      <c r="AA203" s="71">
        <v>198</v>
      </c>
      <c r="AB203" s="33">
        <f t="shared" si="109"/>
        <v>0</v>
      </c>
      <c r="AC203" s="304">
        <f t="shared" si="101"/>
        <v>0</v>
      </c>
      <c r="AD203" s="100">
        <f t="shared" si="110"/>
        <v>0</v>
      </c>
      <c r="AE203" s="100">
        <f t="shared" si="111"/>
        <v>0</v>
      </c>
      <c r="AF203" s="193">
        <f t="shared" si="97"/>
        <v>0</v>
      </c>
      <c r="AG203" s="193">
        <f t="shared" si="98"/>
        <v>0</v>
      </c>
      <c r="AH203" s="193">
        <f t="shared" si="99"/>
        <v>0</v>
      </c>
      <c r="AI203" s="198">
        <f t="shared" si="100"/>
        <v>0</v>
      </c>
      <c r="AK203" s="71">
        <v>198</v>
      </c>
      <c r="AL203" s="33">
        <f t="shared" si="112"/>
        <v>0</v>
      </c>
      <c r="AM203" s="33">
        <f t="shared" si="113"/>
        <v>0</v>
      </c>
      <c r="AN203" s="33">
        <f t="shared" si="114"/>
        <v>0</v>
      </c>
      <c r="AO203" s="33">
        <f t="shared" si="115"/>
        <v>0</v>
      </c>
      <c r="AP203" s="33">
        <f t="shared" si="116"/>
        <v>0</v>
      </c>
      <c r="AQ203" s="193">
        <f t="shared" si="102"/>
        <v>0</v>
      </c>
      <c r="AR203" s="193">
        <f t="shared" si="102"/>
        <v>0</v>
      </c>
      <c r="AS203" s="193">
        <f t="shared" si="102"/>
        <v>0</v>
      </c>
      <c r="AT203" s="193">
        <f t="shared" si="102"/>
        <v>0</v>
      </c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119"/>
        <v>0</v>
      </c>
      <c r="K204" s="33">
        <f t="shared" si="120"/>
        <v>0</v>
      </c>
      <c r="L204" s="33">
        <f t="shared" si="121"/>
        <v>0</v>
      </c>
      <c r="M204" s="33">
        <f t="shared" si="122"/>
        <v>0</v>
      </c>
      <c r="N204" s="33">
        <f t="shared" si="103"/>
        <v>0</v>
      </c>
      <c r="O204" s="34">
        <f t="shared" si="104"/>
        <v>0</v>
      </c>
      <c r="P204" s="55">
        <v>199</v>
      </c>
      <c r="Q204" s="33">
        <f t="shared" si="117"/>
        <v>0</v>
      </c>
      <c r="R204" s="33">
        <f t="shared" si="123"/>
        <v>0</v>
      </c>
      <c r="S204" s="33">
        <f t="shared" si="124"/>
        <v>0</v>
      </c>
      <c r="T204" s="33">
        <f t="shared" si="105"/>
        <v>0</v>
      </c>
      <c r="U204" s="33">
        <f t="shared" si="118"/>
        <v>0</v>
      </c>
      <c r="V204" s="33">
        <f t="shared" si="106"/>
        <v>0</v>
      </c>
      <c r="W204" s="33">
        <v>0</v>
      </c>
      <c r="X204" s="33">
        <f t="shared" si="107"/>
        <v>0</v>
      </c>
      <c r="Y204" s="38">
        <f t="shared" si="108"/>
        <v>0</v>
      </c>
      <c r="AA204" s="71">
        <v>199</v>
      </c>
      <c r="AB204" s="33">
        <f t="shared" si="109"/>
        <v>0</v>
      </c>
      <c r="AC204" s="304">
        <f t="shared" si="101"/>
        <v>0</v>
      </c>
      <c r="AD204" s="100">
        <f t="shared" si="110"/>
        <v>0</v>
      </c>
      <c r="AE204" s="100">
        <f t="shared" si="111"/>
        <v>0</v>
      </c>
      <c r="AF204" s="193">
        <f t="shared" si="97"/>
        <v>0</v>
      </c>
      <c r="AG204" s="193">
        <f t="shared" si="98"/>
        <v>0</v>
      </c>
      <c r="AH204" s="193">
        <f t="shared" si="99"/>
        <v>0</v>
      </c>
      <c r="AI204" s="198">
        <f t="shared" si="100"/>
        <v>0</v>
      </c>
      <c r="AK204" s="71">
        <v>199</v>
      </c>
      <c r="AL204" s="33">
        <f t="shared" si="112"/>
        <v>0</v>
      </c>
      <c r="AM204" s="33">
        <f t="shared" si="113"/>
        <v>0</v>
      </c>
      <c r="AN204" s="33">
        <f t="shared" si="114"/>
        <v>0</v>
      </c>
      <c r="AO204" s="33">
        <f t="shared" si="115"/>
        <v>0</v>
      </c>
      <c r="AP204" s="33">
        <f t="shared" si="116"/>
        <v>0</v>
      </c>
      <c r="AQ204" s="193">
        <f t="shared" si="102"/>
        <v>0</v>
      </c>
      <c r="AR204" s="193">
        <f t="shared" si="102"/>
        <v>0</v>
      </c>
      <c r="AS204" s="193">
        <f t="shared" si="102"/>
        <v>0</v>
      </c>
      <c r="AT204" s="193">
        <f t="shared" si="102"/>
        <v>0</v>
      </c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119"/>
        <v>0</v>
      </c>
      <c r="K205" s="33">
        <f t="shared" si="120"/>
        <v>0</v>
      </c>
      <c r="L205" s="33">
        <f t="shared" si="121"/>
        <v>0</v>
      </c>
      <c r="M205" s="33">
        <f t="shared" si="122"/>
        <v>0</v>
      </c>
      <c r="N205" s="35">
        <f>IF(F208&lt;=$F$18,0,)</f>
        <v>0</v>
      </c>
      <c r="O205" s="34">
        <f t="shared" si="104"/>
        <v>0</v>
      </c>
      <c r="P205" s="56">
        <v>200</v>
      </c>
      <c r="Q205" s="35">
        <f t="shared" si="117"/>
        <v>0</v>
      </c>
      <c r="R205" s="35">
        <f t="shared" si="123"/>
        <v>0</v>
      </c>
      <c r="S205" s="35">
        <f t="shared" si="124"/>
        <v>0</v>
      </c>
      <c r="T205" s="35">
        <f t="shared" si="105"/>
        <v>0</v>
      </c>
      <c r="U205" s="35">
        <f t="shared" si="118"/>
        <v>0</v>
      </c>
      <c r="V205" s="35">
        <f t="shared" si="106"/>
        <v>0</v>
      </c>
      <c r="W205" s="35">
        <v>0</v>
      </c>
      <c r="X205" s="154">
        <f t="shared" si="107"/>
        <v>0</v>
      </c>
      <c r="Y205" s="39">
        <f t="shared" si="108"/>
        <v>0</v>
      </c>
      <c r="AA205" s="72">
        <v>200</v>
      </c>
      <c r="AB205" s="142">
        <f t="shared" si="109"/>
        <v>0</v>
      </c>
      <c r="AC205" s="304">
        <f t="shared" si="101"/>
        <v>0</v>
      </c>
      <c r="AD205" s="101">
        <f t="shared" si="110"/>
        <v>0</v>
      </c>
      <c r="AE205" s="101">
        <f t="shared" si="111"/>
        <v>0</v>
      </c>
      <c r="AF205" s="195">
        <f t="shared" si="97"/>
        <v>0</v>
      </c>
      <c r="AG205" s="195">
        <f t="shared" si="98"/>
        <v>0</v>
      </c>
      <c r="AH205" s="195">
        <f t="shared" si="99"/>
        <v>0</v>
      </c>
      <c r="AI205" s="202">
        <f t="shared" si="100"/>
        <v>0</v>
      </c>
      <c r="AK205" s="72">
        <v>200</v>
      </c>
      <c r="AL205" s="142">
        <f t="shared" si="112"/>
        <v>0</v>
      </c>
      <c r="AM205" s="35">
        <f t="shared" si="113"/>
        <v>0</v>
      </c>
      <c r="AN205" s="35">
        <f t="shared" si="114"/>
        <v>0</v>
      </c>
      <c r="AO205" s="35">
        <f t="shared" si="115"/>
        <v>0</v>
      </c>
      <c r="AP205" s="35">
        <f t="shared" si="116"/>
        <v>0</v>
      </c>
      <c r="AQ205" s="195">
        <f t="shared" si="102"/>
        <v>0</v>
      </c>
      <c r="AR205" s="195">
        <f t="shared" si="102"/>
        <v>0</v>
      </c>
      <c r="AS205" s="195">
        <f t="shared" si="102"/>
        <v>0</v>
      </c>
      <c r="AT205" s="195">
        <f t="shared" si="102"/>
        <v>0</v>
      </c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B80:G80"/>
    <mergeCell ref="I3:O3"/>
    <mergeCell ref="P3:X3"/>
    <mergeCell ref="AA3:AI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B23:G23"/>
  </mergeCells>
  <dataValidations count="4">
    <dataValidation type="list" allowBlank="1" showInputMessage="1" showErrorMessage="1" sqref="D8:E8 D5:E5 D15" xr:uid="{00000000-0002-0000-0400-000000000000}">
      <formula1>$B$97:$B$100</formula1>
    </dataValidation>
    <dataValidation type="list" allowBlank="1" showInputMessage="1" showErrorMessage="1" sqref="D81:G81" xr:uid="{00000000-0002-0000-0400-000001000000}">
      <formula1>$B$104:$B$108</formula1>
    </dataValidation>
    <dataValidation type="list" allowBlank="1" showInputMessage="1" showErrorMessage="1" sqref="F12" xr:uid="{00000000-0002-0000-0400-000002000000}">
      <formula1>$C$194:$C$195</formula1>
    </dataValidation>
    <dataValidation type="list" allowBlank="1" showInputMessage="1" showErrorMessage="1" sqref="F17" xr:uid="{00000000-0002-0000-0400-000003000000}">
      <formula1>$C$130:$C$195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</sheetPr>
  <dimension ref="B3:AY207"/>
  <sheetViews>
    <sheetView topLeftCell="A4" zoomScale="85" zoomScaleNormal="85" workbookViewId="0">
      <selection activeCell="D28" sqref="D28"/>
    </sheetView>
  </sheetViews>
  <sheetFormatPr baseColWidth="10" defaultRowHeight="15"/>
  <cols>
    <col min="3" max="5" width="13.664062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2" customWidth="1"/>
    <col min="47" max="51" width="10.5" customWidth="1"/>
    <col min="54" max="54" width="19.33203125" customWidth="1"/>
  </cols>
  <sheetData>
    <row r="3" spans="2:51" ht="16">
      <c r="I3" s="380" t="s">
        <v>172</v>
      </c>
      <c r="J3" s="381"/>
      <c r="K3" s="381"/>
      <c r="L3" s="381"/>
      <c r="M3" s="381"/>
      <c r="N3" s="381"/>
      <c r="O3" s="382"/>
      <c r="P3" s="383" t="s">
        <v>144</v>
      </c>
      <c r="Q3" s="384"/>
      <c r="R3" s="384"/>
      <c r="S3" s="384"/>
      <c r="T3" s="384"/>
      <c r="U3" s="384"/>
      <c r="V3" s="384"/>
      <c r="W3" s="384"/>
      <c r="X3" s="385"/>
      <c r="Y3" s="90"/>
      <c r="Z3" s="90"/>
      <c r="AA3" s="371" t="s">
        <v>159</v>
      </c>
      <c r="AB3" s="372"/>
      <c r="AC3" s="372"/>
      <c r="AD3" s="372"/>
      <c r="AE3" s="372"/>
      <c r="AF3" s="372"/>
      <c r="AG3" s="372"/>
      <c r="AH3" s="372"/>
      <c r="AI3" s="373"/>
      <c r="AJ3" s="90"/>
      <c r="AK3" s="371" t="s">
        <v>171</v>
      </c>
      <c r="AL3" s="372"/>
      <c r="AM3" s="372"/>
      <c r="AN3" s="372"/>
      <c r="AO3" s="372"/>
      <c r="AP3" s="372"/>
      <c r="AQ3" s="372"/>
      <c r="AR3" s="372"/>
      <c r="AS3" s="372"/>
      <c r="AT3" s="372"/>
      <c r="AU3" s="372"/>
      <c r="AV3" s="372"/>
      <c r="AW3" s="372"/>
      <c r="AX3" s="372"/>
      <c r="AY3" s="373"/>
    </row>
    <row r="4" spans="2:51" ht="45" customHeight="1">
      <c r="B4" s="375" t="s">
        <v>173</v>
      </c>
      <c r="C4" s="375"/>
      <c r="D4" s="375"/>
      <c r="E4" s="375"/>
      <c r="F4" s="375"/>
      <c r="I4" s="59" t="s">
        <v>76</v>
      </c>
      <c r="J4" s="341" t="s">
        <v>108</v>
      </c>
      <c r="K4" s="341" t="s">
        <v>109</v>
      </c>
      <c r="L4" s="341" t="s">
        <v>72</v>
      </c>
      <c r="M4" s="341" t="s">
        <v>110</v>
      </c>
      <c r="N4" s="341" t="s">
        <v>111</v>
      </c>
      <c r="O4" s="88" t="s">
        <v>113</v>
      </c>
      <c r="P4" s="59" t="s">
        <v>76</v>
      </c>
      <c r="Q4" s="61" t="s">
        <v>118</v>
      </c>
      <c r="R4" s="61" t="s">
        <v>119</v>
      </c>
      <c r="S4" s="62" t="s">
        <v>105</v>
      </c>
      <c r="T4" s="63" t="s">
        <v>104</v>
      </c>
      <c r="U4" s="341" t="s">
        <v>3</v>
      </c>
      <c r="V4" s="341" t="s">
        <v>106</v>
      </c>
      <c r="W4" s="341" t="s">
        <v>107</v>
      </c>
      <c r="X4" s="89" t="s">
        <v>112</v>
      </c>
      <c r="Y4" s="66" t="s">
        <v>120</v>
      </c>
      <c r="AA4" s="70" t="s">
        <v>76</v>
      </c>
      <c r="AB4" s="61" t="s">
        <v>146</v>
      </c>
      <c r="AC4" s="62" t="s">
        <v>147</v>
      </c>
      <c r="AD4" s="68" t="s">
        <v>148</v>
      </c>
      <c r="AE4" s="64" t="s">
        <v>149</v>
      </c>
      <c r="AF4" s="64" t="s">
        <v>150</v>
      </c>
      <c r="AG4" s="64" t="s">
        <v>151</v>
      </c>
      <c r="AH4" s="64" t="s">
        <v>152</v>
      </c>
      <c r="AI4" s="75" t="s">
        <v>153</v>
      </c>
      <c r="AK4" s="70" t="s">
        <v>76</v>
      </c>
      <c r="AL4" s="61" t="s">
        <v>146</v>
      </c>
      <c r="AM4" s="62" t="s">
        <v>147</v>
      </c>
      <c r="AN4" s="68" t="s">
        <v>148</v>
      </c>
      <c r="AO4" s="64" t="s">
        <v>149</v>
      </c>
      <c r="AP4" s="64" t="s">
        <v>161</v>
      </c>
      <c r="AQ4" s="192" t="s">
        <v>187</v>
      </c>
      <c r="AR4" s="192" t="s">
        <v>188</v>
      </c>
      <c r="AS4" s="192" t="s">
        <v>189</v>
      </c>
      <c r="AT4" s="192" t="s">
        <v>190</v>
      </c>
      <c r="AU4" s="64" t="s">
        <v>162</v>
      </c>
      <c r="AV4" s="64" t="s">
        <v>163</v>
      </c>
      <c r="AW4" s="64" t="s">
        <v>164</v>
      </c>
      <c r="AX4" s="64" t="s">
        <v>165</v>
      </c>
      <c r="AY4" s="75" t="s">
        <v>153</v>
      </c>
    </row>
    <row r="5" spans="2:51">
      <c r="B5" s="364" t="s">
        <v>133</v>
      </c>
      <c r="C5" s="91" t="s">
        <v>73</v>
      </c>
      <c r="D5" s="376" t="s">
        <v>135</v>
      </c>
      <c r="E5" s="376"/>
      <c r="F5" s="92">
        <f>IF(D5="","",VLOOKUP(D5,$B$97:$C$100,2,0))</f>
        <v>70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IF(AA5&lt;=$F$18,IFERROR(VLOOKUP($AA5,$B$82:$G$94,2,FALSE),0),)</f>
        <v>0</v>
      </c>
      <c r="AC5" s="304">
        <f t="shared" ref="AC5:AC29" si="7">IF(AA5&lt;=$F$18,IFERROR(VLOOKUP($AA5,$B$82:$G$94,3,FALSE),0),)*50%</f>
        <v>0</v>
      </c>
      <c r="AD5" s="100">
        <f t="shared" ref="AD5:AD68" si="8">IF(AA5&lt;=$F$18,IFERROR(VLOOKUP($AA5,$B$82:$G$94,4,FALSE),0),)</f>
        <v>0</v>
      </c>
      <c r="AE5" s="100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35" si="10">IF(AK5&lt;=$F$18,IFERROR(VLOOKUP($AA5,$B$82:$G$94,2,FALSE),0),)</f>
        <v>0</v>
      </c>
      <c r="AM5" s="33">
        <f t="shared" ref="AM5:AM35" si="11">IF(AK5&lt;=$F$18,IFERROR(VLOOKUP($AA5,$B$82:$G$94,3,FALSE),0),)</f>
        <v>0</v>
      </c>
      <c r="AN5" s="33">
        <f t="shared" ref="AN5:AN35" si="12">IF(AK5&lt;=$F$18,IFERROR(VLOOKUP($AA5,$B$82:$G$94,4,FALSE),0),)</f>
        <v>0</v>
      </c>
      <c r="AO5" s="33">
        <f t="shared" ref="AO5:AO35" si="13">IF(AK5&lt;=$F$18,IFERROR(VLOOKUP($AA5,$B$82:$G$94,5,FALSE),0),)</f>
        <v>0</v>
      </c>
      <c r="AP5" s="33">
        <f t="shared" ref="AP5:AP35" si="14">IF(AK5&lt;=$F$18,IFERROR(VLOOKUP($AA5,$B$82:$G$94,6,FALSE),0),)</f>
        <v>0</v>
      </c>
      <c r="AQ5" s="193">
        <v>0</v>
      </c>
      <c r="AR5" s="193">
        <v>0</v>
      </c>
      <c r="AS5" s="193">
        <v>0</v>
      </c>
      <c r="AT5" s="193">
        <v>0</v>
      </c>
      <c r="AU5" s="33"/>
      <c r="AV5" s="33"/>
      <c r="AW5" s="33"/>
      <c r="AX5" s="33"/>
      <c r="AY5" s="163">
        <v>0</v>
      </c>
    </row>
    <row r="6" spans="2:51">
      <c r="B6" s="365"/>
      <c r="C6" s="98" t="s">
        <v>74</v>
      </c>
      <c r="D6" s="367" t="s">
        <v>260</v>
      </c>
      <c r="E6" s="367"/>
      <c r="F6" s="99">
        <f>VLOOKUP(D5,$B$97:$D$100,3,FALSE)</f>
        <v>0</v>
      </c>
      <c r="I6" s="55">
        <v>1</v>
      </c>
      <c r="J6" s="33">
        <f>IF(D8&lt;&gt;"Cultures",IF($I6&lt;=$F$10,$F$11*$F$13+J5,),5)</f>
        <v>0.42</v>
      </c>
      <c r="K6" s="33">
        <f>IF(J6=0,0,EXP(-1.0587+0.8836*LN(J6)+0.284))</f>
        <v>0.2141189661953912</v>
      </c>
      <c r="L6" s="33">
        <f>IF(I6&lt;=$F$10,$F$5+($F$8-$F$5)*(1-EXP(-0.0175*I6)),)</f>
        <v>70</v>
      </c>
      <c r="M6" s="33">
        <f>IF(I6&lt;=$F$10,IF(I6&lt;=30,I6*($F$9-$F$6)/30,$F$9-$F$6),)</f>
        <v>0.33333333333333331</v>
      </c>
      <c r="N6" s="33">
        <f t="shared" si="0"/>
        <v>0</v>
      </c>
      <c r="O6" s="34">
        <f t="shared" si="1"/>
        <v>258.99331275501248</v>
      </c>
      <c r="P6" s="55">
        <v>1</v>
      </c>
      <c r="Q6" s="33">
        <f t="shared" ref="Q6:Q69" si="15">IF(P6&lt;=$F$18,LOOKUP(P6-1,$B$25:$B$78,$G$25:$G$78),)</f>
        <v>2.99</v>
      </c>
      <c r="R6" s="33">
        <f>IF(P6&lt;=$F$18,Q6+R5,)</f>
        <v>2.99</v>
      </c>
      <c r="S6" s="33">
        <f>$F$19*R6</f>
        <v>1.2558</v>
      </c>
      <c r="T6" s="33">
        <f t="shared" si="2"/>
        <v>0.56358340923687544</v>
      </c>
      <c r="U6" s="33">
        <f t="shared" ref="U6:U69" si="16">IF(P6&lt;=$F$18,$F$5+($F$15-$F$5)*(1-EXP(-0.0175*P6)),)</f>
        <v>70</v>
      </c>
      <c r="V6" s="33">
        <f t="shared" si="3"/>
        <v>0.33333333333333331</v>
      </c>
      <c r="W6" s="33">
        <v>0</v>
      </c>
      <c r="X6" s="33">
        <f t="shared" si="4"/>
        <v>261.05764832664312</v>
      </c>
      <c r="Y6" s="38">
        <f t="shared" si="5"/>
        <v>2.064335571630636</v>
      </c>
      <c r="AA6" s="71">
        <v>1</v>
      </c>
      <c r="AB6" s="33">
        <f t="shared" si="6"/>
        <v>0</v>
      </c>
      <c r="AC6" s="304">
        <f t="shared" si="7"/>
        <v>0</v>
      </c>
      <c r="AD6" s="100">
        <f t="shared" si="8"/>
        <v>0</v>
      </c>
      <c r="AE6" s="100">
        <f t="shared" si="9"/>
        <v>0</v>
      </c>
      <c r="AF6" s="193">
        <f>IF(OR(AA6&lt;=$F$18,AA6&lt;=30),EXP(-LN(2)/$D$104)*AF5+((1-EXP(-LN(2)/$D$104))/(LN(2)/$D$104))*$AB6*AC6*0.475*$F$19*44/12,)</f>
        <v>0</v>
      </c>
      <c r="AG6" s="193">
        <f>IF(OR(AA6&lt;=$F$18,AA6&lt;=30),EXP(-LN(2)/$D$106)*AG5+((1-EXP(-LN(2)/$D$106))/(LN(2)/$D$106))*$AB6*AD6*0.475*$F$19*44/12,)</f>
        <v>0</v>
      </c>
      <c r="AH6" s="193">
        <f>IF(OR(AA6&lt;=$F$18,AA6&lt;=30),EXP(-LN(2)/$D$105)*AH5+((1-EXP(-LN(2)/$D$105))/(LN(2)/$D$105))*$AB6*AE6*0.475*$F$19*44/12,)</f>
        <v>0</v>
      </c>
      <c r="AI6" s="198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3">
        <f t="shared" ref="AQ6:AT24" si="17">IF($AK6&lt;=$F$18,$AL6*AM6,)</f>
        <v>0</v>
      </c>
      <c r="AR6" s="193">
        <f t="shared" si="17"/>
        <v>0</v>
      </c>
      <c r="AS6" s="193">
        <f t="shared" si="17"/>
        <v>0</v>
      </c>
      <c r="AT6" s="193">
        <f t="shared" si="17"/>
        <v>0</v>
      </c>
      <c r="AU6" s="33"/>
      <c r="AV6" s="33"/>
      <c r="AW6" s="33"/>
      <c r="AX6" s="33"/>
      <c r="AY6" s="163">
        <f>IF(AK6&lt;=$F$18,AL6*$G$108+AY5,)</f>
        <v>0</v>
      </c>
    </row>
    <row r="7" spans="2:51">
      <c r="B7" s="364" t="s">
        <v>134</v>
      </c>
      <c r="C7" s="377"/>
      <c r="D7" s="378"/>
      <c r="E7" s="378"/>
      <c r="F7" s="379"/>
      <c r="I7" s="55">
        <v>2</v>
      </c>
      <c r="J7" s="33">
        <f t="shared" ref="J7:J70" si="18">IF($I7&lt;=$F$10,$F$11*$F$13+J6,)</f>
        <v>0.84</v>
      </c>
      <c r="K7" s="33">
        <f t="shared" ref="K7:K70" si="19">IF(J7=0,0,EXP(-1.0587+0.8836*LN(J7)+0.284))</f>
        <v>0.39504379260136169</v>
      </c>
      <c r="L7" s="33">
        <f t="shared" ref="L7:L70" si="20">IF(I7&lt;=$F$10,$F$5+($F$8-$F$5)*(1-EXP(-0.0175*I7)),)</f>
        <v>70</v>
      </c>
      <c r="M7" s="33">
        <f t="shared" ref="M7:M70" si="21">IF(I7&lt;=$F$10,IF(I7&lt;=30,I7*($F$9-$F$6)/30,$F$9-$F$6),)</f>
        <v>0.66666666666666663</v>
      </c>
      <c r="N7" s="33">
        <f t="shared" si="0"/>
        <v>0</v>
      </c>
      <c r="O7" s="34">
        <f t="shared" si="1"/>
        <v>261.26214571655851</v>
      </c>
      <c r="P7" s="55">
        <v>2</v>
      </c>
      <c r="Q7" s="33">
        <f t="shared" si="15"/>
        <v>2.99</v>
      </c>
      <c r="R7" s="33">
        <f t="shared" ref="R7:R70" si="22">IF(P7&lt;=$F$18,Q7+R6,)</f>
        <v>5.98</v>
      </c>
      <c r="S7" s="33">
        <f t="shared" ref="S7:S70" si="23">$F$19*R7</f>
        <v>2.5116000000000001</v>
      </c>
      <c r="T7" s="33">
        <f t="shared" si="2"/>
        <v>1.0397963869719673</v>
      </c>
      <c r="U7" s="33">
        <f t="shared" si="16"/>
        <v>70</v>
      </c>
      <c r="V7" s="33">
        <f t="shared" si="3"/>
        <v>0.66666666666666663</v>
      </c>
      <c r="W7" s="33">
        <v>0</v>
      </c>
      <c r="X7" s="33">
        <f t="shared" si="4"/>
        <v>265.29645981842066</v>
      </c>
      <c r="Y7" s="38">
        <f t="shared" si="5"/>
        <v>4.0343141018621509</v>
      </c>
      <c r="AA7" s="71">
        <v>2</v>
      </c>
      <c r="AB7" s="33">
        <f t="shared" si="6"/>
        <v>0</v>
      </c>
      <c r="AC7" s="304">
        <f t="shared" si="7"/>
        <v>0</v>
      </c>
      <c r="AD7" s="100">
        <f t="shared" si="8"/>
        <v>0</v>
      </c>
      <c r="AE7" s="100">
        <f t="shared" si="9"/>
        <v>0</v>
      </c>
      <c r="AF7" s="193">
        <f>IF(OR(AA7&lt;=$F$18,AA7&lt;=30),EXP(-LN(2)/$D$104)*AF6+((1-EXP(-LN(2)/$D$104))/(LN(2)/$D$104))*$AB7*AC7*0.475*$F$19*44/12,)</f>
        <v>0</v>
      </c>
      <c r="AG7" s="193">
        <f>IF(OR(AA7&lt;=$F$18,AA7&lt;=30),EXP(-LN(2)/$D$106)*AG6+((1-EXP(-LN(2)/$D$106))/(LN(2)/$D$106))*$AB7*AD7*0.475*$F$19*44/12,)</f>
        <v>0</v>
      </c>
      <c r="AH7" s="193">
        <f>IF(OR(AA7&lt;=$F$18,AA7&lt;=30),EXP(-LN(2)/$D$105)*AH6+((1-EXP(-LN(2)/$D$105))/(LN(2)/$D$105))*$AB7*AE7*0.475*$F$19*44/12,)</f>
        <v>0</v>
      </c>
      <c r="AI7" s="198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3">
        <f t="shared" si="17"/>
        <v>0</v>
      </c>
      <c r="AR7" s="193">
        <f t="shared" si="17"/>
        <v>0</v>
      </c>
      <c r="AS7" s="193">
        <f t="shared" si="17"/>
        <v>0</v>
      </c>
      <c r="AT7" s="193">
        <f t="shared" si="17"/>
        <v>0</v>
      </c>
      <c r="AU7" s="33"/>
      <c r="AV7" s="33"/>
      <c r="AW7" s="33"/>
      <c r="AX7" s="33"/>
      <c r="AY7" s="163">
        <f t="shared" ref="AY7:AY35" si="24">IF(AK7&lt;=$F$18,AL7*$G$108+AY6,)</f>
        <v>0</v>
      </c>
    </row>
    <row r="8" spans="2:51">
      <c r="B8" s="374"/>
      <c r="C8" s="93" t="s">
        <v>73</v>
      </c>
      <c r="D8" s="370" t="s">
        <v>135</v>
      </c>
      <c r="E8" s="370"/>
      <c r="F8" s="94">
        <f>IF(D8="","",VLOOKUP(D8,$B$97:$C$100,2,0))</f>
        <v>70</v>
      </c>
      <c r="I8" s="55">
        <v>3</v>
      </c>
      <c r="J8" s="33">
        <f t="shared" si="18"/>
        <v>1.26</v>
      </c>
      <c r="K8" s="33">
        <f t="shared" si="19"/>
        <v>0.56524857809693341</v>
      </c>
      <c r="L8" s="33">
        <f t="shared" si="20"/>
        <v>70</v>
      </c>
      <c r="M8" s="33">
        <f t="shared" si="21"/>
        <v>1</v>
      </c>
      <c r="N8" s="33">
        <f t="shared" si="0"/>
        <v>0</v>
      </c>
      <c r="O8" s="34">
        <f t="shared" si="1"/>
        <v>263.51230794018551</v>
      </c>
      <c r="P8" s="55">
        <v>3</v>
      </c>
      <c r="Q8" s="33">
        <f t="shared" si="15"/>
        <v>2.99</v>
      </c>
      <c r="R8" s="33">
        <f t="shared" si="22"/>
        <v>8.9700000000000006</v>
      </c>
      <c r="S8" s="33">
        <f t="shared" si="23"/>
        <v>3.7674000000000003</v>
      </c>
      <c r="T8" s="33">
        <f t="shared" si="2"/>
        <v>1.4877931010532914</v>
      </c>
      <c r="U8" s="33">
        <f t="shared" si="16"/>
        <v>70</v>
      </c>
      <c r="V8" s="33">
        <f t="shared" si="3"/>
        <v>1</v>
      </c>
      <c r="W8" s="33">
        <v>0</v>
      </c>
      <c r="X8" s="33">
        <f t="shared" si="4"/>
        <v>269.48612798433447</v>
      </c>
      <c r="Y8" s="38">
        <f t="shared" si="5"/>
        <v>5.9738200441489653</v>
      </c>
      <c r="AA8" s="71">
        <v>3</v>
      </c>
      <c r="AB8" s="33">
        <f t="shared" si="6"/>
        <v>0</v>
      </c>
      <c r="AC8" s="304">
        <f t="shared" si="7"/>
        <v>0</v>
      </c>
      <c r="AD8" s="100">
        <f t="shared" si="8"/>
        <v>0</v>
      </c>
      <c r="AE8" s="100">
        <f t="shared" si="9"/>
        <v>0</v>
      </c>
      <c r="AF8" s="193">
        <f>IF(OR(AA8&lt;=$F$18,AA8&lt;=30),EXP(-LN(2)/$D$104)*AF7+((1-EXP(-LN(2)/$D$104))/(LN(2)/$D$104))*$AB8*AC8*0.475*$F$19*44/12,)</f>
        <v>0</v>
      </c>
      <c r="AG8" s="193">
        <f>IF(OR(AA8&lt;=$F$18,AA8&lt;=30),EXP(-LN(2)/$D$106)*AG7+((1-EXP(-LN(2)/$D$106))/(LN(2)/$D$106))*$AB8*AD8*0.475*$F$19*44/12,)</f>
        <v>0</v>
      </c>
      <c r="AH8" s="193">
        <f>IF(OR(AA8&lt;=$F$18,AA8&lt;=30),EXP(-LN(2)/$D$105)*AH7+((1-EXP(-LN(2)/$D$105))/(LN(2)/$D$105))*$AB8*AE8*0.475*$F$19*44/12,)</f>
        <v>0</v>
      </c>
      <c r="AI8" s="198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3">
        <f t="shared" si="17"/>
        <v>0</v>
      </c>
      <c r="AR8" s="193">
        <f t="shared" si="17"/>
        <v>0</v>
      </c>
      <c r="AS8" s="193">
        <f t="shared" si="17"/>
        <v>0</v>
      </c>
      <c r="AT8" s="193">
        <f t="shared" si="17"/>
        <v>0</v>
      </c>
      <c r="AU8" s="33"/>
      <c r="AV8" s="33"/>
      <c r="AW8" s="33"/>
      <c r="AX8" s="33"/>
      <c r="AY8" s="163">
        <f t="shared" si="24"/>
        <v>0</v>
      </c>
    </row>
    <row r="9" spans="2:51">
      <c r="B9" s="374"/>
      <c r="C9" s="93" t="s">
        <v>74</v>
      </c>
      <c r="D9" s="366" t="str">
        <f>IF(D8=$B$100,"totale","néant")</f>
        <v>totale</v>
      </c>
      <c r="E9" s="366"/>
      <c r="F9" s="94">
        <f>IF(D8=B100,10,VLOOKUP(D8,$B$97:$D$100,3,FALSE))</f>
        <v>10</v>
      </c>
      <c r="I9" s="55">
        <v>4</v>
      </c>
      <c r="J9" s="33">
        <f t="shared" si="18"/>
        <v>1.68</v>
      </c>
      <c r="K9" s="33">
        <f t="shared" si="19"/>
        <v>0.72884528094749779</v>
      </c>
      <c r="L9" s="33">
        <f t="shared" si="20"/>
        <v>70</v>
      </c>
      <c r="M9" s="33">
        <f t="shared" si="21"/>
        <v>1.3333333333333333</v>
      </c>
      <c r="N9" s="33">
        <f t="shared" si="0"/>
        <v>0</v>
      </c>
      <c r="O9" s="34">
        <f t="shared" si="1"/>
        <v>265.75096108653912</v>
      </c>
      <c r="P9" s="55">
        <v>4</v>
      </c>
      <c r="Q9" s="33">
        <f t="shared" si="15"/>
        <v>2.99</v>
      </c>
      <c r="R9" s="33">
        <f t="shared" si="22"/>
        <v>11.96</v>
      </c>
      <c r="S9" s="33">
        <f t="shared" si="23"/>
        <v>5.0232000000000001</v>
      </c>
      <c r="T9" s="33">
        <f t="shared" si="2"/>
        <v>1.9183966536983994</v>
      </c>
      <c r="U9" s="33">
        <f t="shared" si="16"/>
        <v>70</v>
      </c>
      <c r="V9" s="33">
        <f t="shared" si="3"/>
        <v>1.3333333333333333</v>
      </c>
      <c r="W9" s="33">
        <v>0</v>
      </c>
      <c r="X9" s="33">
        <f t="shared" si="4"/>
        <v>273.64550306074693</v>
      </c>
      <c r="Y9" s="38">
        <f t="shared" si="5"/>
        <v>7.8945419742078116</v>
      </c>
      <c r="AA9" s="71">
        <v>4</v>
      </c>
      <c r="AB9" s="33">
        <f t="shared" si="6"/>
        <v>0</v>
      </c>
      <c r="AC9" s="304">
        <f t="shared" si="7"/>
        <v>0</v>
      </c>
      <c r="AD9" s="100">
        <f t="shared" si="8"/>
        <v>0</v>
      </c>
      <c r="AE9" s="100">
        <f t="shared" si="9"/>
        <v>0</v>
      </c>
      <c r="AF9" s="193">
        <f>IF(OR(AA9&lt;=$F$18,AA9&lt;=30),EXP(-LN(2)/$D$104)*AF8+((1-EXP(-LN(2)/$D$104))/(LN(2)/$D$104))*$AB9*AC9*0.475*$F$19*44/12,)</f>
        <v>0</v>
      </c>
      <c r="AG9" s="193">
        <f>IF(OR(AA9&lt;=$F$18,AA9&lt;=30),EXP(-LN(2)/$D$106)*AG8+((1-EXP(-LN(2)/$D$106))/(LN(2)/$D$106))*$AB9*AD9*0.475*$F$19*44/12,)</f>
        <v>0</v>
      </c>
      <c r="AH9" s="193">
        <f>IF(OR(AA9&lt;=$F$18,AA9&lt;=30),EXP(-LN(2)/$D$105)*AH8+((1-EXP(-LN(2)/$D$105))/(LN(2)/$D$105))*$AB9*AE9*0.475*$F$19*44/12,)</f>
        <v>0</v>
      </c>
      <c r="AI9" s="198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3">
        <f t="shared" si="17"/>
        <v>0</v>
      </c>
      <c r="AR9" s="193">
        <f t="shared" si="17"/>
        <v>0</v>
      </c>
      <c r="AS9" s="193">
        <f t="shared" si="17"/>
        <v>0</v>
      </c>
      <c r="AT9" s="193">
        <f t="shared" si="17"/>
        <v>0</v>
      </c>
      <c r="AU9" s="33"/>
      <c r="AV9" s="33"/>
      <c r="AW9" s="33"/>
      <c r="AX9" s="33"/>
      <c r="AY9" s="163">
        <f t="shared" si="24"/>
        <v>0</v>
      </c>
    </row>
    <row r="10" spans="2:51">
      <c r="B10" s="374"/>
      <c r="C10" s="368" t="s">
        <v>124</v>
      </c>
      <c r="D10" s="363" t="s">
        <v>136</v>
      </c>
      <c r="E10" s="363"/>
      <c r="F10" s="95">
        <f>F18</f>
        <v>80</v>
      </c>
      <c r="I10" s="55">
        <v>5</v>
      </c>
      <c r="J10" s="33">
        <f t="shared" si="18"/>
        <v>2.1</v>
      </c>
      <c r="K10" s="33">
        <f t="shared" si="19"/>
        <v>0.88769757543783612</v>
      </c>
      <c r="L10" s="33">
        <f t="shared" si="20"/>
        <v>70</v>
      </c>
      <c r="M10" s="33">
        <f t="shared" si="21"/>
        <v>1.6666666666666667</v>
      </c>
      <c r="N10" s="33">
        <f t="shared" si="0"/>
        <v>0</v>
      </c>
      <c r="O10" s="34">
        <f t="shared" si="1"/>
        <v>267.9813510549987</v>
      </c>
      <c r="P10" s="55">
        <v>5</v>
      </c>
      <c r="Q10" s="33">
        <f t="shared" si="15"/>
        <v>2.99</v>
      </c>
      <c r="R10" s="33">
        <f t="shared" si="22"/>
        <v>14.950000000000001</v>
      </c>
      <c r="S10" s="33">
        <f t="shared" si="23"/>
        <v>6.2789999999999999</v>
      </c>
      <c r="T10" s="33">
        <f t="shared" si="2"/>
        <v>2.336512429637037</v>
      </c>
      <c r="U10" s="33">
        <f t="shared" si="16"/>
        <v>70</v>
      </c>
      <c r="V10" s="33">
        <f t="shared" si="3"/>
        <v>1.6666666666666667</v>
      </c>
      <c r="W10" s="33">
        <v>0</v>
      </c>
      <c r="X10" s="33">
        <f t="shared" si="4"/>
        <v>277.78312859272893</v>
      </c>
      <c r="Y10" s="38">
        <f t="shared" si="5"/>
        <v>9.8017775377302314</v>
      </c>
      <c r="AA10" s="71">
        <v>5</v>
      </c>
      <c r="AB10" s="33">
        <f t="shared" si="6"/>
        <v>0</v>
      </c>
      <c r="AC10" s="304">
        <f t="shared" si="7"/>
        <v>0</v>
      </c>
      <c r="AD10" s="100">
        <f t="shared" si="8"/>
        <v>0</v>
      </c>
      <c r="AE10" s="100">
        <f t="shared" si="9"/>
        <v>0</v>
      </c>
      <c r="AF10" s="193">
        <f t="shared" ref="AF10:AF24" si="25">IF(OR(AA10&lt;=$F$18,AA10&lt;=30),EXP(-LN(2)/$D$104)*AF9+((1-EXP(-LN(2)/$D$104))/(LN(2)/$D$104))*$AB10*AC10*0.475*$F$19*44/12,)</f>
        <v>0</v>
      </c>
      <c r="AG10" s="193">
        <f t="shared" ref="AG10:AG24" si="26">IF(OR(AA10&lt;=$F$18,AA10&lt;=30),EXP(-LN(2)/$D$106)*AG9+((1-EXP(-LN(2)/$D$106))/(LN(2)/$D$106))*$AB10*AD10*0.475*$F$19*44/12,)</f>
        <v>0</v>
      </c>
      <c r="AH10" s="193">
        <f t="shared" ref="AH10:AH24" si="27">IF(OR(AA10&lt;=$F$18,AA10&lt;=30),EXP(-LN(2)/$D$105)*AH9+((1-EXP(-LN(2)/$D$105))/(LN(2)/$D$105))*$AB10*AE10*0.475*$F$19*44/12,)</f>
        <v>0</v>
      </c>
      <c r="AI10" s="198">
        <f t="shared" ref="AI10:AI24" si="28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3">
        <f t="shared" si="17"/>
        <v>0</v>
      </c>
      <c r="AR10" s="193">
        <f t="shared" si="17"/>
        <v>0</v>
      </c>
      <c r="AS10" s="193">
        <f t="shared" si="17"/>
        <v>0</v>
      </c>
      <c r="AT10" s="193">
        <f t="shared" si="17"/>
        <v>0</v>
      </c>
      <c r="AU10" s="33"/>
      <c r="AV10" s="33"/>
      <c r="AW10" s="33"/>
      <c r="AX10" s="33"/>
      <c r="AY10" s="163">
        <f t="shared" si="24"/>
        <v>0</v>
      </c>
    </row>
    <row r="11" spans="2:51">
      <c r="B11" s="374"/>
      <c r="C11" s="368"/>
      <c r="D11" s="366" t="s">
        <v>139</v>
      </c>
      <c r="E11" s="366"/>
      <c r="F11" s="36">
        <f>IF(D8=$B$100,1,0)</f>
        <v>1</v>
      </c>
      <c r="I11" s="55">
        <v>6</v>
      </c>
      <c r="J11" s="33">
        <f t="shared" si="18"/>
        <v>2.52</v>
      </c>
      <c r="K11" s="33">
        <f t="shared" si="19"/>
        <v>1.0428685791905616</v>
      </c>
      <c r="L11" s="33">
        <f t="shared" si="20"/>
        <v>70</v>
      </c>
      <c r="M11" s="33">
        <f t="shared" si="21"/>
        <v>2</v>
      </c>
      <c r="N11" s="33">
        <f t="shared" si="0"/>
        <v>0</v>
      </c>
      <c r="O11" s="34">
        <f t="shared" si="1"/>
        <v>270.2053294420902</v>
      </c>
      <c r="P11" s="55">
        <v>6</v>
      </c>
      <c r="Q11" s="33">
        <f t="shared" si="15"/>
        <v>2.99</v>
      </c>
      <c r="R11" s="33">
        <f t="shared" si="22"/>
        <v>17.940000000000001</v>
      </c>
      <c r="S11" s="33">
        <f t="shared" si="23"/>
        <v>7.5348000000000006</v>
      </c>
      <c r="T11" s="33">
        <f t="shared" si="2"/>
        <v>2.7449386651245851</v>
      </c>
      <c r="U11" s="33">
        <f t="shared" si="16"/>
        <v>70</v>
      </c>
      <c r="V11" s="33">
        <f t="shared" si="3"/>
        <v>2</v>
      </c>
      <c r="W11" s="33">
        <v>0</v>
      </c>
      <c r="X11" s="33">
        <f t="shared" si="4"/>
        <v>281.90387817509196</v>
      </c>
      <c r="Y11" s="38">
        <f t="shared" si="5"/>
        <v>11.698548733001758</v>
      </c>
      <c r="AA11" s="71">
        <v>6</v>
      </c>
      <c r="AB11" s="33">
        <f t="shared" si="6"/>
        <v>0</v>
      </c>
      <c r="AC11" s="304">
        <f t="shared" si="7"/>
        <v>0</v>
      </c>
      <c r="AD11" s="100">
        <f t="shared" si="8"/>
        <v>0</v>
      </c>
      <c r="AE11" s="100">
        <f t="shared" si="9"/>
        <v>0</v>
      </c>
      <c r="AF11" s="193">
        <f t="shared" si="25"/>
        <v>0</v>
      </c>
      <c r="AG11" s="193">
        <f t="shared" si="26"/>
        <v>0</v>
      </c>
      <c r="AH11" s="193">
        <f t="shared" si="27"/>
        <v>0</v>
      </c>
      <c r="AI11" s="198">
        <f t="shared" si="28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3">
        <f t="shared" si="17"/>
        <v>0</v>
      </c>
      <c r="AR11" s="193">
        <f t="shared" si="17"/>
        <v>0</v>
      </c>
      <c r="AS11" s="193">
        <f t="shared" si="17"/>
        <v>0</v>
      </c>
      <c r="AT11" s="193">
        <f t="shared" si="17"/>
        <v>0</v>
      </c>
      <c r="AU11" s="33"/>
      <c r="AV11" s="33"/>
      <c r="AW11" s="33"/>
      <c r="AX11" s="33"/>
      <c r="AY11" s="163">
        <f t="shared" si="24"/>
        <v>0</v>
      </c>
    </row>
    <row r="12" spans="2:51" ht="32">
      <c r="B12" s="374"/>
      <c r="C12" s="368"/>
      <c r="D12" s="363" t="s">
        <v>131</v>
      </c>
      <c r="E12" s="363"/>
      <c r="F12" s="96" t="s">
        <v>69</v>
      </c>
      <c r="I12" s="55">
        <v>7</v>
      </c>
      <c r="J12" s="33">
        <f t="shared" si="18"/>
        <v>2.94</v>
      </c>
      <c r="K12" s="33">
        <f t="shared" si="19"/>
        <v>1.1950436430309317</v>
      </c>
      <c r="L12" s="33">
        <f t="shared" si="20"/>
        <v>70</v>
      </c>
      <c r="M12" s="33">
        <f t="shared" si="21"/>
        <v>2.3333333333333335</v>
      </c>
      <c r="N12" s="33">
        <f t="shared" si="0"/>
        <v>0</v>
      </c>
      <c r="O12" s="34">
        <f t="shared" si="1"/>
        <v>272.42408990050109</v>
      </c>
      <c r="P12" s="55">
        <v>7</v>
      </c>
      <c r="Q12" s="33">
        <f t="shared" si="15"/>
        <v>2.99</v>
      </c>
      <c r="R12" s="33">
        <f t="shared" si="22"/>
        <v>20.93</v>
      </c>
      <c r="S12" s="33">
        <f t="shared" si="23"/>
        <v>8.7905999999999995</v>
      </c>
      <c r="T12" s="33">
        <f t="shared" si="2"/>
        <v>3.1454792748795035</v>
      </c>
      <c r="U12" s="33">
        <f t="shared" si="16"/>
        <v>70</v>
      </c>
      <c r="V12" s="33">
        <f t="shared" si="3"/>
        <v>2.3333333333333335</v>
      </c>
      <c r="W12" s="33">
        <v>0</v>
      </c>
      <c r="X12" s="33">
        <f t="shared" si="4"/>
        <v>286.01089362597071</v>
      </c>
      <c r="Y12" s="38">
        <f t="shared" si="5"/>
        <v>13.586803725469622</v>
      </c>
      <c r="AA12" s="71">
        <v>7</v>
      </c>
      <c r="AB12" s="33">
        <f t="shared" si="6"/>
        <v>0</v>
      </c>
      <c r="AC12" s="304">
        <f t="shared" si="7"/>
        <v>0</v>
      </c>
      <c r="AD12" s="100">
        <f t="shared" si="8"/>
        <v>0</v>
      </c>
      <c r="AE12" s="100">
        <f t="shared" si="9"/>
        <v>0</v>
      </c>
      <c r="AF12" s="193">
        <f t="shared" si="25"/>
        <v>0</v>
      </c>
      <c r="AG12" s="193">
        <f t="shared" si="26"/>
        <v>0</v>
      </c>
      <c r="AH12" s="193">
        <f t="shared" si="27"/>
        <v>0</v>
      </c>
      <c r="AI12" s="198">
        <f t="shared" si="28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3">
        <f t="shared" si="17"/>
        <v>0</v>
      </c>
      <c r="AR12" s="193">
        <f t="shared" si="17"/>
        <v>0</v>
      </c>
      <c r="AS12" s="193">
        <f t="shared" si="17"/>
        <v>0</v>
      </c>
      <c r="AT12" s="193">
        <f t="shared" si="17"/>
        <v>0</v>
      </c>
      <c r="AU12" s="33"/>
      <c r="AV12" s="33"/>
      <c r="AW12" s="33"/>
      <c r="AX12" s="33"/>
      <c r="AY12" s="163">
        <f t="shared" si="24"/>
        <v>0</v>
      </c>
    </row>
    <row r="13" spans="2:51">
      <c r="B13" s="365"/>
      <c r="C13" s="369"/>
      <c r="D13" s="367" t="s">
        <v>155</v>
      </c>
      <c r="E13" s="367"/>
      <c r="F13" s="37">
        <f>IF(ISBLANK(F$12),,VLOOKUP(F$12,C131:D195,2,FALSE))</f>
        <v>0.42</v>
      </c>
      <c r="I13" s="55">
        <v>8</v>
      </c>
      <c r="J13" s="33">
        <f t="shared" si="18"/>
        <v>3.36</v>
      </c>
      <c r="K13" s="33">
        <f t="shared" si="19"/>
        <v>1.3447001408663719</v>
      </c>
      <c r="L13" s="33">
        <f t="shared" si="20"/>
        <v>70</v>
      </c>
      <c r="M13" s="33">
        <f t="shared" si="21"/>
        <v>2.6666666666666665</v>
      </c>
      <c r="N13" s="33">
        <f t="shared" si="0"/>
        <v>0</v>
      </c>
      <c r="O13" s="34">
        <f t="shared" si="1"/>
        <v>274.63846385645343</v>
      </c>
      <c r="P13" s="55">
        <v>8</v>
      </c>
      <c r="Q13" s="33">
        <f t="shared" si="15"/>
        <v>2.99</v>
      </c>
      <c r="R13" s="33">
        <f t="shared" si="22"/>
        <v>23.92</v>
      </c>
      <c r="S13" s="33">
        <f t="shared" si="23"/>
        <v>10.0464</v>
      </c>
      <c r="T13" s="33">
        <f t="shared" si="2"/>
        <v>3.5393907567217133</v>
      </c>
      <c r="U13" s="33">
        <f t="shared" si="16"/>
        <v>70</v>
      </c>
      <c r="V13" s="33">
        <f t="shared" si="3"/>
        <v>2.6666666666666665</v>
      </c>
      <c r="W13" s="33">
        <v>0</v>
      </c>
      <c r="X13" s="33">
        <f t="shared" si="4"/>
        <v>290.10636334573479</v>
      </c>
      <c r="Y13" s="38">
        <f t="shared" si="5"/>
        <v>15.467899489281365</v>
      </c>
      <c r="AA13" s="71">
        <v>8</v>
      </c>
      <c r="AB13" s="33">
        <f t="shared" si="6"/>
        <v>0</v>
      </c>
      <c r="AC13" s="304">
        <f t="shared" si="7"/>
        <v>0</v>
      </c>
      <c r="AD13" s="100">
        <f t="shared" si="8"/>
        <v>0</v>
      </c>
      <c r="AE13" s="100">
        <f t="shared" si="9"/>
        <v>0</v>
      </c>
      <c r="AF13" s="193">
        <f t="shared" si="25"/>
        <v>0</v>
      </c>
      <c r="AG13" s="193">
        <f t="shared" si="26"/>
        <v>0</v>
      </c>
      <c r="AH13" s="193">
        <f t="shared" si="27"/>
        <v>0</v>
      </c>
      <c r="AI13" s="198">
        <f t="shared" si="28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3">
        <f t="shared" si="17"/>
        <v>0</v>
      </c>
      <c r="AR13" s="193">
        <f t="shared" si="17"/>
        <v>0</v>
      </c>
      <c r="AS13" s="193">
        <f t="shared" si="17"/>
        <v>0</v>
      </c>
      <c r="AT13" s="193">
        <f t="shared" si="17"/>
        <v>0</v>
      </c>
      <c r="AU13" s="33"/>
      <c r="AV13" s="33"/>
      <c r="AW13" s="33"/>
      <c r="AX13" s="33"/>
      <c r="AY13" s="163">
        <f t="shared" si="24"/>
        <v>0</v>
      </c>
    </row>
    <row r="14" spans="2:51">
      <c r="B14" s="364" t="s">
        <v>132</v>
      </c>
      <c r="C14" s="360"/>
      <c r="D14" s="361"/>
      <c r="E14" s="361"/>
      <c r="F14" s="362"/>
      <c r="I14" s="55">
        <v>9</v>
      </c>
      <c r="J14" s="33">
        <f t="shared" si="18"/>
        <v>3.78</v>
      </c>
      <c r="K14" s="33">
        <f t="shared" si="19"/>
        <v>1.4921889485915243</v>
      </c>
      <c r="L14" s="33">
        <f t="shared" si="20"/>
        <v>70</v>
      </c>
      <c r="M14" s="33">
        <f t="shared" si="21"/>
        <v>3</v>
      </c>
      <c r="N14" s="33">
        <f t="shared" si="0"/>
        <v>0</v>
      </c>
      <c r="O14" s="34">
        <f t="shared" si="1"/>
        <v>276.8490624187969</v>
      </c>
      <c r="P14" s="55">
        <v>9</v>
      </c>
      <c r="Q14" s="33">
        <f t="shared" si="15"/>
        <v>2.99</v>
      </c>
      <c r="R14" s="33">
        <f t="shared" si="22"/>
        <v>26.910000000000004</v>
      </c>
      <c r="S14" s="33">
        <f t="shared" si="23"/>
        <v>11.302200000000001</v>
      </c>
      <c r="T14" s="33">
        <f t="shared" si="2"/>
        <v>3.9275966525327912</v>
      </c>
      <c r="U14" s="33">
        <f t="shared" si="16"/>
        <v>70</v>
      </c>
      <c r="V14" s="33">
        <f t="shared" si="3"/>
        <v>3</v>
      </c>
      <c r="W14" s="33">
        <v>0</v>
      </c>
      <c r="X14" s="33">
        <f t="shared" si="4"/>
        <v>294.19189583649467</v>
      </c>
      <c r="Y14" s="38">
        <f t="shared" si="5"/>
        <v>17.342833417697761</v>
      </c>
      <c r="AA14" s="71">
        <v>9</v>
      </c>
      <c r="AB14" s="33">
        <f t="shared" si="6"/>
        <v>0</v>
      </c>
      <c r="AC14" s="304">
        <f t="shared" si="7"/>
        <v>0</v>
      </c>
      <c r="AD14" s="100">
        <f t="shared" si="8"/>
        <v>0</v>
      </c>
      <c r="AE14" s="100">
        <f t="shared" si="9"/>
        <v>0</v>
      </c>
      <c r="AF14" s="193">
        <f t="shared" si="25"/>
        <v>0</v>
      </c>
      <c r="AG14" s="193">
        <f t="shared" si="26"/>
        <v>0</v>
      </c>
      <c r="AH14" s="193">
        <f t="shared" si="27"/>
        <v>0</v>
      </c>
      <c r="AI14" s="198">
        <f t="shared" si="28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3">
        <f t="shared" si="17"/>
        <v>0</v>
      </c>
      <c r="AR14" s="193">
        <f t="shared" si="17"/>
        <v>0</v>
      </c>
      <c r="AS14" s="193">
        <f t="shared" si="17"/>
        <v>0</v>
      </c>
      <c r="AT14" s="193">
        <f t="shared" si="17"/>
        <v>0</v>
      </c>
      <c r="AU14" s="33"/>
      <c r="AV14" s="33"/>
      <c r="AW14" s="33"/>
      <c r="AX14" s="33"/>
      <c r="AY14" s="163">
        <f t="shared" si="24"/>
        <v>0</v>
      </c>
    </row>
    <row r="15" spans="2:51">
      <c r="B15" s="374"/>
      <c r="C15" s="93" t="s">
        <v>73</v>
      </c>
      <c r="D15" s="370" t="s">
        <v>135</v>
      </c>
      <c r="E15" s="370"/>
      <c r="F15" s="94">
        <f>IF(D15="","",VLOOKUP(D15,$B$97:$C$100,2,0))</f>
        <v>70</v>
      </c>
      <c r="I15" s="55">
        <v>10</v>
      </c>
      <c r="J15" s="33">
        <f t="shared" si="18"/>
        <v>4.2</v>
      </c>
      <c r="K15" s="33">
        <f t="shared" si="19"/>
        <v>1.6377783954177545</v>
      </c>
      <c r="L15" s="33">
        <f t="shared" si="20"/>
        <v>70</v>
      </c>
      <c r="M15" s="33">
        <f t="shared" si="21"/>
        <v>3.3333333333333335</v>
      </c>
      <c r="N15" s="33">
        <f t="shared" si="0"/>
        <v>0</v>
      </c>
      <c r="O15" s="34">
        <f t="shared" si="1"/>
        <v>279.05635292757478</v>
      </c>
      <c r="P15" s="55">
        <v>10</v>
      </c>
      <c r="Q15" s="33">
        <f t="shared" si="15"/>
        <v>2.99</v>
      </c>
      <c r="R15" s="33">
        <f t="shared" si="22"/>
        <v>29.900000000000006</v>
      </c>
      <c r="S15" s="33">
        <f t="shared" si="23"/>
        <v>12.558000000000002</v>
      </c>
      <c r="T15" s="33">
        <f t="shared" si="2"/>
        <v>4.3108032327306534</v>
      </c>
      <c r="U15" s="33">
        <f t="shared" si="16"/>
        <v>70</v>
      </c>
      <c r="V15" s="33">
        <f t="shared" si="3"/>
        <v>3.3333333333333335</v>
      </c>
      <c r="W15" s="33">
        <v>0</v>
      </c>
      <c r="X15" s="33">
        <f t="shared" si="4"/>
        <v>298.26872118589478</v>
      </c>
      <c r="Y15" s="38">
        <f t="shared" si="5"/>
        <v>19.212368258319998</v>
      </c>
      <c r="AA15" s="71">
        <v>10</v>
      </c>
      <c r="AB15" s="33">
        <f t="shared" si="6"/>
        <v>0</v>
      </c>
      <c r="AC15" s="304">
        <f t="shared" si="7"/>
        <v>0</v>
      </c>
      <c r="AD15" s="100">
        <f t="shared" si="8"/>
        <v>0</v>
      </c>
      <c r="AE15" s="100">
        <f t="shared" si="9"/>
        <v>0</v>
      </c>
      <c r="AF15" s="193">
        <f t="shared" si="25"/>
        <v>0</v>
      </c>
      <c r="AG15" s="193">
        <f t="shared" si="26"/>
        <v>0</v>
      </c>
      <c r="AH15" s="193">
        <f t="shared" si="27"/>
        <v>0</v>
      </c>
      <c r="AI15" s="198">
        <f t="shared" si="28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3">
        <f t="shared" si="17"/>
        <v>0</v>
      </c>
      <c r="AR15" s="193">
        <f t="shared" si="17"/>
        <v>0</v>
      </c>
      <c r="AS15" s="193">
        <f t="shared" si="17"/>
        <v>0</v>
      </c>
      <c r="AT15" s="193">
        <f t="shared" si="17"/>
        <v>0</v>
      </c>
      <c r="AU15" s="33"/>
      <c r="AV15" s="33"/>
      <c r="AW15" s="33"/>
      <c r="AX15" s="33"/>
      <c r="AY15" s="163">
        <f t="shared" si="24"/>
        <v>0</v>
      </c>
    </row>
    <row r="16" spans="2:51">
      <c r="B16" s="374"/>
      <c r="C16" s="93" t="s">
        <v>74</v>
      </c>
      <c r="D16" s="366" t="s">
        <v>138</v>
      </c>
      <c r="E16" s="366"/>
      <c r="F16" s="94">
        <v>10</v>
      </c>
      <c r="I16" s="55">
        <v>11</v>
      </c>
      <c r="J16" s="33">
        <f t="shared" si="18"/>
        <v>4.62</v>
      </c>
      <c r="K16" s="33">
        <f t="shared" si="19"/>
        <v>1.7816800392152941</v>
      </c>
      <c r="L16" s="33">
        <f t="shared" si="20"/>
        <v>70</v>
      </c>
      <c r="M16" s="33">
        <f t="shared" si="21"/>
        <v>3.6666666666666665</v>
      </c>
      <c r="N16" s="33">
        <f t="shared" si="0"/>
        <v>0</v>
      </c>
      <c r="O16" s="34">
        <f t="shared" si="1"/>
        <v>281.26070384607777</v>
      </c>
      <c r="P16" s="55">
        <v>11</v>
      </c>
      <c r="Q16" s="33">
        <f t="shared" si="15"/>
        <v>0</v>
      </c>
      <c r="R16" s="33">
        <f t="shared" si="22"/>
        <v>29.900000000000006</v>
      </c>
      <c r="S16" s="33">
        <f t="shared" si="23"/>
        <v>12.558000000000002</v>
      </c>
      <c r="T16" s="33">
        <f t="shared" si="2"/>
        <v>4.3108032327306534</v>
      </c>
      <c r="U16" s="33">
        <f t="shared" si="16"/>
        <v>70</v>
      </c>
      <c r="V16" s="33">
        <f t="shared" si="3"/>
        <v>3.6666666666666665</v>
      </c>
      <c r="W16" s="33">
        <v>0</v>
      </c>
      <c r="X16" s="33">
        <f t="shared" si="4"/>
        <v>299.490943408117</v>
      </c>
      <c r="Y16" s="38">
        <f t="shared" si="5"/>
        <v>18.23023956203923</v>
      </c>
      <c r="AA16" s="71">
        <v>11</v>
      </c>
      <c r="AB16" s="33">
        <f t="shared" si="6"/>
        <v>0</v>
      </c>
      <c r="AC16" s="304">
        <f t="shared" si="7"/>
        <v>0</v>
      </c>
      <c r="AD16" s="100">
        <f t="shared" si="8"/>
        <v>0.56000000000000005</v>
      </c>
      <c r="AE16" s="100">
        <f t="shared" si="9"/>
        <v>0.44</v>
      </c>
      <c r="AF16" s="193">
        <f t="shared" si="25"/>
        <v>0</v>
      </c>
      <c r="AG16" s="193">
        <f t="shared" si="26"/>
        <v>0</v>
      </c>
      <c r="AH16" s="193">
        <f t="shared" si="27"/>
        <v>0</v>
      </c>
      <c r="AI16" s="198">
        <f t="shared" si="28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0.56000000000000005</v>
      </c>
      <c r="AO16" s="33">
        <f t="shared" si="13"/>
        <v>0.44</v>
      </c>
      <c r="AP16" s="33">
        <f t="shared" si="14"/>
        <v>0</v>
      </c>
      <c r="AQ16" s="193">
        <f t="shared" si="17"/>
        <v>0</v>
      </c>
      <c r="AR16" s="193">
        <f t="shared" si="17"/>
        <v>0</v>
      </c>
      <c r="AS16" s="193">
        <f t="shared" si="17"/>
        <v>0</v>
      </c>
      <c r="AT16" s="193">
        <f t="shared" si="17"/>
        <v>0</v>
      </c>
      <c r="AU16" s="33"/>
      <c r="AV16" s="33"/>
      <c r="AW16" s="33"/>
      <c r="AX16" s="33"/>
      <c r="AY16" s="163">
        <f t="shared" si="24"/>
        <v>0</v>
      </c>
    </row>
    <row r="17" spans="2:51" ht="16">
      <c r="B17" s="374"/>
      <c r="C17" s="368" t="s">
        <v>124</v>
      </c>
      <c r="D17" s="363" t="s">
        <v>131</v>
      </c>
      <c r="E17" s="363"/>
      <c r="F17" s="96" t="s">
        <v>39</v>
      </c>
      <c r="I17" s="55">
        <v>12</v>
      </c>
      <c r="J17" s="33">
        <f t="shared" si="18"/>
        <v>5.04</v>
      </c>
      <c r="K17" s="33">
        <f t="shared" si="19"/>
        <v>1.9240647665573338</v>
      </c>
      <c r="L17" s="33">
        <f t="shared" si="20"/>
        <v>70</v>
      </c>
      <c r="M17" s="33">
        <f t="shared" si="21"/>
        <v>4</v>
      </c>
      <c r="N17" s="33">
        <f t="shared" si="0"/>
        <v>0</v>
      </c>
      <c r="O17" s="34">
        <f t="shared" si="1"/>
        <v>283.462412801754</v>
      </c>
      <c r="P17" s="55">
        <v>12</v>
      </c>
      <c r="Q17" s="33">
        <f t="shared" si="15"/>
        <v>15.599999999999998</v>
      </c>
      <c r="R17" s="33">
        <f t="shared" si="22"/>
        <v>45.5</v>
      </c>
      <c r="S17" s="33">
        <f t="shared" si="23"/>
        <v>19.11</v>
      </c>
      <c r="T17" s="33">
        <f t="shared" si="2"/>
        <v>6.247035989571649</v>
      </c>
      <c r="U17" s="33">
        <f t="shared" si="16"/>
        <v>70</v>
      </c>
      <c r="V17" s="33">
        <f t="shared" si="3"/>
        <v>4</v>
      </c>
      <c r="W17" s="33">
        <v>0</v>
      </c>
      <c r="X17" s="33">
        <f t="shared" si="4"/>
        <v>315.49683768183735</v>
      </c>
      <c r="Y17" s="38">
        <f t="shared" si="5"/>
        <v>32.03442488008335</v>
      </c>
      <c r="AA17" s="71">
        <v>12</v>
      </c>
      <c r="AB17" s="33">
        <f t="shared" si="6"/>
        <v>0</v>
      </c>
      <c r="AC17" s="304">
        <f t="shared" si="7"/>
        <v>0</v>
      </c>
      <c r="AD17" s="100">
        <f t="shared" si="8"/>
        <v>0</v>
      </c>
      <c r="AE17" s="100">
        <f t="shared" si="9"/>
        <v>0</v>
      </c>
      <c r="AF17" s="193">
        <f t="shared" si="25"/>
        <v>0</v>
      </c>
      <c r="AG17" s="193">
        <f t="shared" si="26"/>
        <v>0</v>
      </c>
      <c r="AH17" s="193">
        <f t="shared" si="27"/>
        <v>0</v>
      </c>
      <c r="AI17" s="198">
        <f t="shared" si="28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3">
        <f t="shared" si="17"/>
        <v>0</v>
      </c>
      <c r="AR17" s="193">
        <f t="shared" si="17"/>
        <v>0</v>
      </c>
      <c r="AS17" s="193">
        <f t="shared" si="17"/>
        <v>0</v>
      </c>
      <c r="AT17" s="193">
        <f t="shared" si="17"/>
        <v>0</v>
      </c>
      <c r="AU17" s="33"/>
      <c r="AV17" s="33"/>
      <c r="AW17" s="33"/>
      <c r="AX17" s="33"/>
      <c r="AY17" s="163">
        <f t="shared" si="24"/>
        <v>0</v>
      </c>
    </row>
    <row r="18" spans="2:51">
      <c r="B18" s="374"/>
      <c r="C18" s="368"/>
      <c r="D18" s="363" t="s">
        <v>136</v>
      </c>
      <c r="E18" s="363"/>
      <c r="F18" s="97">
        <v>80</v>
      </c>
      <c r="I18" s="55">
        <v>13</v>
      </c>
      <c r="J18" s="33">
        <f t="shared" si="18"/>
        <v>5.46</v>
      </c>
      <c r="K18" s="33">
        <f t="shared" si="19"/>
        <v>2.0650733588092969</v>
      </c>
      <c r="L18" s="33">
        <f t="shared" si="20"/>
        <v>70</v>
      </c>
      <c r="M18" s="33">
        <f t="shared" si="21"/>
        <v>4.333333333333333</v>
      </c>
      <c r="N18" s="33">
        <f t="shared" si="0"/>
        <v>0</v>
      </c>
      <c r="O18" s="34">
        <f t="shared" si="1"/>
        <v>285.66172498881508</v>
      </c>
      <c r="P18" s="55">
        <v>13</v>
      </c>
      <c r="Q18" s="33">
        <f t="shared" si="15"/>
        <v>15.599999999999998</v>
      </c>
      <c r="R18" s="33">
        <f t="shared" si="22"/>
        <v>61.099999999999994</v>
      </c>
      <c r="S18" s="33">
        <f t="shared" si="23"/>
        <v>25.661999999999995</v>
      </c>
      <c r="T18" s="33">
        <f t="shared" si="2"/>
        <v>8.1058983118768086</v>
      </c>
      <c r="U18" s="33">
        <f t="shared" si="16"/>
        <v>70</v>
      </c>
      <c r="V18" s="33">
        <f t="shared" si="3"/>
        <v>4.333333333333333</v>
      </c>
      <c r="W18" s="33">
        <v>0</v>
      </c>
      <c r="X18" s="33">
        <f t="shared" si="4"/>
        <v>331.36797844874098</v>
      </c>
      <c r="Y18" s="38">
        <f t="shared" si="5"/>
        <v>45.706253459925904</v>
      </c>
      <c r="AA18" s="71">
        <v>13</v>
      </c>
      <c r="AB18" s="33">
        <f t="shared" si="6"/>
        <v>0</v>
      </c>
      <c r="AC18" s="304">
        <f t="shared" si="7"/>
        <v>0</v>
      </c>
      <c r="AD18" s="100">
        <f t="shared" si="8"/>
        <v>0</v>
      </c>
      <c r="AE18" s="100">
        <f t="shared" si="9"/>
        <v>0</v>
      </c>
      <c r="AF18" s="193">
        <f t="shared" si="25"/>
        <v>0</v>
      </c>
      <c r="AG18" s="193">
        <f t="shared" si="26"/>
        <v>0</v>
      </c>
      <c r="AH18" s="193">
        <f t="shared" si="27"/>
        <v>0</v>
      </c>
      <c r="AI18" s="198">
        <f t="shared" si="28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3">
        <f t="shared" si="17"/>
        <v>0</v>
      </c>
      <c r="AR18" s="193">
        <f t="shared" si="17"/>
        <v>0</v>
      </c>
      <c r="AS18" s="193">
        <f t="shared" si="17"/>
        <v>0</v>
      </c>
      <c r="AT18" s="193">
        <f t="shared" si="17"/>
        <v>0</v>
      </c>
      <c r="AU18" s="33"/>
      <c r="AV18" s="33"/>
      <c r="AW18" s="33"/>
      <c r="AX18" s="33"/>
      <c r="AY18" s="163">
        <f t="shared" si="24"/>
        <v>0</v>
      </c>
    </row>
    <row r="19" spans="2:51">
      <c r="B19" s="374"/>
      <c r="C19" s="368"/>
      <c r="D19" s="366" t="s">
        <v>155</v>
      </c>
      <c r="E19" s="366"/>
      <c r="F19" s="36">
        <f>IF(ISBLANK(F$17),,VLOOKUP(F$17,C131:D195,2,FALSE))</f>
        <v>0.42</v>
      </c>
      <c r="I19" s="55">
        <v>14</v>
      </c>
      <c r="J19" s="33">
        <f t="shared" si="18"/>
        <v>5.88</v>
      </c>
      <c r="K19" s="33">
        <f t="shared" si="19"/>
        <v>2.2048237083130879</v>
      </c>
      <c r="L19" s="33">
        <f t="shared" si="20"/>
        <v>70</v>
      </c>
      <c r="M19" s="33">
        <f t="shared" si="21"/>
        <v>4.666666666666667</v>
      </c>
      <c r="N19" s="33">
        <f t="shared" si="0"/>
        <v>0</v>
      </c>
      <c r="O19" s="34">
        <f t="shared" si="1"/>
        <v>287.85884573642306</v>
      </c>
      <c r="P19" s="55">
        <v>14</v>
      </c>
      <c r="Q19" s="33">
        <f t="shared" si="15"/>
        <v>15.599999999999998</v>
      </c>
      <c r="R19" s="33">
        <f t="shared" si="22"/>
        <v>76.699999999999989</v>
      </c>
      <c r="S19" s="33">
        <f t="shared" si="23"/>
        <v>32.213999999999992</v>
      </c>
      <c r="T19" s="33">
        <f t="shared" si="2"/>
        <v>9.9096957632381617</v>
      </c>
      <c r="U19" s="33">
        <f t="shared" si="16"/>
        <v>70</v>
      </c>
      <c r="V19" s="33">
        <f t="shared" si="3"/>
        <v>4.666666666666667</v>
      </c>
      <c r="W19" s="33">
        <v>0</v>
      </c>
      <c r="X19" s="33">
        <f t="shared" si="4"/>
        <v>347.14321456541757</v>
      </c>
      <c r="Y19" s="38">
        <f t="shared" si="5"/>
        <v>59.284368828994502</v>
      </c>
      <c r="AA19" s="71">
        <v>14</v>
      </c>
      <c r="AB19" s="33">
        <f t="shared" si="6"/>
        <v>0</v>
      </c>
      <c r="AC19" s="304">
        <f t="shared" si="7"/>
        <v>0</v>
      </c>
      <c r="AD19" s="100">
        <f t="shared" si="8"/>
        <v>0</v>
      </c>
      <c r="AE19" s="100">
        <f t="shared" si="9"/>
        <v>0</v>
      </c>
      <c r="AF19" s="193">
        <f t="shared" si="25"/>
        <v>0</v>
      </c>
      <c r="AG19" s="193">
        <f t="shared" si="26"/>
        <v>0</v>
      </c>
      <c r="AH19" s="193">
        <f t="shared" si="27"/>
        <v>0</v>
      </c>
      <c r="AI19" s="198">
        <f t="shared" si="28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3">
        <f t="shared" si="17"/>
        <v>0</v>
      </c>
      <c r="AR19" s="193">
        <f t="shared" si="17"/>
        <v>0</v>
      </c>
      <c r="AS19" s="193">
        <f t="shared" si="17"/>
        <v>0</v>
      </c>
      <c r="AT19" s="193">
        <f t="shared" si="17"/>
        <v>0</v>
      </c>
      <c r="AU19" s="33"/>
      <c r="AV19" s="33"/>
      <c r="AW19" s="33"/>
      <c r="AX19" s="33"/>
      <c r="AY19" s="163">
        <f t="shared" si="24"/>
        <v>0</v>
      </c>
    </row>
    <row r="20" spans="2:51">
      <c r="B20" s="374"/>
      <c r="C20" s="368"/>
      <c r="D20" s="366" t="s">
        <v>140</v>
      </c>
      <c r="E20" s="366"/>
      <c r="F20" s="36">
        <f>IF(ISBLANK(F$17),,VLOOKUP(F17,Tableau14594[#All],4,FALSE))</f>
        <v>1.3</v>
      </c>
      <c r="I20" s="55">
        <v>15</v>
      </c>
      <c r="J20" s="33">
        <f t="shared" si="18"/>
        <v>6.3</v>
      </c>
      <c r="K20" s="33">
        <f t="shared" si="19"/>
        <v>2.3434159113137563</v>
      </c>
      <c r="L20" s="33">
        <f t="shared" si="20"/>
        <v>70</v>
      </c>
      <c r="M20" s="33">
        <f t="shared" si="21"/>
        <v>5</v>
      </c>
      <c r="N20" s="33">
        <f t="shared" si="0"/>
        <v>0</v>
      </c>
      <c r="O20" s="34">
        <f t="shared" si="1"/>
        <v>290.05394937887144</v>
      </c>
      <c r="P20" s="55">
        <v>15</v>
      </c>
      <c r="Q20" s="33">
        <f t="shared" si="15"/>
        <v>15.599999999999998</v>
      </c>
      <c r="R20" s="33">
        <f t="shared" si="22"/>
        <v>92.299999999999983</v>
      </c>
      <c r="S20" s="33">
        <f t="shared" si="23"/>
        <v>38.765999999999991</v>
      </c>
      <c r="T20" s="33">
        <f t="shared" si="2"/>
        <v>11.670980969085344</v>
      </c>
      <c r="U20" s="33">
        <f t="shared" si="16"/>
        <v>70</v>
      </c>
      <c r="V20" s="33">
        <f t="shared" si="3"/>
        <v>5</v>
      </c>
      <c r="W20" s="33">
        <v>0</v>
      </c>
      <c r="X20" s="33">
        <f t="shared" si="4"/>
        <v>362.84440852115699</v>
      </c>
      <c r="Y20" s="38">
        <f t="shared" si="5"/>
        <v>72.790459142285556</v>
      </c>
      <c r="AA20" s="71">
        <v>15</v>
      </c>
      <c r="AB20" s="33">
        <f t="shared" si="6"/>
        <v>0</v>
      </c>
      <c r="AC20" s="304">
        <f t="shared" si="7"/>
        <v>0</v>
      </c>
      <c r="AD20" s="100">
        <f t="shared" si="8"/>
        <v>0</v>
      </c>
      <c r="AE20" s="100">
        <f t="shared" si="9"/>
        <v>0</v>
      </c>
      <c r="AF20" s="193">
        <f t="shared" si="25"/>
        <v>0</v>
      </c>
      <c r="AG20" s="193">
        <f t="shared" si="26"/>
        <v>0</v>
      </c>
      <c r="AH20" s="193">
        <f t="shared" si="27"/>
        <v>0</v>
      </c>
      <c r="AI20" s="198">
        <f t="shared" si="28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3">
        <f t="shared" si="17"/>
        <v>0</v>
      </c>
      <c r="AR20" s="193">
        <f t="shared" si="17"/>
        <v>0</v>
      </c>
      <c r="AS20" s="193">
        <f t="shared" si="17"/>
        <v>0</v>
      </c>
      <c r="AT20" s="193">
        <f t="shared" si="17"/>
        <v>0</v>
      </c>
      <c r="AU20" s="33"/>
      <c r="AV20" s="33"/>
      <c r="AW20" s="33"/>
      <c r="AX20" s="33"/>
      <c r="AY20" s="163">
        <f t="shared" si="24"/>
        <v>0</v>
      </c>
    </row>
    <row r="21" spans="2:51">
      <c r="B21" s="365"/>
      <c r="C21" s="369"/>
      <c r="D21" s="367" t="s">
        <v>143</v>
      </c>
      <c r="E21" s="367"/>
      <c r="F21" s="102">
        <v>0.16669999999999999</v>
      </c>
      <c r="I21" s="55">
        <v>16</v>
      </c>
      <c r="J21" s="33">
        <f t="shared" si="18"/>
        <v>6.72</v>
      </c>
      <c r="K21" s="33">
        <f t="shared" si="19"/>
        <v>2.4809359628361181</v>
      </c>
      <c r="L21" s="33">
        <f t="shared" si="20"/>
        <v>70</v>
      </c>
      <c r="M21" s="33">
        <f t="shared" si="21"/>
        <v>5.333333333333333</v>
      </c>
      <c r="N21" s="33">
        <f t="shared" si="0"/>
        <v>0</v>
      </c>
      <c r="O21" s="34">
        <f t="shared" si="1"/>
        <v>292.24718569082847</v>
      </c>
      <c r="P21" s="55">
        <v>16</v>
      </c>
      <c r="Q21" s="33">
        <f t="shared" si="15"/>
        <v>-28.599999999999994</v>
      </c>
      <c r="R21" s="33">
        <f t="shared" si="22"/>
        <v>63.699999999999989</v>
      </c>
      <c r="S21" s="33">
        <f t="shared" si="23"/>
        <v>26.753999999999994</v>
      </c>
      <c r="T21" s="33">
        <f t="shared" si="2"/>
        <v>8.4099369579114427</v>
      </c>
      <c r="U21" s="33">
        <f t="shared" si="16"/>
        <v>70</v>
      </c>
      <c r="V21" s="33">
        <f t="shared" si="3"/>
        <v>5.333333333333333</v>
      </c>
      <c r="W21" s="33">
        <v>0</v>
      </c>
      <c r="X21" s="33">
        <f t="shared" si="4"/>
        <v>337.46607909058463</v>
      </c>
      <c r="Y21" s="38">
        <f t="shared" si="5"/>
        <v>45.218893399756155</v>
      </c>
      <c r="AA21" s="71">
        <v>16</v>
      </c>
      <c r="AB21" s="33">
        <f t="shared" si="6"/>
        <v>22</v>
      </c>
      <c r="AC21" s="304">
        <f t="shared" si="7"/>
        <v>0</v>
      </c>
      <c r="AD21" s="100">
        <f t="shared" si="8"/>
        <v>0.56000000000000005</v>
      </c>
      <c r="AE21" s="100">
        <f t="shared" si="9"/>
        <v>0.44</v>
      </c>
      <c r="AF21" s="193">
        <f t="shared" si="25"/>
        <v>0</v>
      </c>
      <c r="AG21" s="193">
        <f t="shared" si="26"/>
        <v>8.8882927189291721</v>
      </c>
      <c r="AH21" s="193">
        <f t="shared" si="27"/>
        <v>5.98416471747068</v>
      </c>
      <c r="AI21" s="198">
        <f t="shared" si="28"/>
        <v>14.872457436399852</v>
      </c>
      <c r="AK21" s="71">
        <v>16</v>
      </c>
      <c r="AL21" s="33">
        <f t="shared" si="10"/>
        <v>22</v>
      </c>
      <c r="AM21" s="33">
        <f t="shared" si="11"/>
        <v>0</v>
      </c>
      <c r="AN21" s="33">
        <f t="shared" si="12"/>
        <v>0.56000000000000005</v>
      </c>
      <c r="AO21" s="33">
        <f t="shared" si="13"/>
        <v>0.44</v>
      </c>
      <c r="AP21" s="33">
        <f t="shared" si="14"/>
        <v>0</v>
      </c>
      <c r="AQ21" s="193">
        <f t="shared" si="17"/>
        <v>0</v>
      </c>
      <c r="AR21" s="193">
        <f t="shared" si="17"/>
        <v>12.32</v>
      </c>
      <c r="AS21" s="193">
        <f t="shared" si="17"/>
        <v>9.68</v>
      </c>
      <c r="AT21" s="193">
        <f t="shared" si="17"/>
        <v>0</v>
      </c>
      <c r="AU21" s="33"/>
      <c r="AV21" s="33"/>
      <c r="AW21" s="33"/>
      <c r="AX21" s="33"/>
      <c r="AY21" s="163">
        <f t="shared" si="24"/>
        <v>9.4599999999999991</v>
      </c>
    </row>
    <row r="22" spans="2:51">
      <c r="E22" s="6"/>
      <c r="I22" s="55">
        <v>17</v>
      </c>
      <c r="J22" s="33">
        <f t="shared" si="18"/>
        <v>7.14</v>
      </c>
      <c r="K22" s="33">
        <f t="shared" si="19"/>
        <v>2.6174585009700779</v>
      </c>
      <c r="L22" s="33">
        <f t="shared" si="20"/>
        <v>70</v>
      </c>
      <c r="M22" s="33">
        <f t="shared" si="21"/>
        <v>5.666666666666667</v>
      </c>
      <c r="N22" s="33">
        <f t="shared" si="0"/>
        <v>0</v>
      </c>
      <c r="O22" s="34">
        <f t="shared" si="1"/>
        <v>294.43868466696739</v>
      </c>
      <c r="P22" s="55">
        <v>17</v>
      </c>
      <c r="Q22" s="33">
        <f t="shared" si="15"/>
        <v>21.45</v>
      </c>
      <c r="R22" s="33">
        <f t="shared" si="22"/>
        <v>85.149999999999991</v>
      </c>
      <c r="S22" s="33">
        <f t="shared" si="23"/>
        <v>35.762999999999998</v>
      </c>
      <c r="T22" s="33">
        <f t="shared" si="2"/>
        <v>10.868417088513802</v>
      </c>
      <c r="U22" s="33">
        <f t="shared" si="16"/>
        <v>70</v>
      </c>
      <c r="V22" s="33">
        <f t="shared" si="3"/>
        <v>5.666666666666667</v>
      </c>
      <c r="W22" s="33">
        <v>0</v>
      </c>
      <c r="X22" s="33">
        <f t="shared" si="4"/>
        <v>358.6608292069393</v>
      </c>
      <c r="Y22" s="38">
        <f t="shared" si="5"/>
        <v>64.222144539971907</v>
      </c>
      <c r="AA22" s="71">
        <v>17</v>
      </c>
      <c r="AB22" s="33">
        <f t="shared" si="6"/>
        <v>0</v>
      </c>
      <c r="AC22" s="304">
        <f t="shared" si="7"/>
        <v>0</v>
      </c>
      <c r="AD22" s="100">
        <f t="shared" si="8"/>
        <v>0</v>
      </c>
      <c r="AE22" s="100">
        <f t="shared" si="9"/>
        <v>0</v>
      </c>
      <c r="AF22" s="193">
        <f t="shared" si="25"/>
        <v>0</v>
      </c>
      <c r="AG22" s="193">
        <f t="shared" si="26"/>
        <v>8.6452418871150538</v>
      </c>
      <c r="AH22" s="193">
        <f t="shared" si="27"/>
        <v>4.2314434514607981</v>
      </c>
      <c r="AI22" s="198">
        <f t="shared" si="28"/>
        <v>12.876685338575852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3">
        <f t="shared" si="17"/>
        <v>0</v>
      </c>
      <c r="AR22" s="193">
        <f t="shared" si="17"/>
        <v>0</v>
      </c>
      <c r="AS22" s="193">
        <f t="shared" si="17"/>
        <v>0</v>
      </c>
      <c r="AT22" s="193">
        <f t="shared" si="17"/>
        <v>0</v>
      </c>
      <c r="AU22" s="33"/>
      <c r="AV22" s="33"/>
      <c r="AW22" s="33"/>
      <c r="AX22" s="33"/>
      <c r="AY22" s="163">
        <f t="shared" si="24"/>
        <v>9.4599999999999991</v>
      </c>
    </row>
    <row r="23" spans="2:51">
      <c r="B23" s="386" t="s">
        <v>142</v>
      </c>
      <c r="C23" s="387"/>
      <c r="D23" s="387"/>
      <c r="E23" s="387"/>
      <c r="F23" s="387"/>
      <c r="G23" s="388"/>
      <c r="I23" s="55">
        <v>18</v>
      </c>
      <c r="J23" s="33">
        <f t="shared" si="18"/>
        <v>7.56</v>
      </c>
      <c r="K23" s="33">
        <f t="shared" si="19"/>
        <v>2.7530488868114218</v>
      </c>
      <c r="L23" s="33">
        <f t="shared" si="20"/>
        <v>70</v>
      </c>
      <c r="M23" s="33">
        <f t="shared" si="21"/>
        <v>6</v>
      </c>
      <c r="N23" s="33">
        <f t="shared" si="0"/>
        <v>0</v>
      </c>
      <c r="O23" s="34">
        <f t="shared" si="1"/>
        <v>296.6285601445299</v>
      </c>
      <c r="P23" s="55">
        <v>18</v>
      </c>
      <c r="Q23" s="33">
        <f t="shared" si="15"/>
        <v>21.45</v>
      </c>
      <c r="R23" s="33">
        <f t="shared" si="22"/>
        <v>106.6</v>
      </c>
      <c r="S23" s="33">
        <f t="shared" si="23"/>
        <v>44.771999999999998</v>
      </c>
      <c r="T23" s="33">
        <f t="shared" si="2"/>
        <v>13.255051026563279</v>
      </c>
      <c r="U23" s="33">
        <f t="shared" si="16"/>
        <v>70</v>
      </c>
      <c r="V23" s="33">
        <f t="shared" si="3"/>
        <v>6</v>
      </c>
      <c r="W23" s="33">
        <v>0</v>
      </c>
      <c r="X23" s="33">
        <f t="shared" si="4"/>
        <v>379.73044720459774</v>
      </c>
      <c r="Y23" s="38">
        <f t="shared" si="5"/>
        <v>83.101887060067838</v>
      </c>
      <c r="AA23" s="71">
        <v>18</v>
      </c>
      <c r="AB23" s="33">
        <f t="shared" si="6"/>
        <v>0</v>
      </c>
      <c r="AC23" s="304">
        <f t="shared" si="7"/>
        <v>0</v>
      </c>
      <c r="AD23" s="100">
        <f t="shared" si="8"/>
        <v>0</v>
      </c>
      <c r="AE23" s="100">
        <f t="shared" si="9"/>
        <v>0</v>
      </c>
      <c r="AF23" s="193">
        <f t="shared" si="25"/>
        <v>0</v>
      </c>
      <c r="AG23" s="193">
        <f t="shared" si="26"/>
        <v>8.4088372930783812</v>
      </c>
      <c r="AH23" s="193">
        <f t="shared" si="27"/>
        <v>2.99208235873534</v>
      </c>
      <c r="AI23" s="198">
        <f t="shared" si="28"/>
        <v>11.400919651813721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3">
        <f t="shared" si="17"/>
        <v>0</v>
      </c>
      <c r="AR23" s="193">
        <f t="shared" si="17"/>
        <v>0</v>
      </c>
      <c r="AS23" s="193">
        <f t="shared" si="17"/>
        <v>0</v>
      </c>
      <c r="AT23" s="193">
        <f t="shared" si="17"/>
        <v>0</v>
      </c>
      <c r="AU23" s="33"/>
      <c r="AV23" s="33"/>
      <c r="AW23" s="33"/>
      <c r="AX23" s="33"/>
      <c r="AY23" s="163">
        <f t="shared" si="24"/>
        <v>9.4599999999999991</v>
      </c>
    </row>
    <row r="24" spans="2:51">
      <c r="B24" s="47" t="s">
        <v>114</v>
      </c>
      <c r="C24" s="48" t="s">
        <v>115</v>
      </c>
      <c r="D24" s="48" t="s">
        <v>83</v>
      </c>
      <c r="E24" s="48" t="s">
        <v>117</v>
      </c>
      <c r="F24" s="48" t="s">
        <v>116</v>
      </c>
      <c r="G24" s="49" t="s">
        <v>141</v>
      </c>
      <c r="I24" s="55">
        <v>19</v>
      </c>
      <c r="J24" s="33">
        <f t="shared" si="18"/>
        <v>7.9799999999999995</v>
      </c>
      <c r="K24" s="33">
        <f t="shared" si="19"/>
        <v>2.8877648089424257</v>
      </c>
      <c r="L24" s="33">
        <f t="shared" si="20"/>
        <v>70</v>
      </c>
      <c r="M24" s="33">
        <f t="shared" si="21"/>
        <v>6.333333333333333</v>
      </c>
      <c r="N24" s="33">
        <f t="shared" si="0"/>
        <v>0</v>
      </c>
      <c r="O24" s="34">
        <f t="shared" si="1"/>
        <v>298.81691259779694</v>
      </c>
      <c r="P24" s="55">
        <v>19</v>
      </c>
      <c r="Q24" s="33">
        <f t="shared" si="15"/>
        <v>21.45</v>
      </c>
      <c r="R24" s="33">
        <f t="shared" si="22"/>
        <v>128.04999999999998</v>
      </c>
      <c r="S24" s="33">
        <f t="shared" si="23"/>
        <v>53.780999999999992</v>
      </c>
      <c r="T24" s="33">
        <f t="shared" si="2"/>
        <v>15.586038232634744</v>
      </c>
      <c r="U24" s="33">
        <f t="shared" si="16"/>
        <v>70</v>
      </c>
      <c r="V24" s="33">
        <f t="shared" si="3"/>
        <v>6.333333333333333</v>
      </c>
      <c r="W24" s="33">
        <v>0</v>
      </c>
      <c r="X24" s="33">
        <f t="shared" si="4"/>
        <v>400.70314714406101</v>
      </c>
      <c r="Y24" s="38">
        <f t="shared" si="5"/>
        <v>101.88623454626406</v>
      </c>
      <c r="AA24" s="71">
        <v>19</v>
      </c>
      <c r="AB24" s="33">
        <f t="shared" si="6"/>
        <v>0</v>
      </c>
      <c r="AC24" s="304">
        <f t="shared" si="7"/>
        <v>0</v>
      </c>
      <c r="AD24" s="100">
        <f t="shared" si="8"/>
        <v>0</v>
      </c>
      <c r="AE24" s="100">
        <f t="shared" si="9"/>
        <v>0</v>
      </c>
      <c r="AF24" s="193">
        <f t="shared" si="25"/>
        <v>0</v>
      </c>
      <c r="AG24" s="193">
        <f t="shared" si="26"/>
        <v>8.178897195097619</v>
      </c>
      <c r="AH24" s="193">
        <f t="shared" si="27"/>
        <v>2.1157217257303991</v>
      </c>
      <c r="AI24" s="198">
        <f t="shared" si="28"/>
        <v>10.294618920828018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3">
        <f t="shared" si="17"/>
        <v>0</v>
      </c>
      <c r="AR24" s="193">
        <f t="shared" si="17"/>
        <v>0</v>
      </c>
      <c r="AS24" s="193">
        <f t="shared" si="17"/>
        <v>0</v>
      </c>
      <c r="AT24" s="193">
        <f t="shared" si="17"/>
        <v>0</v>
      </c>
      <c r="AU24" s="33"/>
      <c r="AV24" s="33"/>
      <c r="AW24" s="33"/>
      <c r="AX24" s="33"/>
      <c r="AY24" s="163">
        <f t="shared" si="24"/>
        <v>9.4599999999999991</v>
      </c>
    </row>
    <row r="25" spans="2:51">
      <c r="B25" s="45">
        <v>0</v>
      </c>
      <c r="C25" s="333">
        <v>10</v>
      </c>
      <c r="D25" s="135">
        <f>D26+0</f>
        <v>23</v>
      </c>
      <c r="E25" s="139">
        <f t="shared" ref="E25:E54" si="29">$F$20</f>
        <v>1.3</v>
      </c>
      <c r="F25" s="46">
        <f t="shared" ref="F25:F52" si="30">D25*E25</f>
        <v>29.900000000000002</v>
      </c>
      <c r="G25" s="50">
        <f>F25/(C25-B25)</f>
        <v>2.99</v>
      </c>
      <c r="I25" s="55">
        <v>20</v>
      </c>
      <c r="J25" s="33">
        <f t="shared" si="18"/>
        <v>8.4</v>
      </c>
      <c r="K25" s="33">
        <f t="shared" si="19"/>
        <v>3.0216575404908177</v>
      </c>
      <c r="L25" s="33">
        <f t="shared" si="20"/>
        <v>70</v>
      </c>
      <c r="M25" s="33">
        <f t="shared" si="21"/>
        <v>6.666666666666667</v>
      </c>
      <c r="N25" s="33">
        <f t="shared" si="0"/>
        <v>0</v>
      </c>
      <c r="O25" s="34">
        <f t="shared" si="1"/>
        <v>301.003831327466</v>
      </c>
      <c r="P25" s="55">
        <v>20</v>
      </c>
      <c r="Q25" s="33">
        <f t="shared" si="15"/>
        <v>21.45</v>
      </c>
      <c r="R25" s="33">
        <f t="shared" si="22"/>
        <v>149.49999999999997</v>
      </c>
      <c r="S25" s="33">
        <f t="shared" si="23"/>
        <v>62.789999999999985</v>
      </c>
      <c r="T25" s="33">
        <f t="shared" si="2"/>
        <v>17.871791770153575</v>
      </c>
      <c r="U25" s="33">
        <f t="shared" si="16"/>
        <v>70</v>
      </c>
      <c r="V25" s="33">
        <f t="shared" si="3"/>
        <v>6.666666666666667</v>
      </c>
      <c r="W25" s="33">
        <v>0</v>
      </c>
      <c r="X25" s="33">
        <f t="shared" si="4"/>
        <v>421.59706511079526</v>
      </c>
      <c r="Y25" s="38">
        <f t="shared" si="5"/>
        <v>120.59323378332925</v>
      </c>
      <c r="AA25" s="71">
        <v>20</v>
      </c>
      <c r="AB25" s="33">
        <f t="shared" si="6"/>
        <v>0</v>
      </c>
      <c r="AC25" s="304">
        <f t="shared" si="7"/>
        <v>0</v>
      </c>
      <c r="AD25" s="100">
        <f t="shared" si="8"/>
        <v>0</v>
      </c>
      <c r="AE25" s="100">
        <f t="shared" si="9"/>
        <v>0</v>
      </c>
      <c r="AF25" s="193">
        <f>IF(OR(AA25&lt;=$F$18,AA25&lt;=30),EXP(-LN(2)/$D$104)*AF24+((1-EXP(-LN(2)/$D$104))/(LN(2)/$D$104))*$AB25*AC25*0.475*$F$19*44/12,)</f>
        <v>0</v>
      </c>
      <c r="AG25" s="193">
        <f>IF(OR(AA25&lt;=$F$18,AA25&lt;=30),EXP(-LN(2)/$D$106)*AG24+((1-EXP(-LN(2)/$D$106))/(LN(2)/$D$106))*$AB25*AD25*0.475*$F$19*44/12,)</f>
        <v>7.9552448211881641</v>
      </c>
      <c r="AH25" s="193">
        <f>IF(OR(AA25&lt;=$F$18,AA25&lt;=30),EXP(-LN(2)/$D$105)*AH24+((1-EXP(-LN(2)/$D$105))/(LN(2)/$D$105))*$AB25*AE25*0.475*$F$19*44/12,)</f>
        <v>1.49604117936767</v>
      </c>
      <c r="AI25" s="198">
        <f>IF(OR(AA25&lt;=$F$18,AA25&lt;=30),SUM(AF25:AH25),)</f>
        <v>9.4512860005558341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3">
        <f>IF($AK25&lt;=$F$18,$AL25*AM25,)</f>
        <v>0</v>
      </c>
      <c r="AR25" s="193">
        <f>IF($AK25&lt;=$F$18,$AL25*AN25,)</f>
        <v>0</v>
      </c>
      <c r="AS25" s="193">
        <f>IF($AK25&lt;=$F$18,$AL25*AO25,)</f>
        <v>0</v>
      </c>
      <c r="AT25" s="193">
        <f>IF($AK25&lt;=$F$18,$AL25*AP25,)</f>
        <v>0</v>
      </c>
      <c r="AU25" s="33"/>
      <c r="AV25" s="33"/>
      <c r="AW25" s="33"/>
      <c r="AX25" s="33"/>
      <c r="AY25" s="163">
        <f t="shared" si="24"/>
        <v>9.4599999999999991</v>
      </c>
    </row>
    <row r="26" spans="2:51">
      <c r="B26" s="40">
        <f t="shared" ref="B26:B54" si="31">C25</f>
        <v>10</v>
      </c>
      <c r="C26" s="41">
        <f>B26+1</f>
        <v>11</v>
      </c>
      <c r="D26" s="136">
        <v>23</v>
      </c>
      <c r="E26" s="140">
        <f t="shared" si="29"/>
        <v>1.3</v>
      </c>
      <c r="F26" s="42">
        <f t="shared" si="30"/>
        <v>29.900000000000002</v>
      </c>
      <c r="G26" s="141">
        <f>(F26-F25)/(C26-B26)</f>
        <v>0</v>
      </c>
      <c r="I26" s="55">
        <v>21</v>
      </c>
      <c r="J26" s="33">
        <f t="shared" si="18"/>
        <v>8.82</v>
      </c>
      <c r="K26" s="33">
        <f t="shared" si="19"/>
        <v>3.1547729376322442</v>
      </c>
      <c r="L26" s="33">
        <f t="shared" si="20"/>
        <v>70</v>
      </c>
      <c r="M26" s="33">
        <f t="shared" si="21"/>
        <v>7</v>
      </c>
      <c r="N26" s="33">
        <f t="shared" si="0"/>
        <v>0</v>
      </c>
      <c r="O26" s="34">
        <f t="shared" si="1"/>
        <v>303.18939619970951</v>
      </c>
      <c r="P26" s="55">
        <v>21</v>
      </c>
      <c r="Q26" s="33">
        <f t="shared" si="15"/>
        <v>-45.5</v>
      </c>
      <c r="R26" s="33">
        <f t="shared" si="22"/>
        <v>103.99999999999997</v>
      </c>
      <c r="S26" s="33">
        <f t="shared" si="23"/>
        <v>43.679999999999986</v>
      </c>
      <c r="T26" s="33">
        <f t="shared" si="2"/>
        <v>12.968979282088572</v>
      </c>
      <c r="U26" s="33">
        <f t="shared" si="16"/>
        <v>70</v>
      </c>
      <c r="V26" s="33">
        <f t="shared" si="3"/>
        <v>7</v>
      </c>
      <c r="W26" s="33">
        <v>0</v>
      </c>
      <c r="X26" s="33">
        <f t="shared" si="4"/>
        <v>380.99697224963757</v>
      </c>
      <c r="Y26" s="38">
        <f t="shared" si="5"/>
        <v>77.807576049928059</v>
      </c>
      <c r="AA26" s="71">
        <v>21</v>
      </c>
      <c r="AB26" s="33">
        <f t="shared" si="6"/>
        <v>35</v>
      </c>
      <c r="AC26" s="304">
        <f t="shared" si="7"/>
        <v>0</v>
      </c>
      <c r="AD26" s="100">
        <f t="shared" si="8"/>
        <v>0.56000000000000005</v>
      </c>
      <c r="AE26" s="100">
        <f t="shared" si="9"/>
        <v>0.44</v>
      </c>
      <c r="AF26" s="193">
        <f>IF(OR(AA26&lt;=$F$18,AA26&lt;=30),EXP(-LN(2)/$D$104)*AF25+((1-EXP(-LN(2)/$D$104))/(LN(2)/$D$104))*$AB26*AC26*0.475*$F$19*44/12,)</f>
        <v>0</v>
      </c>
      <c r="AG26" s="193">
        <f>IF(OR(AA26&lt;=$F$18,AA26&lt;=30),EXP(-LN(2)/$D$106)*AG25+((1-EXP(-LN(2)/$D$106))/(LN(2)/$D$106))*$AB26*AD26*0.475*$F$19*44/12,)</f>
        <v>21.878173922410127</v>
      </c>
      <c r="AH26" s="193">
        <f>IF(OR(AA26&lt;=$F$18,AA26&lt;=30),EXP(-LN(2)/$D$105)*AH25+((1-EXP(-LN(2)/$D$105))/(LN(2)/$D$105))*$AB26*AE26*0.475*$F$19*44/12,)</f>
        <v>10.578122913386736</v>
      </c>
      <c r="AI26" s="198">
        <f>IF(OR(AA26&lt;=$F$18,AA26&lt;=30),SUM(AF26:AH26),)</f>
        <v>32.456296835796863</v>
      </c>
      <c r="AK26" s="71">
        <v>21</v>
      </c>
      <c r="AL26" s="33">
        <f t="shared" si="10"/>
        <v>35</v>
      </c>
      <c r="AM26" s="33">
        <f t="shared" si="11"/>
        <v>0</v>
      </c>
      <c r="AN26" s="33">
        <f t="shared" si="12"/>
        <v>0.56000000000000005</v>
      </c>
      <c r="AO26" s="33">
        <f t="shared" si="13"/>
        <v>0.44</v>
      </c>
      <c r="AP26" s="33">
        <f t="shared" si="14"/>
        <v>0</v>
      </c>
      <c r="AQ26" s="193">
        <f t="shared" ref="AQ26:AT35" si="32">IF($AK26&lt;=$F$18,$AL26*AM26,)</f>
        <v>0</v>
      </c>
      <c r="AR26" s="193">
        <f t="shared" si="32"/>
        <v>19.600000000000001</v>
      </c>
      <c r="AS26" s="193">
        <f t="shared" si="32"/>
        <v>15.4</v>
      </c>
      <c r="AT26" s="193">
        <f t="shared" si="32"/>
        <v>0</v>
      </c>
      <c r="AU26" s="33"/>
      <c r="AV26" s="33"/>
      <c r="AW26" s="33"/>
      <c r="AX26" s="33"/>
      <c r="AY26" s="163">
        <f t="shared" si="24"/>
        <v>24.509999999999998</v>
      </c>
    </row>
    <row r="27" spans="2:51">
      <c r="B27" s="40">
        <f t="shared" si="31"/>
        <v>11</v>
      </c>
      <c r="C27" s="151">
        <f>C25+5</f>
        <v>15</v>
      </c>
      <c r="D27" s="136">
        <f>D28+22</f>
        <v>71</v>
      </c>
      <c r="E27" s="140">
        <f t="shared" si="29"/>
        <v>1.3</v>
      </c>
      <c r="F27" s="42">
        <f t="shared" si="30"/>
        <v>92.3</v>
      </c>
      <c r="G27" s="51">
        <f t="shared" ref="G27:G52" si="33">(F27-F26)/(C27-B27)</f>
        <v>15.599999999999998</v>
      </c>
      <c r="I27" s="55">
        <v>22</v>
      </c>
      <c r="J27" s="33">
        <f t="shared" si="18"/>
        <v>9.24</v>
      </c>
      <c r="K27" s="33">
        <f t="shared" si="19"/>
        <v>3.2871522425130331</v>
      </c>
      <c r="L27" s="33">
        <f t="shared" si="20"/>
        <v>70</v>
      </c>
      <c r="M27" s="33">
        <f t="shared" si="21"/>
        <v>7.333333333333333</v>
      </c>
      <c r="N27" s="33">
        <f t="shared" si="0"/>
        <v>0</v>
      </c>
      <c r="O27" s="34">
        <f t="shared" si="1"/>
        <v>305.3736790445991</v>
      </c>
      <c r="P27" s="55">
        <v>22</v>
      </c>
      <c r="Q27" s="33">
        <f t="shared" si="15"/>
        <v>23.075000000000003</v>
      </c>
      <c r="R27" s="33">
        <f t="shared" si="22"/>
        <v>127.07499999999997</v>
      </c>
      <c r="S27" s="33">
        <f t="shared" si="23"/>
        <v>53.37149999999999</v>
      </c>
      <c r="T27" s="33">
        <f t="shared" si="2"/>
        <v>15.481130031948336</v>
      </c>
      <c r="U27" s="33">
        <f t="shared" si="16"/>
        <v>70</v>
      </c>
      <c r="V27" s="33">
        <f t="shared" si="3"/>
        <v>7.333333333333333</v>
      </c>
      <c r="W27" s="33">
        <v>0</v>
      </c>
      <c r="X27" s="33">
        <f t="shared" si="4"/>
        <v>403.47388619453221</v>
      </c>
      <c r="Y27" s="38">
        <f t="shared" si="5"/>
        <v>98.100207149933112</v>
      </c>
      <c r="AA27" s="71">
        <v>22</v>
      </c>
      <c r="AB27" s="33">
        <f t="shared" si="6"/>
        <v>0</v>
      </c>
      <c r="AC27" s="304">
        <f t="shared" si="7"/>
        <v>0</v>
      </c>
      <c r="AD27" s="100">
        <f t="shared" si="8"/>
        <v>0</v>
      </c>
      <c r="AE27" s="100">
        <f t="shared" si="9"/>
        <v>0</v>
      </c>
      <c r="AF27" s="193">
        <f t="shared" ref="AF27:AF90" si="34">IF(OR(AA27&lt;=$F$18,AA27&lt;=30),EXP(-LN(2)/$D$104)*AF26+((1-EXP(-LN(2)/$D$104))/(LN(2)/$D$104))*$AB27*AC27*0.475*$F$19*44/12,)</f>
        <v>0</v>
      </c>
      <c r="AG27" s="193">
        <f t="shared" ref="AG27:AG90" si="35">IF(OR(AA27&lt;=$F$18,AA27&lt;=30),EXP(-LN(2)/$D$106)*AG26+((1-EXP(-LN(2)/$D$106))/(LN(2)/$D$106))*$AB27*AD27*0.475*$F$19*44/12,)</f>
        <v>21.279914105978659</v>
      </c>
      <c r="AH27" s="193">
        <f t="shared" ref="AH27:AH90" si="36">IF(OR(AA27&lt;=$F$18,AA27&lt;=30),EXP(-LN(2)/$D$105)*AH26+((1-EXP(-LN(2)/$D$105))/(LN(2)/$D$105))*$AB27*AE27*0.475*$F$19*44/12,)</f>
        <v>7.4798624442805597</v>
      </c>
      <c r="AI27" s="198">
        <f t="shared" ref="AI27:AI90" si="37">IF(OR(AA27&lt;=$F$18,AA27&lt;=30),SUM(AF27:AH27),)</f>
        <v>28.759776550259218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3">
        <f t="shared" si="32"/>
        <v>0</v>
      </c>
      <c r="AR27" s="193">
        <f t="shared" si="32"/>
        <v>0</v>
      </c>
      <c r="AS27" s="193">
        <f t="shared" si="32"/>
        <v>0</v>
      </c>
      <c r="AT27" s="193">
        <f t="shared" si="32"/>
        <v>0</v>
      </c>
      <c r="AU27" s="33"/>
      <c r="AV27" s="33"/>
      <c r="AW27" s="33"/>
      <c r="AX27" s="33"/>
      <c r="AY27" s="163">
        <f t="shared" si="24"/>
        <v>24.509999999999998</v>
      </c>
    </row>
    <row r="28" spans="2:51">
      <c r="B28" s="40">
        <f t="shared" si="31"/>
        <v>15</v>
      </c>
      <c r="C28" s="151">
        <f>C26+5</f>
        <v>16</v>
      </c>
      <c r="D28" s="136">
        <v>49</v>
      </c>
      <c r="E28" s="140">
        <f t="shared" si="29"/>
        <v>1.3</v>
      </c>
      <c r="F28" s="42">
        <f t="shared" si="30"/>
        <v>63.7</v>
      </c>
      <c r="G28" s="51">
        <f t="shared" si="33"/>
        <v>-28.599999999999994</v>
      </c>
      <c r="I28" s="55">
        <v>23</v>
      </c>
      <c r="J28" s="33">
        <f t="shared" si="18"/>
        <v>9.66</v>
      </c>
      <c r="K28" s="33">
        <f t="shared" si="19"/>
        <v>3.4188327360603257</v>
      </c>
      <c r="L28" s="33">
        <f t="shared" si="20"/>
        <v>70</v>
      </c>
      <c r="M28" s="33">
        <f t="shared" si="21"/>
        <v>7.666666666666667</v>
      </c>
      <c r="N28" s="33">
        <f t="shared" si="0"/>
        <v>0</v>
      </c>
      <c r="O28" s="34">
        <f t="shared" si="1"/>
        <v>307.55674479308283</v>
      </c>
      <c r="P28" s="55">
        <v>23</v>
      </c>
      <c r="Q28" s="33">
        <f t="shared" si="15"/>
        <v>23.075000000000003</v>
      </c>
      <c r="R28" s="33">
        <f t="shared" si="22"/>
        <v>150.14999999999998</v>
      </c>
      <c r="S28" s="33">
        <f t="shared" si="23"/>
        <v>63.062999999999988</v>
      </c>
      <c r="T28" s="33">
        <f t="shared" si="2"/>
        <v>17.940433186321641</v>
      </c>
      <c r="U28" s="33">
        <f t="shared" si="16"/>
        <v>70</v>
      </c>
      <c r="V28" s="33">
        <f t="shared" si="3"/>
        <v>7.666666666666667</v>
      </c>
      <c r="W28" s="33">
        <v>0</v>
      </c>
      <c r="X28" s="33">
        <f t="shared" si="4"/>
        <v>425.85875724395464</v>
      </c>
      <c r="Y28" s="38">
        <f t="shared" si="5"/>
        <v>118.30201245087181</v>
      </c>
      <c r="AA28" s="71">
        <v>23</v>
      </c>
      <c r="AB28" s="33">
        <f t="shared" si="6"/>
        <v>0</v>
      </c>
      <c r="AC28" s="304">
        <f t="shared" si="7"/>
        <v>0</v>
      </c>
      <c r="AD28" s="100">
        <f t="shared" si="8"/>
        <v>0</v>
      </c>
      <c r="AE28" s="100">
        <f t="shared" si="9"/>
        <v>0</v>
      </c>
      <c r="AF28" s="193">
        <f t="shared" si="34"/>
        <v>0</v>
      </c>
      <c r="AG28" s="193">
        <f t="shared" si="35"/>
        <v>20.698013735688626</v>
      </c>
      <c r="AH28" s="193">
        <f t="shared" si="36"/>
        <v>5.2890614566933687</v>
      </c>
      <c r="AI28" s="198">
        <f t="shared" si="37"/>
        <v>25.987075192381994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3">
        <f t="shared" si="32"/>
        <v>0</v>
      </c>
      <c r="AR28" s="193">
        <f t="shared" si="32"/>
        <v>0</v>
      </c>
      <c r="AS28" s="193">
        <f t="shared" si="32"/>
        <v>0</v>
      </c>
      <c r="AT28" s="193">
        <f t="shared" si="32"/>
        <v>0</v>
      </c>
      <c r="AU28" s="33"/>
      <c r="AV28" s="33"/>
      <c r="AW28" s="33"/>
      <c r="AX28" s="33"/>
      <c r="AY28" s="163">
        <f t="shared" si="24"/>
        <v>24.509999999999998</v>
      </c>
    </row>
    <row r="29" spans="2:51">
      <c r="B29" s="40">
        <f t="shared" si="31"/>
        <v>16</v>
      </c>
      <c r="C29" s="151">
        <f t="shared" ref="C29:C54" si="38">C27+5</f>
        <v>20</v>
      </c>
      <c r="D29" s="136">
        <f>D30+35</f>
        <v>115</v>
      </c>
      <c r="E29" s="140">
        <f t="shared" si="29"/>
        <v>1.3</v>
      </c>
      <c r="F29" s="42">
        <f t="shared" si="30"/>
        <v>149.5</v>
      </c>
      <c r="G29" s="51">
        <f t="shared" si="33"/>
        <v>21.45</v>
      </c>
      <c r="I29" s="55">
        <v>24</v>
      </c>
      <c r="J29" s="33">
        <f t="shared" si="18"/>
        <v>10.08</v>
      </c>
      <c r="K29" s="33">
        <f t="shared" si="19"/>
        <v>3.5498482740564596</v>
      </c>
      <c r="L29" s="33">
        <f t="shared" si="20"/>
        <v>70</v>
      </c>
      <c r="M29" s="33">
        <f t="shared" si="21"/>
        <v>8</v>
      </c>
      <c r="N29" s="33">
        <f t="shared" si="0"/>
        <v>0</v>
      </c>
      <c r="O29" s="34">
        <f t="shared" si="1"/>
        <v>309.73865241064834</v>
      </c>
      <c r="P29" s="55">
        <v>24</v>
      </c>
      <c r="Q29" s="33">
        <f t="shared" si="15"/>
        <v>23.075000000000003</v>
      </c>
      <c r="R29" s="33">
        <f t="shared" si="22"/>
        <v>173.22499999999997</v>
      </c>
      <c r="S29" s="33">
        <f t="shared" si="23"/>
        <v>72.754499999999979</v>
      </c>
      <c r="T29" s="33">
        <f t="shared" si="2"/>
        <v>20.355952909306463</v>
      </c>
      <c r="U29" s="33">
        <f t="shared" si="16"/>
        <v>70</v>
      </c>
      <c r="V29" s="33">
        <f t="shared" si="3"/>
        <v>8</v>
      </c>
      <c r="W29" s="33">
        <v>0</v>
      </c>
      <c r="X29" s="33">
        <f t="shared" si="4"/>
        <v>448.16737215037534</v>
      </c>
      <c r="Y29" s="38">
        <f t="shared" si="5"/>
        <v>138.428719739727</v>
      </c>
      <c r="AA29" s="71">
        <v>24</v>
      </c>
      <c r="AB29" s="33">
        <f t="shared" si="6"/>
        <v>0</v>
      </c>
      <c r="AC29" s="304">
        <f t="shared" si="7"/>
        <v>0</v>
      </c>
      <c r="AD29" s="100">
        <f t="shared" si="8"/>
        <v>0</v>
      </c>
      <c r="AE29" s="100">
        <f t="shared" si="9"/>
        <v>0</v>
      </c>
      <c r="AF29" s="193">
        <f t="shared" si="34"/>
        <v>0</v>
      </c>
      <c r="AG29" s="193">
        <f t="shared" si="35"/>
        <v>20.132025461624984</v>
      </c>
      <c r="AH29" s="193">
        <f t="shared" si="36"/>
        <v>3.7399312221402803</v>
      </c>
      <c r="AI29" s="198">
        <f t="shared" si="37"/>
        <v>23.871956683765266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3">
        <f t="shared" si="32"/>
        <v>0</v>
      </c>
      <c r="AR29" s="193">
        <f t="shared" si="32"/>
        <v>0</v>
      </c>
      <c r="AS29" s="193">
        <f t="shared" si="32"/>
        <v>0</v>
      </c>
      <c r="AT29" s="193">
        <f t="shared" si="32"/>
        <v>0</v>
      </c>
      <c r="AU29" s="33"/>
      <c r="AV29" s="33"/>
      <c r="AW29" s="33"/>
      <c r="AX29" s="33"/>
      <c r="AY29" s="163">
        <f t="shared" si="24"/>
        <v>24.509999999999998</v>
      </c>
    </row>
    <row r="30" spans="2:51">
      <c r="B30" s="40">
        <f t="shared" si="31"/>
        <v>20</v>
      </c>
      <c r="C30" s="151">
        <f t="shared" si="38"/>
        <v>21</v>
      </c>
      <c r="D30" s="136">
        <v>80</v>
      </c>
      <c r="E30" s="140">
        <f t="shared" si="29"/>
        <v>1.3</v>
      </c>
      <c r="F30" s="42">
        <f t="shared" si="30"/>
        <v>104</v>
      </c>
      <c r="G30" s="51">
        <f t="shared" si="33"/>
        <v>-45.5</v>
      </c>
      <c r="I30" s="55">
        <v>25</v>
      </c>
      <c r="J30" s="33">
        <f t="shared" si="18"/>
        <v>10.5</v>
      </c>
      <c r="K30" s="33">
        <f t="shared" si="19"/>
        <v>3.6802297313500394</v>
      </c>
      <c r="L30" s="33">
        <f t="shared" si="20"/>
        <v>70</v>
      </c>
      <c r="M30" s="33">
        <f t="shared" si="21"/>
        <v>8.3333333333333339</v>
      </c>
      <c r="N30" s="33">
        <f t="shared" si="0"/>
        <v>0</v>
      </c>
      <c r="O30" s="34">
        <f t="shared" si="1"/>
        <v>311.9194556709902</v>
      </c>
      <c r="P30" s="55">
        <v>25</v>
      </c>
      <c r="Q30" s="33">
        <f t="shared" si="15"/>
        <v>23.075000000000003</v>
      </c>
      <c r="R30" s="33">
        <f t="shared" si="22"/>
        <v>196.29999999999995</v>
      </c>
      <c r="S30" s="33">
        <f t="shared" si="23"/>
        <v>82.445999999999984</v>
      </c>
      <c r="T30" s="33">
        <f t="shared" si="2"/>
        <v>22.734191534864372</v>
      </c>
      <c r="U30" s="33">
        <f t="shared" si="16"/>
        <v>70</v>
      </c>
      <c r="V30" s="33">
        <f t="shared" si="3"/>
        <v>8.3333333333333339</v>
      </c>
      <c r="W30" s="33">
        <v>0</v>
      </c>
      <c r="X30" s="33">
        <f t="shared" si="4"/>
        <v>470.41105581211099</v>
      </c>
      <c r="Y30" s="38">
        <f t="shared" si="5"/>
        <v>158.49160014112078</v>
      </c>
      <c r="AA30" s="71">
        <v>25</v>
      </c>
      <c r="AB30" s="33">
        <f t="shared" si="6"/>
        <v>0</v>
      </c>
      <c r="AC30" s="304">
        <f>IF(AA30&lt;=$F$18,IFERROR(VLOOKUP($AA30,$B$82:$G$94,3,FALSE),0),)*50%</f>
        <v>0</v>
      </c>
      <c r="AD30" s="100">
        <f t="shared" si="8"/>
        <v>0</v>
      </c>
      <c r="AE30" s="100">
        <f t="shared" si="9"/>
        <v>0</v>
      </c>
      <c r="AF30" s="193">
        <f t="shared" si="34"/>
        <v>0</v>
      </c>
      <c r="AG30" s="193">
        <f t="shared" si="35"/>
        <v>19.581514166679643</v>
      </c>
      <c r="AH30" s="193">
        <f t="shared" si="36"/>
        <v>2.6445307283466848</v>
      </c>
      <c r="AI30" s="198">
        <f t="shared" si="37"/>
        <v>22.226044895026327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3">
        <f t="shared" si="32"/>
        <v>0</v>
      </c>
      <c r="AR30" s="193">
        <f t="shared" si="32"/>
        <v>0</v>
      </c>
      <c r="AS30" s="193">
        <f t="shared" si="32"/>
        <v>0</v>
      </c>
      <c r="AT30" s="193">
        <f t="shared" si="32"/>
        <v>0</v>
      </c>
      <c r="AU30" s="33"/>
      <c r="AV30" s="33"/>
      <c r="AW30" s="33"/>
      <c r="AX30" s="33"/>
      <c r="AY30" s="163">
        <f t="shared" si="24"/>
        <v>24.509999999999998</v>
      </c>
    </row>
    <row r="31" spans="2:51">
      <c r="B31" s="40">
        <f t="shared" si="31"/>
        <v>21</v>
      </c>
      <c r="C31" s="151">
        <f t="shared" si="38"/>
        <v>25</v>
      </c>
      <c r="D31" s="136">
        <f>D32+35</f>
        <v>151</v>
      </c>
      <c r="E31" s="140">
        <f t="shared" si="29"/>
        <v>1.3</v>
      </c>
      <c r="F31" s="42">
        <f t="shared" si="30"/>
        <v>196.3</v>
      </c>
      <c r="G31" s="51">
        <f t="shared" si="33"/>
        <v>23.075000000000003</v>
      </c>
      <c r="I31" s="55">
        <v>26</v>
      </c>
      <c r="J31" s="33">
        <f t="shared" si="18"/>
        <v>10.92</v>
      </c>
      <c r="K31" s="33">
        <f t="shared" si="19"/>
        <v>3.810005372992582</v>
      </c>
      <c r="L31" s="33">
        <f t="shared" si="20"/>
        <v>70</v>
      </c>
      <c r="M31" s="33">
        <f t="shared" si="21"/>
        <v>8.6666666666666661</v>
      </c>
      <c r="N31" s="33">
        <f t="shared" si="0"/>
        <v>0</v>
      </c>
      <c r="O31" s="34">
        <f t="shared" si="1"/>
        <v>314.09920380240652</v>
      </c>
      <c r="P31" s="55">
        <v>26</v>
      </c>
      <c r="Q31" s="33">
        <f t="shared" si="15"/>
        <v>-45.5</v>
      </c>
      <c r="R31" s="33">
        <f t="shared" si="22"/>
        <v>150.79999999999995</v>
      </c>
      <c r="S31" s="33">
        <f t="shared" si="23"/>
        <v>63.335999999999977</v>
      </c>
      <c r="T31" s="33">
        <f t="shared" si="2"/>
        <v>18.009040022946209</v>
      </c>
      <c r="U31" s="33">
        <f t="shared" si="16"/>
        <v>70</v>
      </c>
      <c r="V31" s="33">
        <f t="shared" si="3"/>
        <v>8.6666666666666661</v>
      </c>
      <c r="W31" s="33">
        <v>0</v>
      </c>
      <c r="X31" s="33">
        <f t="shared" si="4"/>
        <v>430.1203891510757</v>
      </c>
      <c r="Y31" s="38">
        <f t="shared" si="5"/>
        <v>116.02118534866918</v>
      </c>
      <c r="AA31" s="71">
        <v>26</v>
      </c>
      <c r="AB31" s="33">
        <f t="shared" si="6"/>
        <v>35</v>
      </c>
      <c r="AC31" s="304">
        <f t="shared" ref="AC31:AC94" si="39">IF(AA31&lt;=$F$18,IFERROR(VLOOKUP($AA31,$B$82:$G$94,3,FALSE),0),)*50%</f>
        <v>0</v>
      </c>
      <c r="AD31" s="100">
        <f t="shared" si="8"/>
        <v>0.56000000000000005</v>
      </c>
      <c r="AE31" s="100">
        <f t="shared" si="9"/>
        <v>0.44</v>
      </c>
      <c r="AF31" s="193">
        <f t="shared" si="34"/>
        <v>0</v>
      </c>
      <c r="AG31" s="193">
        <f t="shared" si="35"/>
        <v>33.186522321250209</v>
      </c>
      <c r="AH31" s="193">
        <f t="shared" si="36"/>
        <v>11.390227661591677</v>
      </c>
      <c r="AI31" s="198">
        <f t="shared" si="37"/>
        <v>44.576749982841889</v>
      </c>
      <c r="AK31" s="71">
        <v>26</v>
      </c>
      <c r="AL31" s="33">
        <f t="shared" si="10"/>
        <v>35</v>
      </c>
      <c r="AM31" s="33">
        <f t="shared" si="11"/>
        <v>0</v>
      </c>
      <c r="AN31" s="33">
        <f t="shared" si="12"/>
        <v>0.56000000000000005</v>
      </c>
      <c r="AO31" s="33">
        <f t="shared" si="13"/>
        <v>0.44</v>
      </c>
      <c r="AP31" s="33">
        <f t="shared" si="14"/>
        <v>0</v>
      </c>
      <c r="AQ31" s="193">
        <f t="shared" si="32"/>
        <v>0</v>
      </c>
      <c r="AR31" s="193">
        <f t="shared" si="32"/>
        <v>19.600000000000001</v>
      </c>
      <c r="AS31" s="193">
        <f t="shared" si="32"/>
        <v>15.4</v>
      </c>
      <c r="AT31" s="193">
        <f t="shared" si="32"/>
        <v>0</v>
      </c>
      <c r="AU31" s="33"/>
      <c r="AV31" s="33"/>
      <c r="AW31" s="33"/>
      <c r="AX31" s="33"/>
      <c r="AY31" s="163">
        <f t="shared" si="24"/>
        <v>39.559999999999995</v>
      </c>
    </row>
    <row r="32" spans="2:51">
      <c r="B32" s="40">
        <f t="shared" si="31"/>
        <v>25</v>
      </c>
      <c r="C32" s="151">
        <f t="shared" si="38"/>
        <v>26</v>
      </c>
      <c r="D32" s="136">
        <v>116</v>
      </c>
      <c r="E32" s="140">
        <f t="shared" si="29"/>
        <v>1.3</v>
      </c>
      <c r="F32" s="42">
        <f t="shared" si="30"/>
        <v>150.80000000000001</v>
      </c>
      <c r="G32" s="51">
        <f t="shared" si="33"/>
        <v>-45.5</v>
      </c>
      <c r="I32" s="55">
        <v>27</v>
      </c>
      <c r="J32" s="33">
        <f t="shared" si="18"/>
        <v>11.34</v>
      </c>
      <c r="K32" s="33">
        <f t="shared" si="19"/>
        <v>3.9392011666712041</v>
      </c>
      <c r="L32" s="33">
        <f t="shared" si="20"/>
        <v>70</v>
      </c>
      <c r="M32" s="33">
        <f t="shared" si="21"/>
        <v>9</v>
      </c>
      <c r="N32" s="33">
        <f t="shared" si="0"/>
        <v>0</v>
      </c>
      <c r="O32" s="34">
        <f t="shared" si="1"/>
        <v>316.27794203195236</v>
      </c>
      <c r="P32" s="55">
        <v>27</v>
      </c>
      <c r="Q32" s="33">
        <f t="shared" si="15"/>
        <v>22.424999999999997</v>
      </c>
      <c r="R32" s="33">
        <f t="shared" si="22"/>
        <v>173.22499999999997</v>
      </c>
      <c r="S32" s="33">
        <f t="shared" si="23"/>
        <v>72.754499999999979</v>
      </c>
      <c r="T32" s="33">
        <f t="shared" si="2"/>
        <v>20.355952909306463</v>
      </c>
      <c r="U32" s="33">
        <f t="shared" si="16"/>
        <v>70</v>
      </c>
      <c r="V32" s="33">
        <f t="shared" si="3"/>
        <v>9</v>
      </c>
      <c r="W32" s="33">
        <v>0</v>
      </c>
      <c r="X32" s="33">
        <f t="shared" si="4"/>
        <v>451.83403881704203</v>
      </c>
      <c r="Y32" s="38">
        <f t="shared" si="5"/>
        <v>135.55609678508966</v>
      </c>
      <c r="AA32" s="71">
        <v>27</v>
      </c>
      <c r="AB32" s="33">
        <f t="shared" si="6"/>
        <v>0</v>
      </c>
      <c r="AC32" s="304">
        <f t="shared" si="39"/>
        <v>0</v>
      </c>
      <c r="AD32" s="100">
        <f t="shared" si="8"/>
        <v>0</v>
      </c>
      <c r="AE32" s="100">
        <f t="shared" si="9"/>
        <v>0</v>
      </c>
      <c r="AF32" s="193">
        <f t="shared" si="34"/>
        <v>0</v>
      </c>
      <c r="AG32" s="193">
        <f t="shared" si="35"/>
        <v>32.279035123172264</v>
      </c>
      <c r="AH32" s="193">
        <f t="shared" si="36"/>
        <v>8.0541072187700671</v>
      </c>
      <c r="AI32" s="198">
        <f t="shared" si="37"/>
        <v>40.333142341942334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3">
        <f t="shared" si="32"/>
        <v>0</v>
      </c>
      <c r="AR32" s="193">
        <f t="shared" si="32"/>
        <v>0</v>
      </c>
      <c r="AS32" s="193">
        <f t="shared" si="32"/>
        <v>0</v>
      </c>
      <c r="AT32" s="193">
        <f t="shared" si="32"/>
        <v>0</v>
      </c>
      <c r="AU32" s="33"/>
      <c r="AV32" s="33"/>
      <c r="AW32" s="33"/>
      <c r="AX32" s="33"/>
      <c r="AY32" s="163">
        <f t="shared" si="24"/>
        <v>39.559999999999995</v>
      </c>
    </row>
    <row r="33" spans="2:51">
      <c r="B33" s="40">
        <f t="shared" si="31"/>
        <v>26</v>
      </c>
      <c r="C33" s="151">
        <f t="shared" si="38"/>
        <v>30</v>
      </c>
      <c r="D33" s="136">
        <f>D34+35</f>
        <v>185</v>
      </c>
      <c r="E33" s="140">
        <f t="shared" si="29"/>
        <v>1.3</v>
      </c>
      <c r="F33" s="42">
        <f t="shared" si="30"/>
        <v>240.5</v>
      </c>
      <c r="G33" s="51">
        <f t="shared" si="33"/>
        <v>22.424999999999997</v>
      </c>
      <c r="I33" s="55">
        <v>28</v>
      </c>
      <c r="J33" s="33">
        <f t="shared" si="18"/>
        <v>11.76</v>
      </c>
      <c r="K33" s="33">
        <f t="shared" si="19"/>
        <v>4.0678410475538191</v>
      </c>
      <c r="L33" s="33">
        <f t="shared" si="20"/>
        <v>70</v>
      </c>
      <c r="M33" s="33">
        <f t="shared" si="21"/>
        <v>9.3333333333333339</v>
      </c>
      <c r="N33" s="33">
        <f t="shared" si="0"/>
        <v>0</v>
      </c>
      <c r="O33" s="34">
        <f t="shared" si="1"/>
        <v>318.45571204671177</v>
      </c>
      <c r="P33" s="55">
        <v>28</v>
      </c>
      <c r="Q33" s="33">
        <f t="shared" si="15"/>
        <v>22.424999999999997</v>
      </c>
      <c r="R33" s="33">
        <f t="shared" si="22"/>
        <v>195.64999999999998</v>
      </c>
      <c r="S33" s="33">
        <f t="shared" si="23"/>
        <v>82.172999999999988</v>
      </c>
      <c r="T33" s="33">
        <f t="shared" si="2"/>
        <v>22.667662370396656</v>
      </c>
      <c r="U33" s="33">
        <f t="shared" si="16"/>
        <v>70</v>
      </c>
      <c r="V33" s="33">
        <f t="shared" si="3"/>
        <v>9.3333333333333339</v>
      </c>
      <c r="W33" s="33">
        <v>0</v>
      </c>
      <c r="X33" s="33">
        <f t="shared" si="4"/>
        <v>473.48637585066302</v>
      </c>
      <c r="Y33" s="38">
        <f t="shared" si="5"/>
        <v>155.03066380395126</v>
      </c>
      <c r="AA33" s="71">
        <v>28</v>
      </c>
      <c r="AB33" s="33">
        <f t="shared" si="6"/>
        <v>0</v>
      </c>
      <c r="AC33" s="304">
        <f t="shared" si="39"/>
        <v>0</v>
      </c>
      <c r="AD33" s="100">
        <f t="shared" si="8"/>
        <v>0</v>
      </c>
      <c r="AE33" s="100">
        <f t="shared" si="9"/>
        <v>0</v>
      </c>
      <c r="AF33" s="193">
        <f t="shared" si="34"/>
        <v>0</v>
      </c>
      <c r="AG33" s="193">
        <f t="shared" si="35"/>
        <v>31.396363210248435</v>
      </c>
      <c r="AH33" s="193">
        <f t="shared" si="36"/>
        <v>5.6951138307958393</v>
      </c>
      <c r="AI33" s="198">
        <f t="shared" si="37"/>
        <v>37.091477041044271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3">
        <f t="shared" si="32"/>
        <v>0</v>
      </c>
      <c r="AR33" s="193">
        <f t="shared" si="32"/>
        <v>0</v>
      </c>
      <c r="AS33" s="193">
        <f t="shared" si="32"/>
        <v>0</v>
      </c>
      <c r="AT33" s="193">
        <f t="shared" si="32"/>
        <v>0</v>
      </c>
      <c r="AU33" s="33"/>
      <c r="AV33" s="33"/>
      <c r="AW33" s="33"/>
      <c r="AX33" s="33"/>
      <c r="AY33" s="163">
        <f t="shared" si="24"/>
        <v>39.559999999999995</v>
      </c>
    </row>
    <row r="34" spans="2:51" ht="16" thickBot="1">
      <c r="B34" s="40">
        <f t="shared" si="31"/>
        <v>30</v>
      </c>
      <c r="C34" s="151">
        <f t="shared" si="38"/>
        <v>31</v>
      </c>
      <c r="D34" s="136">
        <v>150</v>
      </c>
      <c r="E34" s="140">
        <f t="shared" si="29"/>
        <v>1.3</v>
      </c>
      <c r="F34" s="42">
        <f t="shared" si="30"/>
        <v>195</v>
      </c>
      <c r="G34" s="51">
        <f t="shared" si="33"/>
        <v>-45.5</v>
      </c>
      <c r="I34" s="55">
        <v>29</v>
      </c>
      <c r="J34" s="33">
        <f t="shared" si="18"/>
        <v>12.18</v>
      </c>
      <c r="K34" s="33">
        <f t="shared" si="19"/>
        <v>4.1959471442360723</v>
      </c>
      <c r="L34" s="33">
        <f t="shared" si="20"/>
        <v>70</v>
      </c>
      <c r="M34" s="33">
        <f t="shared" si="21"/>
        <v>9.6666666666666661</v>
      </c>
      <c r="N34" s="33">
        <f t="shared" si="0"/>
        <v>0</v>
      </c>
      <c r="O34" s="34">
        <f t="shared" si="1"/>
        <v>320.63255238732228</v>
      </c>
      <c r="P34" s="55">
        <v>29</v>
      </c>
      <c r="Q34" s="35">
        <f t="shared" si="15"/>
        <v>22.424999999999997</v>
      </c>
      <c r="R34" s="33">
        <f t="shared" si="22"/>
        <v>218.07499999999999</v>
      </c>
      <c r="S34" s="33">
        <f t="shared" si="23"/>
        <v>91.591499999999996</v>
      </c>
      <c r="T34" s="33">
        <f t="shared" si="2"/>
        <v>24.948664018276951</v>
      </c>
      <c r="U34" s="33">
        <f t="shared" si="16"/>
        <v>70</v>
      </c>
      <c r="V34" s="33">
        <f t="shared" si="3"/>
        <v>9.6666666666666661</v>
      </c>
      <c r="W34" s="33">
        <v>0</v>
      </c>
      <c r="X34" s="33">
        <f t="shared" si="4"/>
        <v>495.08523010961011</v>
      </c>
      <c r="Y34" s="38">
        <f t="shared" si="5"/>
        <v>174.45267772228783</v>
      </c>
      <c r="AA34" s="71">
        <v>29</v>
      </c>
      <c r="AB34" s="142">
        <f t="shared" si="6"/>
        <v>0</v>
      </c>
      <c r="AC34" s="304">
        <f t="shared" si="39"/>
        <v>0</v>
      </c>
      <c r="AD34" s="101">
        <f t="shared" si="8"/>
        <v>0</v>
      </c>
      <c r="AE34" s="101">
        <f t="shared" si="9"/>
        <v>0</v>
      </c>
      <c r="AF34" s="195">
        <f t="shared" si="34"/>
        <v>0</v>
      </c>
      <c r="AG34" s="195">
        <f t="shared" si="35"/>
        <v>30.537828007201206</v>
      </c>
      <c r="AH34" s="193">
        <f t="shared" si="36"/>
        <v>4.0270536093850344</v>
      </c>
      <c r="AI34" s="198">
        <f t="shared" si="37"/>
        <v>34.564881616586241</v>
      </c>
      <c r="AK34" s="71">
        <v>29</v>
      </c>
      <c r="AL34" s="142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3">
        <f t="shared" si="32"/>
        <v>0</v>
      </c>
      <c r="AR34" s="193">
        <f t="shared" si="32"/>
        <v>0</v>
      </c>
      <c r="AS34" s="193">
        <f t="shared" si="32"/>
        <v>0</v>
      </c>
      <c r="AT34" s="193">
        <f t="shared" si="32"/>
        <v>0</v>
      </c>
      <c r="AU34" s="33"/>
      <c r="AV34" s="33"/>
      <c r="AW34" s="33"/>
      <c r="AX34" s="33"/>
      <c r="AY34" s="163">
        <f t="shared" si="24"/>
        <v>39.559999999999995</v>
      </c>
    </row>
    <row r="35" spans="2:51" ht="16" thickBot="1">
      <c r="B35" s="40">
        <f t="shared" si="31"/>
        <v>31</v>
      </c>
      <c r="C35" s="151">
        <f t="shared" si="38"/>
        <v>35</v>
      </c>
      <c r="D35" s="136">
        <f>D36+35</f>
        <v>214</v>
      </c>
      <c r="E35" s="140">
        <f t="shared" si="29"/>
        <v>1.3</v>
      </c>
      <c r="F35" s="42">
        <f t="shared" si="30"/>
        <v>278.2</v>
      </c>
      <c r="G35" s="51">
        <f t="shared" si="33"/>
        <v>20.799999999999997</v>
      </c>
      <c r="I35" s="87">
        <v>30</v>
      </c>
      <c r="J35" s="158">
        <f>IF($I35&lt;=$F$10,IF(AND(D8=B100,F12=C194),($F$11*$F$13+J34*50%),$F$11*$F$13+J34),)</f>
        <v>6.51</v>
      </c>
      <c r="K35" s="53">
        <f t="shared" si="19"/>
        <v>2.4123050520281013</v>
      </c>
      <c r="L35" s="53">
        <f t="shared" si="20"/>
        <v>70</v>
      </c>
      <c r="M35" s="53">
        <f t="shared" si="21"/>
        <v>10</v>
      </c>
      <c r="N35" s="54">
        <f t="shared" si="0"/>
        <v>0</v>
      </c>
      <c r="O35" s="69">
        <f t="shared" si="1"/>
        <v>308.87301463228226</v>
      </c>
      <c r="P35" s="87">
        <v>30</v>
      </c>
      <c r="Q35" s="53">
        <f t="shared" si="15"/>
        <v>22.424999999999997</v>
      </c>
      <c r="R35" s="54">
        <f t="shared" si="22"/>
        <v>240.5</v>
      </c>
      <c r="S35" s="53">
        <f t="shared" si="23"/>
        <v>101.00999999999999</v>
      </c>
      <c r="T35" s="54">
        <f t="shared" si="2"/>
        <v>27.202475209169602</v>
      </c>
      <c r="U35" s="54">
        <f t="shared" si="16"/>
        <v>70</v>
      </c>
      <c r="V35" s="53">
        <f t="shared" si="3"/>
        <v>10</v>
      </c>
      <c r="W35" s="54">
        <v>0</v>
      </c>
      <c r="X35" s="69">
        <f t="shared" si="4"/>
        <v>516.63672765597028</v>
      </c>
      <c r="Y35" s="65">
        <f t="shared" si="5"/>
        <v>207.76371302368801</v>
      </c>
      <c r="AA35" s="73">
        <v>30</v>
      </c>
      <c r="AB35" s="142">
        <f t="shared" si="6"/>
        <v>0</v>
      </c>
      <c r="AC35" s="304">
        <f t="shared" si="39"/>
        <v>0</v>
      </c>
      <c r="AD35" s="101">
        <f t="shared" si="8"/>
        <v>0</v>
      </c>
      <c r="AE35" s="101">
        <f t="shared" si="9"/>
        <v>0</v>
      </c>
      <c r="AF35" s="199">
        <f t="shared" si="34"/>
        <v>0</v>
      </c>
      <c r="AG35" s="194">
        <f t="shared" si="35"/>
        <v>29.70276949442971</v>
      </c>
      <c r="AH35" s="200">
        <f t="shared" si="36"/>
        <v>2.8475569153979201</v>
      </c>
      <c r="AI35" s="201">
        <f t="shared" si="37"/>
        <v>32.550326409827633</v>
      </c>
      <c r="AK35" s="73">
        <v>30</v>
      </c>
      <c r="AL35" s="142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4">
        <f t="shared" si="32"/>
        <v>0</v>
      </c>
      <c r="AR35" s="194">
        <f t="shared" si="32"/>
        <v>0</v>
      </c>
      <c r="AS35" s="194">
        <f t="shared" si="32"/>
        <v>0</v>
      </c>
      <c r="AT35" s="194">
        <f t="shared" si="32"/>
        <v>0</v>
      </c>
      <c r="AU35" s="53"/>
      <c r="AV35" s="53"/>
      <c r="AW35" s="53"/>
      <c r="AX35" s="53"/>
      <c r="AY35" s="164">
        <f t="shared" si="24"/>
        <v>39.559999999999995</v>
      </c>
    </row>
    <row r="36" spans="2:51">
      <c r="B36" s="40">
        <f t="shared" si="31"/>
        <v>35</v>
      </c>
      <c r="C36" s="151">
        <f t="shared" si="38"/>
        <v>36</v>
      </c>
      <c r="D36" s="136">
        <v>179</v>
      </c>
      <c r="E36" s="140">
        <f t="shared" si="29"/>
        <v>1.3</v>
      </c>
      <c r="F36" s="42">
        <f t="shared" si="30"/>
        <v>232.70000000000002</v>
      </c>
      <c r="G36" s="51">
        <f t="shared" si="33"/>
        <v>-45.499999999999972</v>
      </c>
      <c r="I36" s="55">
        <v>31</v>
      </c>
      <c r="J36" s="33">
        <f t="shared" si="18"/>
        <v>6.93</v>
      </c>
      <c r="K36" s="33">
        <f t="shared" si="19"/>
        <v>2.5493176393392645</v>
      </c>
      <c r="L36" s="33">
        <f t="shared" si="20"/>
        <v>70</v>
      </c>
      <c r="M36" s="33">
        <f t="shared" si="21"/>
        <v>10</v>
      </c>
      <c r="N36" s="33">
        <f t="shared" si="0"/>
        <v>0</v>
      </c>
      <c r="O36" s="34">
        <f t="shared" si="1"/>
        <v>309.84314488851584</v>
      </c>
      <c r="P36" s="55">
        <v>31</v>
      </c>
      <c r="Q36" s="33">
        <f t="shared" si="15"/>
        <v>-45.5</v>
      </c>
      <c r="R36" s="33">
        <f t="shared" si="22"/>
        <v>195</v>
      </c>
      <c r="S36" s="33">
        <f t="shared" si="23"/>
        <v>81.899999999999991</v>
      </c>
      <c r="T36" s="33">
        <f t="shared" si="2"/>
        <v>22.601107473346342</v>
      </c>
      <c r="U36" s="33">
        <f t="shared" si="16"/>
        <v>70</v>
      </c>
      <c r="V36" s="33">
        <f t="shared" si="3"/>
        <v>10</v>
      </c>
      <c r="W36" s="33">
        <v>0</v>
      </c>
      <c r="X36" s="33">
        <f t="shared" si="4"/>
        <v>475.33942884941149</v>
      </c>
      <c r="Y36" s="38">
        <f t="shared" si="5"/>
        <v>165.49628396089565</v>
      </c>
      <c r="AA36" s="71">
        <v>31</v>
      </c>
      <c r="AB36" s="33">
        <f t="shared" si="6"/>
        <v>35</v>
      </c>
      <c r="AC36" s="304">
        <f t="shared" si="39"/>
        <v>0.1</v>
      </c>
      <c r="AD36" s="100">
        <f t="shared" si="8"/>
        <v>0.44800000000000006</v>
      </c>
      <c r="AE36" s="100">
        <f t="shared" si="9"/>
        <v>0.35200000000000004</v>
      </c>
      <c r="AF36" s="193">
        <f t="shared" si="34"/>
        <v>2.535064674344961</v>
      </c>
      <c r="AG36" s="193">
        <f t="shared" si="35"/>
        <v>40.202918251968164</v>
      </c>
      <c r="AH36" s="193">
        <f t="shared" si="36"/>
        <v>9.6297364451097458</v>
      </c>
      <c r="AI36" s="198">
        <f t="shared" si="37"/>
        <v>52.367719371422865</v>
      </c>
      <c r="AK36" s="71">
        <v>31</v>
      </c>
      <c r="AL36" s="33"/>
      <c r="AM36" s="33"/>
      <c r="AN36" s="33"/>
      <c r="AO36" s="33"/>
      <c r="AP36" s="33"/>
      <c r="AQ36" s="193"/>
      <c r="AR36" s="193"/>
      <c r="AS36" s="193"/>
      <c r="AT36" s="193"/>
      <c r="AU36" s="33"/>
      <c r="AV36" s="33"/>
      <c r="AW36" s="33"/>
      <c r="AX36" s="33"/>
      <c r="AY36" s="76"/>
    </row>
    <row r="37" spans="2:51">
      <c r="B37" s="40">
        <f t="shared" si="31"/>
        <v>36</v>
      </c>
      <c r="C37" s="151">
        <f t="shared" si="38"/>
        <v>40</v>
      </c>
      <c r="D37" s="136">
        <f>D38+33</f>
        <v>236</v>
      </c>
      <c r="E37" s="140">
        <f t="shared" si="29"/>
        <v>1.3</v>
      </c>
      <c r="F37" s="42">
        <f t="shared" si="30"/>
        <v>306.8</v>
      </c>
      <c r="G37" s="51">
        <f t="shared" si="33"/>
        <v>18.524999999999999</v>
      </c>
      <c r="I37" s="55">
        <v>32</v>
      </c>
      <c r="J37" s="33">
        <f t="shared" si="18"/>
        <v>7.35</v>
      </c>
      <c r="K37" s="33">
        <f t="shared" si="19"/>
        <v>2.6853664437437366</v>
      </c>
      <c r="L37" s="33">
        <f t="shared" si="20"/>
        <v>70</v>
      </c>
      <c r="M37" s="33">
        <f t="shared" si="21"/>
        <v>10</v>
      </c>
      <c r="N37" s="33">
        <f t="shared" si="0"/>
        <v>0</v>
      </c>
      <c r="O37" s="34">
        <f t="shared" si="1"/>
        <v>310.811596556187</v>
      </c>
      <c r="P37" s="55">
        <v>32</v>
      </c>
      <c r="Q37" s="33">
        <f t="shared" si="15"/>
        <v>20.799999999999997</v>
      </c>
      <c r="R37" s="33">
        <f t="shared" si="22"/>
        <v>215.8</v>
      </c>
      <c r="S37" s="33">
        <f t="shared" si="23"/>
        <v>90.635999999999996</v>
      </c>
      <c r="T37" s="33">
        <f t="shared" si="2"/>
        <v>24.718549958973355</v>
      </c>
      <c r="U37" s="33">
        <f t="shared" si="16"/>
        <v>70</v>
      </c>
      <c r="V37" s="33">
        <f t="shared" si="3"/>
        <v>10</v>
      </c>
      <c r="W37" s="33">
        <v>0</v>
      </c>
      <c r="X37" s="33">
        <f t="shared" si="4"/>
        <v>494.24250784521183</v>
      </c>
      <c r="Y37" s="38">
        <f t="shared" si="5"/>
        <v>183.43091128902483</v>
      </c>
      <c r="AA37" s="71">
        <v>32</v>
      </c>
      <c r="AB37" s="33">
        <f t="shared" si="6"/>
        <v>0</v>
      </c>
      <c r="AC37" s="304">
        <f t="shared" si="39"/>
        <v>0</v>
      </c>
      <c r="AD37" s="100">
        <f t="shared" si="8"/>
        <v>0</v>
      </c>
      <c r="AE37" s="100">
        <f t="shared" si="9"/>
        <v>0</v>
      </c>
      <c r="AF37" s="193">
        <f t="shared" si="34"/>
        <v>2.4853536023178293</v>
      </c>
      <c r="AG37" s="193">
        <f t="shared" si="35"/>
        <v>39.103567338188512</v>
      </c>
      <c r="AH37" s="193">
        <f t="shared" si="36"/>
        <v>6.8092519413763393</v>
      </c>
      <c r="AI37" s="198">
        <f t="shared" si="37"/>
        <v>48.39817288188268</v>
      </c>
      <c r="AK37" s="71">
        <v>32</v>
      </c>
      <c r="AL37" s="33"/>
      <c r="AM37" s="33"/>
      <c r="AN37" s="33"/>
      <c r="AO37" s="33"/>
      <c r="AP37" s="33"/>
      <c r="AQ37" s="193"/>
      <c r="AR37" s="193"/>
      <c r="AS37" s="193"/>
      <c r="AT37" s="193"/>
      <c r="AU37" s="33"/>
      <c r="AV37" s="33"/>
      <c r="AW37" s="33"/>
      <c r="AX37" s="33"/>
      <c r="AY37" s="76"/>
    </row>
    <row r="38" spans="2:51">
      <c r="B38" s="40">
        <f t="shared" si="31"/>
        <v>40</v>
      </c>
      <c r="C38" s="151">
        <f t="shared" si="38"/>
        <v>41</v>
      </c>
      <c r="D38" s="136">
        <v>203</v>
      </c>
      <c r="E38" s="140">
        <f t="shared" si="29"/>
        <v>1.3</v>
      </c>
      <c r="F38" s="42">
        <f t="shared" si="30"/>
        <v>263.90000000000003</v>
      </c>
      <c r="G38" s="51">
        <f t="shared" si="33"/>
        <v>-42.899999999999977</v>
      </c>
      <c r="I38" s="55">
        <v>33</v>
      </c>
      <c r="J38" s="33">
        <f t="shared" si="18"/>
        <v>7.77</v>
      </c>
      <c r="K38" s="33">
        <f t="shared" si="19"/>
        <v>2.8205128136956583</v>
      </c>
      <c r="L38" s="33">
        <f t="shared" si="20"/>
        <v>70</v>
      </c>
      <c r="M38" s="33">
        <f t="shared" si="21"/>
        <v>10</v>
      </c>
      <c r="N38" s="33">
        <f t="shared" si="0"/>
        <v>0</v>
      </c>
      <c r="O38" s="34">
        <f t="shared" si="1"/>
        <v>311.7784764838533</v>
      </c>
      <c r="P38" s="55">
        <v>33</v>
      </c>
      <c r="Q38" s="33">
        <f t="shared" si="15"/>
        <v>20.799999999999997</v>
      </c>
      <c r="R38" s="33">
        <f t="shared" si="22"/>
        <v>236.60000000000002</v>
      </c>
      <c r="S38" s="33">
        <f t="shared" si="23"/>
        <v>99.372</v>
      </c>
      <c r="T38" s="33">
        <f t="shared" si="2"/>
        <v>26.812330397327713</v>
      </c>
      <c r="U38" s="33">
        <f t="shared" si="16"/>
        <v>70</v>
      </c>
      <c r="V38" s="33">
        <f t="shared" si="3"/>
        <v>10</v>
      </c>
      <c r="W38" s="33">
        <v>0</v>
      </c>
      <c r="X38" s="33">
        <f t="shared" si="4"/>
        <v>513.10437544201238</v>
      </c>
      <c r="Y38" s="38">
        <f t="shared" si="5"/>
        <v>201.32589895815909</v>
      </c>
      <c r="AA38" s="71">
        <v>33</v>
      </c>
      <c r="AB38" s="33">
        <f t="shared" si="6"/>
        <v>0</v>
      </c>
      <c r="AC38" s="304">
        <f t="shared" si="39"/>
        <v>0</v>
      </c>
      <c r="AD38" s="100">
        <f t="shared" si="8"/>
        <v>0</v>
      </c>
      <c r="AE38" s="100">
        <f t="shared" si="9"/>
        <v>0</v>
      </c>
      <c r="AF38" s="193">
        <f t="shared" si="34"/>
        <v>2.4366173340923898</v>
      </c>
      <c r="AG38" s="193">
        <f t="shared" si="35"/>
        <v>38.034278232958513</v>
      </c>
      <c r="AH38" s="193">
        <f t="shared" si="36"/>
        <v>4.8148682225548738</v>
      </c>
      <c r="AI38" s="198">
        <f t="shared" si="37"/>
        <v>45.285763789605774</v>
      </c>
      <c r="AK38" s="71">
        <v>33</v>
      </c>
      <c r="AL38" s="33"/>
      <c r="AM38" s="33"/>
      <c r="AN38" s="33"/>
      <c r="AO38" s="33"/>
      <c r="AP38" s="33"/>
      <c r="AQ38" s="193"/>
      <c r="AR38" s="193"/>
      <c r="AS38" s="193"/>
      <c r="AT38" s="193"/>
      <c r="AU38" s="33"/>
      <c r="AV38" s="33"/>
      <c r="AW38" s="33"/>
      <c r="AX38" s="33"/>
      <c r="AY38" s="76"/>
    </row>
    <row r="39" spans="2:51">
      <c r="B39" s="40">
        <f t="shared" si="31"/>
        <v>41</v>
      </c>
      <c r="C39" s="151">
        <f t="shared" si="38"/>
        <v>45</v>
      </c>
      <c r="D39" s="136">
        <f>D40+29</f>
        <v>255</v>
      </c>
      <c r="E39" s="140">
        <f t="shared" si="29"/>
        <v>1.3</v>
      </c>
      <c r="F39" s="42">
        <f t="shared" si="30"/>
        <v>331.5</v>
      </c>
      <c r="G39" s="51">
        <f t="shared" si="33"/>
        <v>16.899999999999991</v>
      </c>
      <c r="I39" s="55">
        <v>34</v>
      </c>
      <c r="J39" s="33">
        <f t="shared" si="18"/>
        <v>8.19</v>
      </c>
      <c r="K39" s="33">
        <f t="shared" si="19"/>
        <v>2.9548110908066181</v>
      </c>
      <c r="L39" s="33">
        <f t="shared" si="20"/>
        <v>70</v>
      </c>
      <c r="M39" s="33">
        <f t="shared" si="21"/>
        <v>10</v>
      </c>
      <c r="N39" s="33">
        <f t="shared" si="0"/>
        <v>0</v>
      </c>
      <c r="O39" s="34">
        <f t="shared" si="1"/>
        <v>312.74387931648818</v>
      </c>
      <c r="P39" s="55">
        <v>34</v>
      </c>
      <c r="Q39" s="33">
        <f t="shared" si="15"/>
        <v>20.799999999999997</v>
      </c>
      <c r="R39" s="33">
        <f t="shared" si="22"/>
        <v>257.40000000000003</v>
      </c>
      <c r="S39" s="33">
        <f t="shared" si="23"/>
        <v>108.108</v>
      </c>
      <c r="T39" s="33">
        <f t="shared" si="2"/>
        <v>28.884765499467161</v>
      </c>
      <c r="U39" s="33">
        <f t="shared" si="16"/>
        <v>70</v>
      </c>
      <c r="V39" s="33">
        <f t="shared" si="3"/>
        <v>10</v>
      </c>
      <c r="W39" s="33">
        <v>0</v>
      </c>
      <c r="X39" s="33">
        <f t="shared" si="4"/>
        <v>531.92906657823869</v>
      </c>
      <c r="Y39" s="38">
        <f t="shared" si="5"/>
        <v>219.18518726175051</v>
      </c>
      <c r="AA39" s="71">
        <v>34</v>
      </c>
      <c r="AB39" s="33">
        <f t="shared" si="6"/>
        <v>0</v>
      </c>
      <c r="AC39" s="304">
        <f t="shared" si="39"/>
        <v>0</v>
      </c>
      <c r="AD39" s="100">
        <f t="shared" si="8"/>
        <v>0</v>
      </c>
      <c r="AE39" s="100">
        <f t="shared" si="9"/>
        <v>0</v>
      </c>
      <c r="AF39" s="193">
        <f t="shared" si="34"/>
        <v>2.3888367543606628</v>
      </c>
      <c r="AG39" s="193">
        <f t="shared" si="35"/>
        <v>36.994228894542502</v>
      </c>
      <c r="AH39" s="193">
        <f t="shared" si="36"/>
        <v>3.4046259706881705</v>
      </c>
      <c r="AI39" s="198">
        <f t="shared" si="37"/>
        <v>42.787691619591335</v>
      </c>
      <c r="AK39" s="71">
        <v>34</v>
      </c>
      <c r="AL39" s="33"/>
      <c r="AM39" s="33"/>
      <c r="AN39" s="33"/>
      <c r="AO39" s="33"/>
      <c r="AP39" s="33"/>
      <c r="AQ39" s="193"/>
      <c r="AR39" s="193"/>
      <c r="AS39" s="193"/>
      <c r="AT39" s="193"/>
      <c r="AU39" s="33"/>
      <c r="AV39" s="33"/>
      <c r="AW39" s="33"/>
      <c r="AX39" s="33"/>
      <c r="AY39" s="76"/>
    </row>
    <row r="40" spans="2:51">
      <c r="B40" s="40">
        <f t="shared" si="31"/>
        <v>45</v>
      </c>
      <c r="C40" s="151">
        <f t="shared" si="38"/>
        <v>46</v>
      </c>
      <c r="D40" s="136">
        <v>226</v>
      </c>
      <c r="E40" s="140">
        <f t="shared" si="29"/>
        <v>1.3</v>
      </c>
      <c r="F40" s="42">
        <f t="shared" si="30"/>
        <v>293.8</v>
      </c>
      <c r="G40" s="51">
        <f t="shared" si="33"/>
        <v>-37.699999999999989</v>
      </c>
      <c r="I40" s="55">
        <v>35</v>
      </c>
      <c r="J40" s="33">
        <f t="shared" si="18"/>
        <v>8.61</v>
      </c>
      <c r="K40" s="33">
        <f t="shared" si="19"/>
        <v>3.0883097283778902</v>
      </c>
      <c r="L40" s="33">
        <f t="shared" si="20"/>
        <v>70</v>
      </c>
      <c r="M40" s="33">
        <f t="shared" si="21"/>
        <v>10</v>
      </c>
      <c r="N40" s="33">
        <f t="shared" si="0"/>
        <v>0</v>
      </c>
      <c r="O40" s="34">
        <f t="shared" si="1"/>
        <v>313.70788944359145</v>
      </c>
      <c r="P40" s="55">
        <v>35</v>
      </c>
      <c r="Q40" s="33">
        <f t="shared" si="15"/>
        <v>20.799999999999997</v>
      </c>
      <c r="R40" s="33">
        <f t="shared" si="22"/>
        <v>278.20000000000005</v>
      </c>
      <c r="S40" s="33">
        <f t="shared" si="23"/>
        <v>116.84400000000001</v>
      </c>
      <c r="T40" s="33">
        <f t="shared" si="2"/>
        <v>30.93777624229395</v>
      </c>
      <c r="U40" s="33">
        <f t="shared" si="16"/>
        <v>70</v>
      </c>
      <c r="V40" s="33">
        <f t="shared" si="3"/>
        <v>10</v>
      </c>
      <c r="W40" s="33">
        <v>0</v>
      </c>
      <c r="X40" s="33">
        <f t="shared" si="4"/>
        <v>550.71992695532879</v>
      </c>
      <c r="Y40" s="38">
        <f t="shared" si="5"/>
        <v>237.01203751173733</v>
      </c>
      <c r="AA40" s="71">
        <v>35</v>
      </c>
      <c r="AB40" s="33">
        <f t="shared" si="6"/>
        <v>0</v>
      </c>
      <c r="AC40" s="304">
        <f t="shared" si="39"/>
        <v>0</v>
      </c>
      <c r="AD40" s="100">
        <f t="shared" si="8"/>
        <v>0</v>
      </c>
      <c r="AE40" s="100">
        <f t="shared" si="9"/>
        <v>0</v>
      </c>
      <c r="AF40" s="193">
        <f t="shared" si="34"/>
        <v>2.3419931226541988</v>
      </c>
      <c r="AG40" s="193">
        <f t="shared" si="35"/>
        <v>35.982619759979293</v>
      </c>
      <c r="AH40" s="193">
        <f t="shared" si="36"/>
        <v>2.4074341112774373</v>
      </c>
      <c r="AI40" s="198">
        <f t="shared" si="37"/>
        <v>40.732046993910934</v>
      </c>
      <c r="AK40" s="71">
        <v>35</v>
      </c>
      <c r="AL40" s="33"/>
      <c r="AM40" s="33"/>
      <c r="AN40" s="33"/>
      <c r="AO40" s="33"/>
      <c r="AP40" s="33"/>
      <c r="AQ40" s="193"/>
      <c r="AR40" s="193"/>
      <c r="AS40" s="193"/>
      <c r="AT40" s="193"/>
      <c r="AU40" s="33"/>
      <c r="AV40" s="33"/>
      <c r="AW40" s="33"/>
      <c r="AX40" s="33"/>
      <c r="AY40" s="76"/>
    </row>
    <row r="41" spans="2:51">
      <c r="B41" s="40">
        <f t="shared" si="31"/>
        <v>46</v>
      </c>
      <c r="C41" s="151">
        <f t="shared" si="38"/>
        <v>50</v>
      </c>
      <c r="D41" s="136">
        <f>D42+26</f>
        <v>273</v>
      </c>
      <c r="E41" s="140">
        <f t="shared" si="29"/>
        <v>1.3</v>
      </c>
      <c r="F41" s="42">
        <f t="shared" si="30"/>
        <v>354.90000000000003</v>
      </c>
      <c r="G41" s="51">
        <f t="shared" si="33"/>
        <v>15.275000000000006</v>
      </c>
      <c r="I41" s="55">
        <v>36</v>
      </c>
      <c r="J41" s="33">
        <f t="shared" si="18"/>
        <v>9.0299999999999994</v>
      </c>
      <c r="K41" s="33">
        <f t="shared" si="19"/>
        <v>3.2210521854900231</v>
      </c>
      <c r="L41" s="33">
        <f t="shared" si="20"/>
        <v>70</v>
      </c>
      <c r="M41" s="33">
        <f t="shared" si="21"/>
        <v>10</v>
      </c>
      <c r="N41" s="33">
        <f t="shared" si="0"/>
        <v>0</v>
      </c>
      <c r="O41" s="34">
        <f t="shared" si="1"/>
        <v>314.67058255639512</v>
      </c>
      <c r="P41" s="55">
        <v>36</v>
      </c>
      <c r="Q41" s="33">
        <f t="shared" si="15"/>
        <v>-45.499999999999972</v>
      </c>
      <c r="R41" s="33">
        <f t="shared" si="22"/>
        <v>232.70000000000007</v>
      </c>
      <c r="S41" s="33">
        <f t="shared" si="23"/>
        <v>97.734000000000023</v>
      </c>
      <c r="T41" s="33">
        <f t="shared" si="2"/>
        <v>26.421436267392696</v>
      </c>
      <c r="U41" s="33">
        <f t="shared" si="16"/>
        <v>70</v>
      </c>
      <c r="V41" s="33">
        <f t="shared" si="3"/>
        <v>10</v>
      </c>
      <c r="W41" s="33">
        <v>0</v>
      </c>
      <c r="X41" s="33">
        <f t="shared" si="4"/>
        <v>509.57071816570897</v>
      </c>
      <c r="Y41" s="38">
        <f t="shared" si="5"/>
        <v>194.90013560931385</v>
      </c>
      <c r="AA41" s="71">
        <v>36</v>
      </c>
      <c r="AB41" s="33">
        <f t="shared" si="6"/>
        <v>35</v>
      </c>
      <c r="AC41" s="304">
        <f t="shared" si="39"/>
        <v>0.15</v>
      </c>
      <c r="AD41" s="100">
        <f t="shared" si="8"/>
        <v>0.39200000000000002</v>
      </c>
      <c r="AE41" s="100">
        <f t="shared" si="9"/>
        <v>0.308</v>
      </c>
      <c r="AF41" s="193">
        <f t="shared" si="34"/>
        <v>6.0986650775111464</v>
      </c>
      <c r="AG41" s="193">
        <f t="shared" si="35"/>
        <v>44.896999112842778</v>
      </c>
      <c r="AH41" s="193">
        <f t="shared" si="36"/>
        <v>8.3664964207091597</v>
      </c>
      <c r="AI41" s="198">
        <f t="shared" si="37"/>
        <v>59.362160611063082</v>
      </c>
      <c r="AK41" s="71">
        <v>36</v>
      </c>
      <c r="AL41" s="33"/>
      <c r="AM41" s="33"/>
      <c r="AN41" s="33"/>
      <c r="AO41" s="33"/>
      <c r="AP41" s="33"/>
      <c r="AQ41" s="193"/>
      <c r="AR41" s="193"/>
      <c r="AS41" s="193"/>
      <c r="AT41" s="193"/>
      <c r="AU41" s="33"/>
      <c r="AV41" s="33"/>
      <c r="AW41" s="33"/>
      <c r="AX41" s="33"/>
      <c r="AY41" s="76"/>
    </row>
    <row r="42" spans="2:51">
      <c r="B42" s="40">
        <f t="shared" si="31"/>
        <v>50</v>
      </c>
      <c r="C42" s="151">
        <f t="shared" si="38"/>
        <v>51</v>
      </c>
      <c r="D42" s="136">
        <v>247</v>
      </c>
      <c r="E42" s="140">
        <f t="shared" si="29"/>
        <v>1.3</v>
      </c>
      <c r="F42" s="42">
        <f t="shared" si="30"/>
        <v>321.10000000000002</v>
      </c>
      <c r="G42" s="51">
        <f t="shared" si="33"/>
        <v>-33.800000000000011</v>
      </c>
      <c r="I42" s="55">
        <v>37</v>
      </c>
      <c r="J42" s="33">
        <f t="shared" si="18"/>
        <v>9.4499999999999993</v>
      </c>
      <c r="K42" s="33">
        <f t="shared" si="19"/>
        <v>3.3530776500429536</v>
      </c>
      <c r="L42" s="33">
        <f t="shared" si="20"/>
        <v>70</v>
      </c>
      <c r="M42" s="33">
        <f t="shared" si="21"/>
        <v>10</v>
      </c>
      <c r="N42" s="33">
        <f t="shared" si="0"/>
        <v>0</v>
      </c>
      <c r="O42" s="34">
        <f t="shared" si="1"/>
        <v>315.63202690715815</v>
      </c>
      <c r="P42" s="55">
        <v>37</v>
      </c>
      <c r="Q42" s="33">
        <f t="shared" si="15"/>
        <v>18.524999999999999</v>
      </c>
      <c r="R42" s="33">
        <f t="shared" si="22"/>
        <v>251.22500000000008</v>
      </c>
      <c r="S42" s="33">
        <f t="shared" si="23"/>
        <v>105.51450000000003</v>
      </c>
      <c r="T42" s="33">
        <f t="shared" si="2"/>
        <v>28.271618803519516</v>
      </c>
      <c r="U42" s="33">
        <f t="shared" si="16"/>
        <v>70</v>
      </c>
      <c r="V42" s="33">
        <f t="shared" si="3"/>
        <v>10</v>
      </c>
      <c r="W42" s="33">
        <v>0</v>
      </c>
      <c r="X42" s="33">
        <f t="shared" si="4"/>
        <v>526.3441569161298</v>
      </c>
      <c r="Y42" s="38">
        <f t="shared" si="5"/>
        <v>210.71213000897166</v>
      </c>
      <c r="AA42" s="71">
        <v>37</v>
      </c>
      <c r="AB42" s="33">
        <f t="shared" si="6"/>
        <v>0</v>
      </c>
      <c r="AC42" s="304">
        <f t="shared" si="39"/>
        <v>0</v>
      </c>
      <c r="AD42" s="100">
        <f t="shared" si="8"/>
        <v>0</v>
      </c>
      <c r="AE42" s="100">
        <f t="shared" si="9"/>
        <v>0</v>
      </c>
      <c r="AF42" s="193">
        <f t="shared" si="34"/>
        <v>5.9790739751595483</v>
      </c>
      <c r="AG42" s="193">
        <f t="shared" si="35"/>
        <v>43.669288311071526</v>
      </c>
      <c r="AH42" s="193">
        <f t="shared" si="36"/>
        <v>5.9160063538564254</v>
      </c>
      <c r="AI42" s="198">
        <f t="shared" si="37"/>
        <v>55.564368640087501</v>
      </c>
      <c r="AK42" s="71">
        <v>37</v>
      </c>
      <c r="AL42" s="33"/>
      <c r="AM42" s="33"/>
      <c r="AN42" s="33"/>
      <c r="AO42" s="33"/>
      <c r="AP42" s="33"/>
      <c r="AQ42" s="193"/>
      <c r="AR42" s="193"/>
      <c r="AS42" s="193"/>
      <c r="AT42" s="193"/>
      <c r="AU42" s="33"/>
      <c r="AV42" s="33"/>
      <c r="AW42" s="33"/>
      <c r="AX42" s="33"/>
      <c r="AY42" s="76"/>
    </row>
    <row r="43" spans="2:51">
      <c r="B43" s="40">
        <f t="shared" si="31"/>
        <v>51</v>
      </c>
      <c r="C43" s="151">
        <f t="shared" si="38"/>
        <v>55</v>
      </c>
      <c r="D43" s="136">
        <f>D44+24</f>
        <v>290</v>
      </c>
      <c r="E43" s="140">
        <f t="shared" si="29"/>
        <v>1.3</v>
      </c>
      <c r="F43" s="42">
        <f t="shared" si="30"/>
        <v>377</v>
      </c>
      <c r="G43" s="51">
        <f t="shared" si="33"/>
        <v>13.974999999999994</v>
      </c>
      <c r="I43" s="55">
        <v>38</v>
      </c>
      <c r="J43" s="33">
        <f t="shared" si="18"/>
        <v>9.8699999999999992</v>
      </c>
      <c r="K43" s="33">
        <f t="shared" si="19"/>
        <v>3.4844216296255963</v>
      </c>
      <c r="L43" s="33">
        <f t="shared" si="20"/>
        <v>70</v>
      </c>
      <c r="M43" s="33">
        <f t="shared" si="21"/>
        <v>10</v>
      </c>
      <c r="N43" s="33">
        <f t="shared" si="0"/>
        <v>0</v>
      </c>
      <c r="O43" s="34">
        <f t="shared" si="1"/>
        <v>316.59228433826456</v>
      </c>
      <c r="P43" s="55">
        <v>38</v>
      </c>
      <c r="Q43" s="33">
        <f t="shared" si="15"/>
        <v>18.524999999999999</v>
      </c>
      <c r="R43" s="33">
        <f t="shared" si="22"/>
        <v>269.75000000000006</v>
      </c>
      <c r="S43" s="33">
        <f t="shared" si="23"/>
        <v>113.29500000000002</v>
      </c>
      <c r="T43" s="33">
        <f t="shared" si="2"/>
        <v>30.105973710077848</v>
      </c>
      <c r="U43" s="33">
        <f t="shared" si="16"/>
        <v>70</v>
      </c>
      <c r="V43" s="33">
        <f t="shared" si="3"/>
        <v>10</v>
      </c>
      <c r="W43" s="33">
        <v>0</v>
      </c>
      <c r="X43" s="33">
        <f t="shared" si="4"/>
        <v>543.09002921171884</v>
      </c>
      <c r="Y43" s="38">
        <f t="shared" si="5"/>
        <v>226.49774487345428</v>
      </c>
      <c r="AA43" s="71">
        <v>38</v>
      </c>
      <c r="AB43" s="33">
        <f t="shared" si="6"/>
        <v>0</v>
      </c>
      <c r="AC43" s="304">
        <f t="shared" si="39"/>
        <v>0</v>
      </c>
      <c r="AD43" s="100">
        <f t="shared" si="8"/>
        <v>0</v>
      </c>
      <c r="AE43" s="100">
        <f t="shared" si="9"/>
        <v>0</v>
      </c>
      <c r="AF43" s="193">
        <f t="shared" si="34"/>
        <v>5.8618279813816958</v>
      </c>
      <c r="AG43" s="193">
        <f t="shared" si="35"/>
        <v>42.475149325737213</v>
      </c>
      <c r="AH43" s="193">
        <f t="shared" si="36"/>
        <v>4.1832482103545807</v>
      </c>
      <c r="AI43" s="198">
        <f t="shared" si="37"/>
        <v>52.520225517473492</v>
      </c>
      <c r="AK43" s="71">
        <v>38</v>
      </c>
      <c r="AL43" s="33"/>
      <c r="AM43" s="33"/>
      <c r="AN43" s="33"/>
      <c r="AO43" s="33"/>
      <c r="AP43" s="33"/>
      <c r="AQ43" s="193"/>
      <c r="AR43" s="193"/>
      <c r="AS43" s="193"/>
      <c r="AT43" s="193"/>
      <c r="AU43" s="33"/>
      <c r="AV43" s="33"/>
      <c r="AW43" s="33"/>
      <c r="AX43" s="33"/>
      <c r="AY43" s="76"/>
    </row>
    <row r="44" spans="2:51">
      <c r="B44" s="40">
        <f t="shared" si="31"/>
        <v>55</v>
      </c>
      <c r="C44" s="151">
        <f t="shared" si="38"/>
        <v>56</v>
      </c>
      <c r="D44" s="136">
        <v>266</v>
      </c>
      <c r="E44" s="140">
        <f t="shared" si="29"/>
        <v>1.3</v>
      </c>
      <c r="F44" s="42">
        <f t="shared" si="30"/>
        <v>345.8</v>
      </c>
      <c r="G44" s="51">
        <f t="shared" si="33"/>
        <v>-31.199999999999989</v>
      </c>
      <c r="I44" s="55">
        <v>39</v>
      </c>
      <c r="J44" s="33">
        <f t="shared" si="18"/>
        <v>10.29</v>
      </c>
      <c r="K44" s="33">
        <f t="shared" si="19"/>
        <v>3.615116438976083</v>
      </c>
      <c r="L44" s="33">
        <f t="shared" si="20"/>
        <v>70</v>
      </c>
      <c r="M44" s="33">
        <f t="shared" si="21"/>
        <v>10</v>
      </c>
      <c r="N44" s="33">
        <f t="shared" si="0"/>
        <v>0</v>
      </c>
      <c r="O44" s="34">
        <f t="shared" si="1"/>
        <v>317.5514111312167</v>
      </c>
      <c r="P44" s="55">
        <v>39</v>
      </c>
      <c r="Q44" s="33">
        <f t="shared" si="15"/>
        <v>18.524999999999999</v>
      </c>
      <c r="R44" s="33">
        <f t="shared" si="22"/>
        <v>288.27500000000003</v>
      </c>
      <c r="S44" s="33">
        <f t="shared" si="23"/>
        <v>121.07550000000001</v>
      </c>
      <c r="T44" s="33">
        <f t="shared" si="2"/>
        <v>31.925711597797719</v>
      </c>
      <c r="U44" s="33">
        <f t="shared" si="16"/>
        <v>70</v>
      </c>
      <c r="V44" s="33">
        <f t="shared" si="3"/>
        <v>10</v>
      </c>
      <c r="W44" s="33">
        <v>0</v>
      </c>
      <c r="X44" s="33">
        <f t="shared" si="4"/>
        <v>559.81044353283096</v>
      </c>
      <c r="Y44" s="38">
        <f t="shared" si="5"/>
        <v>242.25903240161426</v>
      </c>
      <c r="AA44" s="71">
        <v>39</v>
      </c>
      <c r="AB44" s="33">
        <f t="shared" si="6"/>
        <v>0</v>
      </c>
      <c r="AC44" s="304">
        <f t="shared" si="39"/>
        <v>0</v>
      </c>
      <c r="AD44" s="100">
        <f t="shared" si="8"/>
        <v>0</v>
      </c>
      <c r="AE44" s="100">
        <f t="shared" si="9"/>
        <v>0</v>
      </c>
      <c r="AF44" s="193">
        <f t="shared" si="34"/>
        <v>5.7468811100288315</v>
      </c>
      <c r="AG44" s="193">
        <f t="shared" si="35"/>
        <v>41.313664133753903</v>
      </c>
      <c r="AH44" s="193">
        <f t="shared" si="36"/>
        <v>2.9580031769282131</v>
      </c>
      <c r="AI44" s="198">
        <f t="shared" si="37"/>
        <v>50.01854842071095</v>
      </c>
      <c r="AK44" s="71">
        <v>39</v>
      </c>
      <c r="AL44" s="33"/>
      <c r="AM44" s="33"/>
      <c r="AN44" s="33"/>
      <c r="AO44" s="33"/>
      <c r="AP44" s="33"/>
      <c r="AQ44" s="193"/>
      <c r="AR44" s="193"/>
      <c r="AS44" s="193"/>
      <c r="AT44" s="193"/>
      <c r="AU44" s="33"/>
      <c r="AV44" s="33"/>
      <c r="AW44" s="33"/>
      <c r="AX44" s="33"/>
      <c r="AY44" s="76"/>
    </row>
    <row r="45" spans="2:51">
      <c r="B45" s="40">
        <f t="shared" si="31"/>
        <v>56</v>
      </c>
      <c r="C45" s="151">
        <f t="shared" si="38"/>
        <v>60</v>
      </c>
      <c r="D45" s="136">
        <f>D46+22</f>
        <v>305</v>
      </c>
      <c r="E45" s="140">
        <f t="shared" si="29"/>
        <v>1.3</v>
      </c>
      <c r="F45" s="42">
        <f t="shared" si="30"/>
        <v>396.5</v>
      </c>
      <c r="G45" s="51">
        <f t="shared" si="33"/>
        <v>12.674999999999997</v>
      </c>
      <c r="I45" s="55">
        <v>40</v>
      </c>
      <c r="J45" s="33">
        <f t="shared" si="18"/>
        <v>10.709999999999999</v>
      </c>
      <c r="K45" s="33">
        <f t="shared" si="19"/>
        <v>3.7451916056153398</v>
      </c>
      <c r="L45" s="33">
        <f t="shared" si="20"/>
        <v>70</v>
      </c>
      <c r="M45" s="33">
        <f t="shared" si="21"/>
        <v>10</v>
      </c>
      <c r="N45" s="33">
        <f t="shared" si="0"/>
        <v>0</v>
      </c>
      <c r="O45" s="34">
        <f t="shared" si="1"/>
        <v>318.50945871311336</v>
      </c>
      <c r="P45" s="55">
        <v>40</v>
      </c>
      <c r="Q45" s="33">
        <f t="shared" si="15"/>
        <v>18.524999999999999</v>
      </c>
      <c r="R45" s="33">
        <f t="shared" si="22"/>
        <v>306.8</v>
      </c>
      <c r="S45" s="33">
        <f t="shared" si="23"/>
        <v>128.85599999999999</v>
      </c>
      <c r="T45" s="33">
        <f t="shared" si="2"/>
        <v>33.731878688740906</v>
      </c>
      <c r="U45" s="33">
        <f t="shared" si="16"/>
        <v>70</v>
      </c>
      <c r="V45" s="33">
        <f t="shared" si="3"/>
        <v>10</v>
      </c>
      <c r="W45" s="33">
        <v>0</v>
      </c>
      <c r="X45" s="33">
        <f t="shared" si="4"/>
        <v>576.50722204955707</v>
      </c>
      <c r="Y45" s="38">
        <f t="shared" si="5"/>
        <v>257.99776333644371</v>
      </c>
      <c r="AA45" s="71">
        <v>40</v>
      </c>
      <c r="AB45" s="33">
        <f t="shared" si="6"/>
        <v>0</v>
      </c>
      <c r="AC45" s="304">
        <f t="shared" si="39"/>
        <v>0</v>
      </c>
      <c r="AD45" s="100">
        <f t="shared" si="8"/>
        <v>0</v>
      </c>
      <c r="AE45" s="100">
        <f t="shared" si="9"/>
        <v>0</v>
      </c>
      <c r="AF45" s="193">
        <f t="shared" si="34"/>
        <v>5.6341882767125284</v>
      </c>
      <c r="AG45" s="193">
        <f t="shared" si="35"/>
        <v>40.183939815425227</v>
      </c>
      <c r="AH45" s="193">
        <f t="shared" si="36"/>
        <v>2.0916241051772904</v>
      </c>
      <c r="AI45" s="198">
        <f t="shared" si="37"/>
        <v>47.909752197315044</v>
      </c>
      <c r="AK45" s="71">
        <v>40</v>
      </c>
      <c r="AL45" s="33"/>
      <c r="AM45" s="33"/>
      <c r="AN45" s="33"/>
      <c r="AO45" s="33"/>
      <c r="AP45" s="33"/>
      <c r="AQ45" s="193"/>
      <c r="AR45" s="193"/>
      <c r="AS45" s="193"/>
      <c r="AT45" s="193"/>
      <c r="AU45" s="33"/>
      <c r="AV45" s="33"/>
      <c r="AW45" s="33"/>
      <c r="AX45" s="33"/>
      <c r="AY45" s="76"/>
    </row>
    <row r="46" spans="2:51">
      <c r="B46" s="40">
        <f t="shared" si="31"/>
        <v>60</v>
      </c>
      <c r="C46" s="151">
        <f t="shared" si="38"/>
        <v>61</v>
      </c>
      <c r="D46" s="136">
        <v>283</v>
      </c>
      <c r="E46" s="140">
        <f t="shared" si="29"/>
        <v>1.3</v>
      </c>
      <c r="F46" s="42">
        <f t="shared" si="30"/>
        <v>367.90000000000003</v>
      </c>
      <c r="G46" s="51">
        <f t="shared" si="33"/>
        <v>-28.599999999999966</v>
      </c>
      <c r="I46" s="55">
        <v>41</v>
      </c>
      <c r="J46" s="33">
        <f t="shared" si="18"/>
        <v>11.129999999999999</v>
      </c>
      <c r="K46" s="33">
        <f t="shared" si="19"/>
        <v>3.8746742100615323</v>
      </c>
      <c r="L46" s="33">
        <f t="shared" si="20"/>
        <v>70</v>
      </c>
      <c r="M46" s="33">
        <f t="shared" si="21"/>
        <v>10</v>
      </c>
      <c r="N46" s="33">
        <f t="shared" si="0"/>
        <v>0</v>
      </c>
      <c r="O46" s="34">
        <f t="shared" si="1"/>
        <v>319.46647424919053</v>
      </c>
      <c r="P46" s="55">
        <v>41</v>
      </c>
      <c r="Q46" s="33">
        <f t="shared" si="15"/>
        <v>-42.899999999999977</v>
      </c>
      <c r="R46" s="33">
        <f t="shared" si="22"/>
        <v>263.90000000000003</v>
      </c>
      <c r="S46" s="33">
        <f t="shared" si="23"/>
        <v>110.83800000000001</v>
      </c>
      <c r="T46" s="33">
        <f t="shared" si="2"/>
        <v>29.528336615603067</v>
      </c>
      <c r="U46" s="33">
        <f t="shared" si="16"/>
        <v>70</v>
      </c>
      <c r="V46" s="33">
        <f t="shared" si="3"/>
        <v>10</v>
      </c>
      <c r="W46" s="33">
        <v>0</v>
      </c>
      <c r="X46" s="33">
        <f t="shared" si="4"/>
        <v>537.80470293884196</v>
      </c>
      <c r="Y46" s="38">
        <f t="shared" si="5"/>
        <v>218.33822868965143</v>
      </c>
      <c r="AA46" s="71">
        <v>41</v>
      </c>
      <c r="AB46" s="33">
        <f t="shared" si="6"/>
        <v>33</v>
      </c>
      <c r="AC46" s="304">
        <f t="shared" si="39"/>
        <v>0.2</v>
      </c>
      <c r="AD46" s="100">
        <f t="shared" si="8"/>
        <v>0.33600000000000002</v>
      </c>
      <c r="AE46" s="100">
        <f t="shared" si="9"/>
        <v>0.26400000000000001</v>
      </c>
      <c r="AF46" s="193">
        <f t="shared" si="34"/>
        <v>10.304112952743644</v>
      </c>
      <c r="AG46" s="193">
        <f t="shared" si="35"/>
        <v>47.084571315027127</v>
      </c>
      <c r="AH46" s="193">
        <f t="shared" si="36"/>
        <v>6.8647498341877178</v>
      </c>
      <c r="AI46" s="198">
        <f t="shared" si="37"/>
        <v>64.25343410195849</v>
      </c>
      <c r="AK46" s="71">
        <v>41</v>
      </c>
      <c r="AL46" s="33"/>
      <c r="AM46" s="33"/>
      <c r="AN46" s="33"/>
      <c r="AO46" s="33"/>
      <c r="AP46" s="33"/>
      <c r="AQ46" s="193"/>
      <c r="AR46" s="193"/>
      <c r="AS46" s="193"/>
      <c r="AT46" s="193"/>
      <c r="AU46" s="33"/>
      <c r="AV46" s="33"/>
      <c r="AW46" s="33"/>
      <c r="AX46" s="33"/>
      <c r="AY46" s="76"/>
    </row>
    <row r="47" spans="2:51">
      <c r="B47" s="40">
        <f t="shared" si="31"/>
        <v>61</v>
      </c>
      <c r="C47" s="151">
        <f t="shared" si="38"/>
        <v>65</v>
      </c>
      <c r="D47" s="136">
        <f>D48+21</f>
        <v>319</v>
      </c>
      <c r="E47" s="140">
        <f t="shared" si="29"/>
        <v>1.3</v>
      </c>
      <c r="F47" s="42">
        <f t="shared" si="30"/>
        <v>414.7</v>
      </c>
      <c r="G47" s="51">
        <f t="shared" si="33"/>
        <v>11.699999999999989</v>
      </c>
      <c r="I47" s="55">
        <v>42</v>
      </c>
      <c r="J47" s="33">
        <f t="shared" si="18"/>
        <v>11.549999999999999</v>
      </c>
      <c r="K47" s="33">
        <f t="shared" si="19"/>
        <v>4.0035891732474047</v>
      </c>
      <c r="L47" s="33">
        <f t="shared" si="20"/>
        <v>70</v>
      </c>
      <c r="M47" s="33">
        <f t="shared" si="21"/>
        <v>10</v>
      </c>
      <c r="N47" s="33">
        <f t="shared" si="0"/>
        <v>0</v>
      </c>
      <c r="O47" s="34">
        <f t="shared" si="1"/>
        <v>320.4225011434059</v>
      </c>
      <c r="P47" s="55">
        <v>42</v>
      </c>
      <c r="Q47" s="33">
        <f t="shared" si="15"/>
        <v>16.899999999999991</v>
      </c>
      <c r="R47" s="33">
        <f t="shared" si="22"/>
        <v>280.8</v>
      </c>
      <c r="S47" s="33">
        <f t="shared" si="23"/>
        <v>117.93600000000001</v>
      </c>
      <c r="T47" s="33">
        <f t="shared" si="2"/>
        <v>31.1931201812605</v>
      </c>
      <c r="U47" s="33">
        <f t="shared" si="16"/>
        <v>70</v>
      </c>
      <c r="V47" s="33">
        <f t="shared" si="3"/>
        <v>10</v>
      </c>
      <c r="W47" s="33">
        <v>0</v>
      </c>
      <c r="X47" s="33">
        <f t="shared" si="4"/>
        <v>553.06655098236206</v>
      </c>
      <c r="Y47" s="38">
        <f t="shared" si="5"/>
        <v>232.64404983895616</v>
      </c>
      <c r="AA47" s="71">
        <v>42</v>
      </c>
      <c r="AB47" s="33">
        <f t="shared" si="6"/>
        <v>0</v>
      </c>
      <c r="AC47" s="304">
        <f t="shared" si="39"/>
        <v>0</v>
      </c>
      <c r="AD47" s="100">
        <f t="shared" si="8"/>
        <v>0</v>
      </c>
      <c r="AE47" s="100">
        <f t="shared" si="9"/>
        <v>0</v>
      </c>
      <c r="AF47" s="193">
        <f t="shared" si="34"/>
        <v>10.102055582628662</v>
      </c>
      <c r="AG47" s="193">
        <f t="shared" si="35"/>
        <v>45.797041236347717</v>
      </c>
      <c r="AH47" s="193">
        <f t="shared" si="36"/>
        <v>4.854111158903363</v>
      </c>
      <c r="AI47" s="198">
        <f t="shared" si="37"/>
        <v>60.75320797787974</v>
      </c>
      <c r="AK47" s="71">
        <v>42</v>
      </c>
      <c r="AL47" s="33"/>
      <c r="AM47" s="33"/>
      <c r="AN47" s="33"/>
      <c r="AO47" s="33"/>
      <c r="AP47" s="33"/>
      <c r="AQ47" s="193"/>
      <c r="AR47" s="193"/>
      <c r="AS47" s="193"/>
      <c r="AT47" s="193"/>
      <c r="AU47" s="33"/>
      <c r="AV47" s="33"/>
      <c r="AW47" s="33"/>
      <c r="AX47" s="33"/>
      <c r="AY47" s="76"/>
    </row>
    <row r="48" spans="2:51">
      <c r="B48" s="40">
        <f t="shared" si="31"/>
        <v>65</v>
      </c>
      <c r="C48" s="151">
        <f t="shared" si="38"/>
        <v>66</v>
      </c>
      <c r="D48" s="136">
        <v>298</v>
      </c>
      <c r="E48" s="140">
        <f t="shared" si="29"/>
        <v>1.3</v>
      </c>
      <c r="F48" s="42">
        <f t="shared" si="30"/>
        <v>387.40000000000003</v>
      </c>
      <c r="G48" s="51">
        <f t="shared" si="33"/>
        <v>-27.299999999999955</v>
      </c>
      <c r="I48" s="55">
        <v>43</v>
      </c>
      <c r="J48" s="33">
        <f t="shared" si="18"/>
        <v>11.969999999999999</v>
      </c>
      <c r="K48" s="33">
        <f t="shared" si="19"/>
        <v>4.1319595009564551</v>
      </c>
      <c r="L48" s="33">
        <f t="shared" si="20"/>
        <v>70</v>
      </c>
      <c r="M48" s="33">
        <f t="shared" si="21"/>
        <v>10</v>
      </c>
      <c r="N48" s="33">
        <f t="shared" si="0"/>
        <v>0</v>
      </c>
      <c r="O48" s="34">
        <f t="shared" si="1"/>
        <v>321.37757946416582</v>
      </c>
      <c r="P48" s="55">
        <v>43</v>
      </c>
      <c r="Q48" s="33">
        <f t="shared" si="15"/>
        <v>16.899999999999991</v>
      </c>
      <c r="R48" s="33">
        <f t="shared" si="22"/>
        <v>297.7</v>
      </c>
      <c r="S48" s="33">
        <f t="shared" si="23"/>
        <v>125.03399999999999</v>
      </c>
      <c r="T48" s="33">
        <f t="shared" si="2"/>
        <v>32.846274359997985</v>
      </c>
      <c r="U48" s="33">
        <f t="shared" si="16"/>
        <v>70</v>
      </c>
      <c r="V48" s="33">
        <f t="shared" si="3"/>
        <v>10</v>
      </c>
      <c r="W48" s="33">
        <v>0</v>
      </c>
      <c r="X48" s="33">
        <f t="shared" si="4"/>
        <v>568.30814451032973</v>
      </c>
      <c r="Y48" s="38">
        <f t="shared" si="5"/>
        <v>246.93056504616391</v>
      </c>
      <c r="AA48" s="71">
        <v>43</v>
      </c>
      <c r="AB48" s="33">
        <f t="shared" si="6"/>
        <v>0</v>
      </c>
      <c r="AC48" s="304">
        <f t="shared" si="39"/>
        <v>0</v>
      </c>
      <c r="AD48" s="100">
        <f t="shared" si="8"/>
        <v>0</v>
      </c>
      <c r="AE48" s="100">
        <f t="shared" si="9"/>
        <v>0</v>
      </c>
      <c r="AF48" s="193">
        <f t="shared" si="34"/>
        <v>9.9039604342988063</v>
      </c>
      <c r="AG48" s="193">
        <f t="shared" si="35"/>
        <v>44.544718735378062</v>
      </c>
      <c r="AH48" s="193">
        <f t="shared" si="36"/>
        <v>3.4323749170938593</v>
      </c>
      <c r="AI48" s="198">
        <f t="shared" si="37"/>
        <v>57.881054086770725</v>
      </c>
      <c r="AK48" s="71">
        <v>43</v>
      </c>
      <c r="AL48" s="33"/>
      <c r="AM48" s="33"/>
      <c r="AN48" s="33"/>
      <c r="AO48" s="33"/>
      <c r="AP48" s="33"/>
      <c r="AQ48" s="193"/>
      <c r="AR48" s="193"/>
      <c r="AS48" s="193"/>
      <c r="AT48" s="193"/>
      <c r="AU48" s="33"/>
      <c r="AV48" s="33"/>
      <c r="AW48" s="33"/>
      <c r="AX48" s="33"/>
      <c r="AY48" s="76"/>
    </row>
    <row r="49" spans="2:51">
      <c r="B49" s="40">
        <f t="shared" si="31"/>
        <v>66</v>
      </c>
      <c r="C49" s="151">
        <f t="shared" si="38"/>
        <v>70</v>
      </c>
      <c r="D49" s="136">
        <f>D50+21</f>
        <v>333</v>
      </c>
      <c r="E49" s="140">
        <f t="shared" si="29"/>
        <v>1.3</v>
      </c>
      <c r="F49" s="42">
        <f t="shared" si="30"/>
        <v>432.90000000000003</v>
      </c>
      <c r="G49" s="51">
        <f t="shared" si="33"/>
        <v>11.375</v>
      </c>
      <c r="I49" s="55">
        <v>44</v>
      </c>
      <c r="J49" s="33">
        <f t="shared" si="18"/>
        <v>12.389999999999999</v>
      </c>
      <c r="K49" s="33">
        <f t="shared" si="19"/>
        <v>4.259806492988357</v>
      </c>
      <c r="L49" s="33">
        <f t="shared" si="20"/>
        <v>70</v>
      </c>
      <c r="M49" s="33">
        <f t="shared" si="21"/>
        <v>10</v>
      </c>
      <c r="N49" s="33">
        <f t="shared" si="0"/>
        <v>0</v>
      </c>
      <c r="O49" s="34">
        <f t="shared" si="1"/>
        <v>322.3317463086214</v>
      </c>
      <c r="P49" s="55">
        <v>44</v>
      </c>
      <c r="Q49" s="33">
        <f t="shared" si="15"/>
        <v>16.899999999999991</v>
      </c>
      <c r="R49" s="33">
        <f t="shared" si="22"/>
        <v>314.59999999999997</v>
      </c>
      <c r="S49" s="33">
        <f t="shared" si="23"/>
        <v>132.13199999999998</v>
      </c>
      <c r="T49" s="33">
        <f t="shared" si="2"/>
        <v>34.488534562859115</v>
      </c>
      <c r="U49" s="33">
        <f t="shared" si="16"/>
        <v>70</v>
      </c>
      <c r="V49" s="33">
        <f t="shared" si="3"/>
        <v>10</v>
      </c>
      <c r="W49" s="33">
        <v>0</v>
      </c>
      <c r="X49" s="33">
        <f t="shared" si="4"/>
        <v>583.5307643636462</v>
      </c>
      <c r="Y49" s="38">
        <f t="shared" si="5"/>
        <v>261.19901805502479</v>
      </c>
      <c r="AA49" s="71">
        <v>44</v>
      </c>
      <c r="AB49" s="33">
        <f t="shared" si="6"/>
        <v>0</v>
      </c>
      <c r="AC49" s="304">
        <f t="shared" si="39"/>
        <v>0</v>
      </c>
      <c r="AD49" s="100">
        <f t="shared" si="8"/>
        <v>0</v>
      </c>
      <c r="AE49" s="100">
        <f t="shared" si="9"/>
        <v>0</v>
      </c>
      <c r="AF49" s="193">
        <f t="shared" si="34"/>
        <v>9.7097498110015898</v>
      </c>
      <c r="AG49" s="193">
        <f t="shared" si="35"/>
        <v>43.326641059054197</v>
      </c>
      <c r="AH49" s="193">
        <f t="shared" si="36"/>
        <v>2.4270555794516819</v>
      </c>
      <c r="AI49" s="198">
        <f t="shared" si="37"/>
        <v>55.463446449507465</v>
      </c>
      <c r="AK49" s="71">
        <v>44</v>
      </c>
      <c r="AL49" s="33"/>
      <c r="AM49" s="33"/>
      <c r="AN49" s="33"/>
      <c r="AO49" s="33"/>
      <c r="AP49" s="33"/>
      <c r="AQ49" s="193"/>
      <c r="AR49" s="193"/>
      <c r="AS49" s="193"/>
      <c r="AT49" s="193"/>
      <c r="AU49" s="33"/>
      <c r="AV49" s="33"/>
      <c r="AW49" s="33"/>
      <c r="AX49" s="33"/>
      <c r="AY49" s="76"/>
    </row>
    <row r="50" spans="2:51">
      <c r="B50" s="40">
        <f t="shared" si="31"/>
        <v>70</v>
      </c>
      <c r="C50" s="151">
        <f t="shared" si="38"/>
        <v>71</v>
      </c>
      <c r="D50" s="136">
        <v>312</v>
      </c>
      <c r="E50" s="140">
        <f t="shared" si="29"/>
        <v>1.3</v>
      </c>
      <c r="F50" s="42">
        <f t="shared" si="30"/>
        <v>405.6</v>
      </c>
      <c r="G50" s="51">
        <f t="shared" si="33"/>
        <v>-27.300000000000011</v>
      </c>
      <c r="I50" s="55">
        <v>45</v>
      </c>
      <c r="J50" s="33">
        <f t="shared" si="18"/>
        <v>12.809999999999999</v>
      </c>
      <c r="K50" s="33">
        <f t="shared" si="19"/>
        <v>4.387149923166203</v>
      </c>
      <c r="L50" s="33">
        <f t="shared" si="20"/>
        <v>70</v>
      </c>
      <c r="M50" s="33">
        <f t="shared" si="21"/>
        <v>10</v>
      </c>
      <c r="N50" s="33">
        <f t="shared" si="0"/>
        <v>0</v>
      </c>
      <c r="O50" s="34">
        <f t="shared" si="1"/>
        <v>323.28503611618117</v>
      </c>
      <c r="P50" s="55">
        <v>45</v>
      </c>
      <c r="Q50" s="33">
        <f t="shared" si="15"/>
        <v>16.899999999999991</v>
      </c>
      <c r="R50" s="33">
        <f t="shared" si="22"/>
        <v>331.49999999999994</v>
      </c>
      <c r="S50" s="33">
        <f t="shared" si="23"/>
        <v>139.22999999999996</v>
      </c>
      <c r="T50" s="33">
        <f t="shared" si="2"/>
        <v>36.120552727378737</v>
      </c>
      <c r="U50" s="33">
        <f t="shared" si="16"/>
        <v>70</v>
      </c>
      <c r="V50" s="33">
        <f t="shared" si="3"/>
        <v>10</v>
      </c>
      <c r="W50" s="33">
        <v>0</v>
      </c>
      <c r="X50" s="33">
        <f t="shared" si="4"/>
        <v>598.73554600018451</v>
      </c>
      <c r="Y50" s="38">
        <f t="shared" si="5"/>
        <v>275.45050988400334</v>
      </c>
      <c r="AA50" s="71">
        <v>45</v>
      </c>
      <c r="AB50" s="33">
        <f t="shared" si="6"/>
        <v>0</v>
      </c>
      <c r="AC50" s="304">
        <f t="shared" si="39"/>
        <v>0</v>
      </c>
      <c r="AD50" s="100">
        <f t="shared" si="8"/>
        <v>0</v>
      </c>
      <c r="AE50" s="100">
        <f t="shared" si="9"/>
        <v>0</v>
      </c>
      <c r="AF50" s="193">
        <f t="shared" si="34"/>
        <v>9.5193475395704485</v>
      </c>
      <c r="AG50" s="193">
        <f t="shared" si="35"/>
        <v>42.141871780845328</v>
      </c>
      <c r="AH50" s="193">
        <f t="shared" si="36"/>
        <v>1.7161874585469299</v>
      </c>
      <c r="AI50" s="198">
        <f t="shared" si="37"/>
        <v>53.377406778962708</v>
      </c>
      <c r="AK50" s="71">
        <v>45</v>
      </c>
      <c r="AL50" s="33"/>
      <c r="AM50" s="33"/>
      <c r="AN50" s="33"/>
      <c r="AO50" s="33"/>
      <c r="AP50" s="33"/>
      <c r="AQ50" s="193"/>
      <c r="AR50" s="193"/>
      <c r="AS50" s="193"/>
      <c r="AT50" s="193"/>
      <c r="AU50" s="33"/>
      <c r="AV50" s="33"/>
      <c r="AW50" s="33"/>
      <c r="AX50" s="33"/>
      <c r="AY50" s="76"/>
    </row>
    <row r="51" spans="2:51">
      <c r="B51" s="40">
        <f t="shared" si="31"/>
        <v>71</v>
      </c>
      <c r="C51" s="151">
        <f t="shared" si="38"/>
        <v>75</v>
      </c>
      <c r="D51" s="136">
        <f>D52+21</f>
        <v>344</v>
      </c>
      <c r="E51" s="140">
        <f t="shared" si="29"/>
        <v>1.3</v>
      </c>
      <c r="F51" s="42">
        <f t="shared" si="30"/>
        <v>447.2</v>
      </c>
      <c r="G51" s="51">
        <f t="shared" si="33"/>
        <v>10.399999999999991</v>
      </c>
      <c r="I51" s="55">
        <v>46</v>
      </c>
      <c r="J51" s="33">
        <f t="shared" si="18"/>
        <v>13.229999999999999</v>
      </c>
      <c r="K51" s="33">
        <f t="shared" si="19"/>
        <v>4.5140081950731146</v>
      </c>
      <c r="L51" s="33">
        <f t="shared" si="20"/>
        <v>70</v>
      </c>
      <c r="M51" s="33">
        <f t="shared" si="21"/>
        <v>10</v>
      </c>
      <c r="N51" s="33">
        <f t="shared" si="0"/>
        <v>0</v>
      </c>
      <c r="O51" s="34">
        <f t="shared" si="1"/>
        <v>324.23748093975234</v>
      </c>
      <c r="P51" s="55">
        <v>46</v>
      </c>
      <c r="Q51" s="33">
        <f t="shared" si="15"/>
        <v>-37.699999999999989</v>
      </c>
      <c r="R51" s="33">
        <f t="shared" si="22"/>
        <v>293.79999999999995</v>
      </c>
      <c r="S51" s="33">
        <f t="shared" si="23"/>
        <v>123.39599999999997</v>
      </c>
      <c r="T51" s="33">
        <f t="shared" si="2"/>
        <v>32.465769489878191</v>
      </c>
      <c r="U51" s="33">
        <f t="shared" si="16"/>
        <v>70</v>
      </c>
      <c r="V51" s="33">
        <f t="shared" si="3"/>
        <v>10</v>
      </c>
      <c r="W51" s="33">
        <v>0</v>
      </c>
      <c r="X51" s="33">
        <f t="shared" si="4"/>
        <v>564.79258186153777</v>
      </c>
      <c r="Y51" s="38">
        <f t="shared" si="5"/>
        <v>240.55510092178542</v>
      </c>
      <c r="AA51" s="71">
        <v>46</v>
      </c>
      <c r="AB51" s="33">
        <f t="shared" si="6"/>
        <v>29</v>
      </c>
      <c r="AC51" s="304">
        <f t="shared" si="39"/>
        <v>0.25</v>
      </c>
      <c r="AD51" s="100">
        <f t="shared" si="8"/>
        <v>0.28000000000000003</v>
      </c>
      <c r="AE51" s="100">
        <f t="shared" si="9"/>
        <v>0.22</v>
      </c>
      <c r="AF51" s="193">
        <f t="shared" si="34"/>
        <v>14.583884337405575</v>
      </c>
      <c r="AG51" s="193">
        <f t="shared" si="35"/>
        <v>46.847693009238526</v>
      </c>
      <c r="AH51" s="193">
        <f t="shared" si="36"/>
        <v>5.1576363535133343</v>
      </c>
      <c r="AI51" s="198">
        <f t="shared" si="37"/>
        <v>66.589213700157444</v>
      </c>
      <c r="AK51" s="71">
        <v>46</v>
      </c>
      <c r="AL51" s="33"/>
      <c r="AM51" s="33"/>
      <c r="AN51" s="33"/>
      <c r="AO51" s="33"/>
      <c r="AP51" s="33"/>
      <c r="AQ51" s="193"/>
      <c r="AR51" s="193"/>
      <c r="AS51" s="193"/>
      <c r="AT51" s="193"/>
      <c r="AU51" s="33"/>
      <c r="AV51" s="33"/>
      <c r="AW51" s="33"/>
      <c r="AX51" s="33"/>
      <c r="AY51" s="76"/>
    </row>
    <row r="52" spans="2:51">
      <c r="B52" s="40">
        <f t="shared" si="31"/>
        <v>75</v>
      </c>
      <c r="C52" s="151">
        <f t="shared" si="38"/>
        <v>76</v>
      </c>
      <c r="D52" s="136">
        <v>323</v>
      </c>
      <c r="E52" s="140">
        <f t="shared" si="29"/>
        <v>1.3</v>
      </c>
      <c r="F52" s="42">
        <f t="shared" si="30"/>
        <v>419.90000000000003</v>
      </c>
      <c r="G52" s="51">
        <f t="shared" si="33"/>
        <v>-27.299999999999955</v>
      </c>
      <c r="I52" s="55">
        <v>47</v>
      </c>
      <c r="J52" s="33">
        <f t="shared" si="18"/>
        <v>13.649999999999999</v>
      </c>
      <c r="K52" s="33">
        <f t="shared" si="19"/>
        <v>4.6403984774572109</v>
      </c>
      <c r="L52" s="33">
        <f t="shared" si="20"/>
        <v>70</v>
      </c>
      <c r="M52" s="33">
        <f t="shared" si="21"/>
        <v>10</v>
      </c>
      <c r="N52" s="33">
        <f t="shared" si="0"/>
        <v>0</v>
      </c>
      <c r="O52" s="34">
        <f t="shared" si="1"/>
        <v>325.18911068157132</v>
      </c>
      <c r="P52" s="55">
        <v>47</v>
      </c>
      <c r="Q52" s="33">
        <f t="shared" si="15"/>
        <v>15.275000000000006</v>
      </c>
      <c r="R52" s="33">
        <f t="shared" si="22"/>
        <v>309.07499999999993</v>
      </c>
      <c r="S52" s="33">
        <f t="shared" si="23"/>
        <v>129.81149999999997</v>
      </c>
      <c r="T52" s="33">
        <f t="shared" si="2"/>
        <v>33.952798839101376</v>
      </c>
      <c r="U52" s="33">
        <f t="shared" si="16"/>
        <v>70</v>
      </c>
      <c r="V52" s="33">
        <f t="shared" si="3"/>
        <v>10</v>
      </c>
      <c r="W52" s="33">
        <v>0</v>
      </c>
      <c r="X52" s="33">
        <f t="shared" si="4"/>
        <v>578.55615381143491</v>
      </c>
      <c r="Y52" s="38">
        <f t="shared" si="5"/>
        <v>253.36704312986359</v>
      </c>
      <c r="AA52" s="71">
        <v>47</v>
      </c>
      <c r="AB52" s="33">
        <f t="shared" si="6"/>
        <v>0</v>
      </c>
      <c r="AC52" s="304">
        <f t="shared" si="39"/>
        <v>0</v>
      </c>
      <c r="AD52" s="100">
        <f t="shared" si="8"/>
        <v>0</v>
      </c>
      <c r="AE52" s="100">
        <f t="shared" si="9"/>
        <v>0</v>
      </c>
      <c r="AF52" s="193">
        <f t="shared" si="34"/>
        <v>14.29790326084016</v>
      </c>
      <c r="AG52" s="193">
        <f t="shared" si="35"/>
        <v>45.566640380287794</v>
      </c>
      <c r="AH52" s="193">
        <f t="shared" si="36"/>
        <v>3.6469996404635365</v>
      </c>
      <c r="AI52" s="198">
        <f t="shared" si="37"/>
        <v>63.511543281591486</v>
      </c>
      <c r="AK52" s="71">
        <v>47</v>
      </c>
      <c r="AL52" s="33"/>
      <c r="AM52" s="33"/>
      <c r="AN52" s="33"/>
      <c r="AO52" s="33"/>
      <c r="AP52" s="33"/>
      <c r="AQ52" s="193"/>
      <c r="AR52" s="193"/>
      <c r="AS52" s="193"/>
      <c r="AT52" s="193"/>
      <c r="AU52" s="33"/>
      <c r="AV52" s="33"/>
      <c r="AW52" s="33"/>
      <c r="AX52" s="33"/>
      <c r="AY52" s="76"/>
    </row>
    <row r="53" spans="2:51">
      <c r="B53" s="40">
        <f t="shared" si="31"/>
        <v>76</v>
      </c>
      <c r="C53" s="151">
        <f t="shared" si="38"/>
        <v>80</v>
      </c>
      <c r="D53" s="136">
        <f>D54+21</f>
        <v>352</v>
      </c>
      <c r="E53" s="140">
        <f t="shared" si="29"/>
        <v>1.3</v>
      </c>
      <c r="F53" s="42">
        <f t="shared" ref="F53:F54" si="40">D53*E53</f>
        <v>457.6</v>
      </c>
      <c r="G53" s="51">
        <f t="shared" ref="G53:G54" si="41">(F53-F52)/(C53-B53)</f>
        <v>9.4249999999999972</v>
      </c>
      <c r="I53" s="55">
        <v>48</v>
      </c>
      <c r="J53" s="33">
        <f t="shared" si="18"/>
        <v>14.069999999999999</v>
      </c>
      <c r="K53" s="33">
        <f t="shared" si="19"/>
        <v>4.7663368225031704</v>
      </c>
      <c r="L53" s="33">
        <f t="shared" si="20"/>
        <v>70</v>
      </c>
      <c r="M53" s="33">
        <f t="shared" si="21"/>
        <v>10</v>
      </c>
      <c r="N53" s="33">
        <f t="shared" si="0"/>
        <v>0</v>
      </c>
      <c r="O53" s="34">
        <f t="shared" si="1"/>
        <v>326.139953299193</v>
      </c>
      <c r="P53" s="55">
        <v>48</v>
      </c>
      <c r="Q53" s="33">
        <f t="shared" si="15"/>
        <v>15.275000000000006</v>
      </c>
      <c r="R53" s="33">
        <f t="shared" si="22"/>
        <v>324.34999999999991</v>
      </c>
      <c r="S53" s="33">
        <f t="shared" si="23"/>
        <v>136.22699999999995</v>
      </c>
      <c r="T53" s="33">
        <f t="shared" si="2"/>
        <v>35.431294672895405</v>
      </c>
      <c r="U53" s="33">
        <f t="shared" si="16"/>
        <v>70</v>
      </c>
      <c r="V53" s="33">
        <f t="shared" si="3"/>
        <v>10</v>
      </c>
      <c r="W53" s="33">
        <v>0</v>
      </c>
      <c r="X53" s="33">
        <f t="shared" si="4"/>
        <v>592.30486322195941</v>
      </c>
      <c r="Y53" s="38">
        <f t="shared" si="5"/>
        <v>266.16490992276641</v>
      </c>
      <c r="AA53" s="71">
        <v>48</v>
      </c>
      <c r="AB53" s="33">
        <f t="shared" si="6"/>
        <v>0</v>
      </c>
      <c r="AC53" s="304">
        <f t="shared" si="39"/>
        <v>0</v>
      </c>
      <c r="AD53" s="100">
        <f t="shared" si="8"/>
        <v>0</v>
      </c>
      <c r="AE53" s="100">
        <f t="shared" si="9"/>
        <v>0</v>
      </c>
      <c r="AF53" s="193">
        <f t="shared" si="34"/>
        <v>14.01753009875496</v>
      </c>
      <c r="AG53" s="193">
        <f t="shared" si="35"/>
        <v>44.320618202843349</v>
      </c>
      <c r="AH53" s="193">
        <f t="shared" si="36"/>
        <v>2.5788181767566676</v>
      </c>
      <c r="AI53" s="198">
        <f t="shared" si="37"/>
        <v>60.916966478354979</v>
      </c>
      <c r="AK53" s="71">
        <v>48</v>
      </c>
      <c r="AL53" s="33"/>
      <c r="AM53" s="33"/>
      <c r="AN53" s="33"/>
      <c r="AO53" s="33"/>
      <c r="AP53" s="33"/>
      <c r="AQ53" s="193"/>
      <c r="AR53" s="193"/>
      <c r="AS53" s="193"/>
      <c r="AT53" s="193"/>
      <c r="AU53" s="33"/>
      <c r="AV53" s="33"/>
      <c r="AW53" s="33"/>
      <c r="AX53" s="33"/>
      <c r="AY53" s="76"/>
    </row>
    <row r="54" spans="2:51">
      <c r="B54" s="40">
        <f t="shared" si="31"/>
        <v>80</v>
      </c>
      <c r="C54" s="151">
        <f t="shared" si="38"/>
        <v>81</v>
      </c>
      <c r="D54" s="136">
        <v>331</v>
      </c>
      <c r="E54" s="140">
        <f t="shared" si="29"/>
        <v>1.3</v>
      </c>
      <c r="F54" s="42">
        <f t="shared" si="40"/>
        <v>430.3</v>
      </c>
      <c r="G54" s="51">
        <f t="shared" si="41"/>
        <v>-27.300000000000011</v>
      </c>
      <c r="I54" s="55">
        <v>49</v>
      </c>
      <c r="J54" s="33">
        <f t="shared" si="18"/>
        <v>14.489999999999998</v>
      </c>
      <c r="K54" s="33">
        <f t="shared" si="19"/>
        <v>4.8918382695850156</v>
      </c>
      <c r="L54" s="33">
        <f t="shared" si="20"/>
        <v>70</v>
      </c>
      <c r="M54" s="33">
        <f t="shared" si="21"/>
        <v>10</v>
      </c>
      <c r="N54" s="33">
        <f t="shared" si="0"/>
        <v>0</v>
      </c>
      <c r="O54" s="34">
        <f t="shared" si="1"/>
        <v>327.09003498619393</v>
      </c>
      <c r="P54" s="55">
        <v>49</v>
      </c>
      <c r="Q54" s="33">
        <f t="shared" si="15"/>
        <v>15.275000000000006</v>
      </c>
      <c r="R54" s="33">
        <f t="shared" si="22"/>
        <v>339.62499999999989</v>
      </c>
      <c r="S54" s="33">
        <f t="shared" si="23"/>
        <v>142.64249999999996</v>
      </c>
      <c r="T54" s="33">
        <f t="shared" si="2"/>
        <v>36.901704759985613</v>
      </c>
      <c r="U54" s="33">
        <f t="shared" si="16"/>
        <v>70</v>
      </c>
      <c r="V54" s="33">
        <f t="shared" si="3"/>
        <v>10</v>
      </c>
      <c r="W54" s="33">
        <v>0</v>
      </c>
      <c r="X54" s="33">
        <f t="shared" si="4"/>
        <v>606.03948995697499</v>
      </c>
      <c r="Y54" s="38">
        <f t="shared" si="5"/>
        <v>278.94945497078106</v>
      </c>
      <c r="AA54" s="71">
        <v>49</v>
      </c>
      <c r="AB54" s="33">
        <f t="shared" si="6"/>
        <v>0</v>
      </c>
      <c r="AC54" s="304">
        <f t="shared" si="39"/>
        <v>0</v>
      </c>
      <c r="AD54" s="100">
        <f t="shared" si="8"/>
        <v>0</v>
      </c>
      <c r="AE54" s="100">
        <f t="shared" si="9"/>
        <v>0</v>
      </c>
      <c r="AF54" s="193">
        <f t="shared" si="34"/>
        <v>13.742654883367509</v>
      </c>
      <c r="AG54" s="193">
        <f t="shared" si="35"/>
        <v>43.108668567366585</v>
      </c>
      <c r="AH54" s="193">
        <f t="shared" si="36"/>
        <v>1.8234998202317685</v>
      </c>
      <c r="AI54" s="198">
        <f t="shared" si="37"/>
        <v>58.674823270965859</v>
      </c>
      <c r="AK54" s="71">
        <v>49</v>
      </c>
      <c r="AL54" s="33"/>
      <c r="AM54" s="33"/>
      <c r="AN54" s="33"/>
      <c r="AO54" s="33"/>
      <c r="AP54" s="33"/>
      <c r="AQ54" s="193"/>
      <c r="AR54" s="193"/>
      <c r="AS54" s="193"/>
      <c r="AT54" s="193"/>
      <c r="AU54" s="33"/>
      <c r="AV54" s="33"/>
      <c r="AW54" s="33"/>
      <c r="AX54" s="33"/>
      <c r="AY54" s="76"/>
    </row>
    <row r="55" spans="2:51">
      <c r="B55" s="40"/>
      <c r="C55" s="151"/>
      <c r="D55" s="136"/>
      <c r="E55" s="140"/>
      <c r="F55" s="42"/>
      <c r="G55" s="51"/>
      <c r="I55" s="55">
        <v>50</v>
      </c>
      <c r="J55" s="33">
        <f t="shared" si="18"/>
        <v>14.909999999999998</v>
      </c>
      <c r="K55" s="33">
        <f t="shared" si="19"/>
        <v>5.0169169366515129</v>
      </c>
      <c r="L55" s="33">
        <f t="shared" si="20"/>
        <v>70</v>
      </c>
      <c r="M55" s="33">
        <f t="shared" si="21"/>
        <v>10</v>
      </c>
      <c r="N55" s="33">
        <f t="shared" si="0"/>
        <v>0</v>
      </c>
      <c r="O55" s="34">
        <f t="shared" si="1"/>
        <v>328.03938033133471</v>
      </c>
      <c r="P55" s="55">
        <v>50</v>
      </c>
      <c r="Q55" s="33">
        <f t="shared" si="15"/>
        <v>15.275000000000006</v>
      </c>
      <c r="R55" s="33">
        <f t="shared" si="22"/>
        <v>354.89999999999986</v>
      </c>
      <c r="S55" s="33">
        <f t="shared" si="23"/>
        <v>149.05799999999994</v>
      </c>
      <c r="T55" s="33">
        <f t="shared" si="2"/>
        <v>38.3644343143703</v>
      </c>
      <c r="U55" s="33">
        <f t="shared" si="16"/>
        <v>70</v>
      </c>
      <c r="V55" s="33">
        <f t="shared" si="3"/>
        <v>10</v>
      </c>
      <c r="W55" s="33">
        <v>0</v>
      </c>
      <c r="X55" s="33">
        <f t="shared" si="4"/>
        <v>619.76073976419491</v>
      </c>
      <c r="Y55" s="38">
        <f t="shared" si="5"/>
        <v>291.7213594328602</v>
      </c>
      <c r="AA55" s="71">
        <v>50</v>
      </c>
      <c r="AB55" s="33">
        <f t="shared" si="6"/>
        <v>0</v>
      </c>
      <c r="AC55" s="304">
        <f t="shared" si="39"/>
        <v>0</v>
      </c>
      <c r="AD55" s="100">
        <f t="shared" si="8"/>
        <v>0</v>
      </c>
      <c r="AE55" s="100">
        <f t="shared" si="9"/>
        <v>0</v>
      </c>
      <c r="AF55" s="193">
        <f t="shared" si="34"/>
        <v>13.473169803296479</v>
      </c>
      <c r="AG55" s="193">
        <f t="shared" si="35"/>
        <v>41.929859758405591</v>
      </c>
      <c r="AH55" s="193">
        <f t="shared" si="36"/>
        <v>1.289409088378334</v>
      </c>
      <c r="AI55" s="198">
        <f t="shared" si="37"/>
        <v>56.692438650080405</v>
      </c>
      <c r="AK55" s="71">
        <v>50</v>
      </c>
      <c r="AL55" s="33"/>
      <c r="AM55" s="33"/>
      <c r="AN55" s="33"/>
      <c r="AO55" s="33"/>
      <c r="AP55" s="33"/>
      <c r="AQ55" s="193"/>
      <c r="AR55" s="193"/>
      <c r="AS55" s="193"/>
      <c r="AT55" s="193"/>
      <c r="AU55" s="33"/>
      <c r="AV55" s="33"/>
      <c r="AW55" s="33"/>
      <c r="AX55" s="33"/>
      <c r="AY55" s="76"/>
    </row>
    <row r="56" spans="2:51">
      <c r="B56" s="40"/>
      <c r="C56" s="151"/>
      <c r="D56" s="136"/>
      <c r="E56" s="140"/>
      <c r="F56" s="42"/>
      <c r="G56" s="51"/>
      <c r="I56" s="55">
        <v>51</v>
      </c>
      <c r="J56" s="33">
        <f t="shared" si="18"/>
        <v>15.329999999999998</v>
      </c>
      <c r="K56" s="33">
        <f t="shared" si="19"/>
        <v>5.1415861010251849</v>
      </c>
      <c r="L56" s="33">
        <f t="shared" si="20"/>
        <v>70</v>
      </c>
      <c r="M56" s="33">
        <f t="shared" si="21"/>
        <v>10</v>
      </c>
      <c r="N56" s="33">
        <f t="shared" si="0"/>
        <v>0</v>
      </c>
      <c r="O56" s="34">
        <f t="shared" si="1"/>
        <v>328.98801245928553</v>
      </c>
      <c r="P56" s="55">
        <v>51</v>
      </c>
      <c r="Q56" s="33">
        <f t="shared" si="15"/>
        <v>-33.800000000000011</v>
      </c>
      <c r="R56" s="33">
        <f t="shared" si="22"/>
        <v>321.09999999999985</v>
      </c>
      <c r="S56" s="33">
        <f t="shared" si="23"/>
        <v>134.86199999999994</v>
      </c>
      <c r="T56" s="33">
        <f t="shared" si="2"/>
        <v>35.117412732458412</v>
      </c>
      <c r="U56" s="33">
        <f t="shared" si="16"/>
        <v>70</v>
      </c>
      <c r="V56" s="33">
        <f t="shared" si="3"/>
        <v>10</v>
      </c>
      <c r="W56" s="33">
        <v>0</v>
      </c>
      <c r="X56" s="33">
        <f t="shared" si="4"/>
        <v>589.38081050903168</v>
      </c>
      <c r="Y56" s="38">
        <f t="shared" si="5"/>
        <v>260.39279804974615</v>
      </c>
      <c r="AA56" s="71">
        <v>51</v>
      </c>
      <c r="AB56" s="33">
        <f t="shared" si="6"/>
        <v>26</v>
      </c>
      <c r="AC56" s="304">
        <f t="shared" si="39"/>
        <v>0.3</v>
      </c>
      <c r="AD56" s="100">
        <f t="shared" si="8"/>
        <v>0.22400000000000003</v>
      </c>
      <c r="AE56" s="100">
        <f t="shared" si="9"/>
        <v>0.17600000000000002</v>
      </c>
      <c r="AF56" s="193">
        <f t="shared" si="34"/>
        <v>18.858541864101884</v>
      </c>
      <c r="AG56" s="193">
        <f t="shared" si="35"/>
        <v>44.985023914537564</v>
      </c>
      <c r="AH56" s="193">
        <f t="shared" si="36"/>
        <v>3.7406277765565692</v>
      </c>
      <c r="AI56" s="198">
        <f t="shared" si="37"/>
        <v>67.584193555196009</v>
      </c>
      <c r="AK56" s="71">
        <v>51</v>
      </c>
      <c r="AL56" s="33"/>
      <c r="AM56" s="33"/>
      <c r="AN56" s="33"/>
      <c r="AO56" s="33"/>
      <c r="AP56" s="33"/>
      <c r="AQ56" s="193"/>
      <c r="AR56" s="193"/>
      <c r="AS56" s="193"/>
      <c r="AT56" s="193"/>
      <c r="AU56" s="33"/>
      <c r="AV56" s="33"/>
      <c r="AW56" s="33"/>
      <c r="AX56" s="33"/>
      <c r="AY56" s="76"/>
    </row>
    <row r="57" spans="2:51">
      <c r="B57" s="40"/>
      <c r="C57" s="151"/>
      <c r="D57" s="136"/>
      <c r="E57" s="140"/>
      <c r="F57" s="42"/>
      <c r="G57" s="51"/>
      <c r="I57" s="55">
        <v>52</v>
      </c>
      <c r="J57" s="33">
        <f t="shared" si="18"/>
        <v>15.749999999999998</v>
      </c>
      <c r="K57" s="33">
        <f t="shared" si="19"/>
        <v>5.2658582710976578</v>
      </c>
      <c r="L57" s="33">
        <f t="shared" si="20"/>
        <v>70</v>
      </c>
      <c r="M57" s="33">
        <f t="shared" si="21"/>
        <v>10</v>
      </c>
      <c r="N57" s="33">
        <f t="shared" si="0"/>
        <v>0</v>
      </c>
      <c r="O57" s="34">
        <f t="shared" si="1"/>
        <v>329.9359531554951</v>
      </c>
      <c r="P57" s="55">
        <v>52</v>
      </c>
      <c r="Q57" s="33">
        <f t="shared" si="15"/>
        <v>13.974999999999994</v>
      </c>
      <c r="R57" s="33">
        <f t="shared" si="22"/>
        <v>335.07499999999982</v>
      </c>
      <c r="S57" s="33">
        <f t="shared" si="23"/>
        <v>140.73149999999993</v>
      </c>
      <c r="T57" s="33">
        <f t="shared" si="2"/>
        <v>36.464531012620476</v>
      </c>
      <c r="U57" s="33">
        <f t="shared" si="16"/>
        <v>70</v>
      </c>
      <c r="V57" s="33">
        <f t="shared" si="3"/>
        <v>10</v>
      </c>
      <c r="W57" s="33">
        <v>0</v>
      </c>
      <c r="X57" s="33">
        <f t="shared" si="4"/>
        <v>601.94975401364718</v>
      </c>
      <c r="Y57" s="38">
        <f t="shared" si="5"/>
        <v>272.01380085815208</v>
      </c>
      <c r="AA57" s="71">
        <v>52</v>
      </c>
      <c r="AB57" s="33">
        <f t="shared" si="6"/>
        <v>0</v>
      </c>
      <c r="AC57" s="304">
        <f t="shared" si="39"/>
        <v>0</v>
      </c>
      <c r="AD57" s="100">
        <f t="shared" si="8"/>
        <v>0</v>
      </c>
      <c r="AE57" s="100">
        <f t="shared" si="9"/>
        <v>0</v>
      </c>
      <c r="AF57" s="193">
        <f t="shared" si="34"/>
        <v>18.488737360721597</v>
      </c>
      <c r="AG57" s="193">
        <f t="shared" si="35"/>
        <v>43.75490606993494</v>
      </c>
      <c r="AH57" s="193">
        <f t="shared" si="36"/>
        <v>2.6450232666979079</v>
      </c>
      <c r="AI57" s="198">
        <f t="shared" si="37"/>
        <v>64.888666697354438</v>
      </c>
      <c r="AK57" s="71">
        <v>52</v>
      </c>
      <c r="AL57" s="33"/>
      <c r="AM57" s="33"/>
      <c r="AN57" s="33"/>
      <c r="AO57" s="33"/>
      <c r="AP57" s="33"/>
      <c r="AQ57" s="193"/>
      <c r="AR57" s="193"/>
      <c r="AS57" s="193"/>
      <c r="AT57" s="193"/>
      <c r="AU57" s="33"/>
      <c r="AV57" s="33"/>
      <c r="AW57" s="33"/>
      <c r="AX57" s="33"/>
      <c r="AY57" s="76"/>
    </row>
    <row r="58" spans="2:51">
      <c r="B58" s="40"/>
      <c r="C58" s="151"/>
      <c r="D58" s="136"/>
      <c r="E58" s="140"/>
      <c r="F58" s="42"/>
      <c r="G58" s="51"/>
      <c r="I58" s="55">
        <v>53</v>
      </c>
      <c r="J58" s="33">
        <f t="shared" si="18"/>
        <v>16.169999999999998</v>
      </c>
      <c r="K58" s="33">
        <f t="shared" si="19"/>
        <v>5.3897452501624228</v>
      </c>
      <c r="L58" s="33">
        <f t="shared" si="20"/>
        <v>70</v>
      </c>
      <c r="M58" s="33">
        <f t="shared" si="21"/>
        <v>10</v>
      </c>
      <c r="N58" s="33">
        <f t="shared" si="0"/>
        <v>0</v>
      </c>
      <c r="O58" s="34">
        <f t="shared" si="1"/>
        <v>330.88322297736619</v>
      </c>
      <c r="P58" s="55">
        <v>53</v>
      </c>
      <c r="Q58" s="33">
        <f t="shared" si="15"/>
        <v>13.974999999999994</v>
      </c>
      <c r="R58" s="33">
        <f t="shared" si="22"/>
        <v>349.04999999999984</v>
      </c>
      <c r="S58" s="33">
        <f t="shared" si="23"/>
        <v>146.60099999999991</v>
      </c>
      <c r="T58" s="33">
        <f t="shared" si="2"/>
        <v>37.805123282858489</v>
      </c>
      <c r="U58" s="33">
        <f t="shared" si="16"/>
        <v>70</v>
      </c>
      <c r="V58" s="33">
        <f t="shared" si="3"/>
        <v>10</v>
      </c>
      <c r="W58" s="33">
        <v>0</v>
      </c>
      <c r="X58" s="33">
        <f t="shared" si="4"/>
        <v>614.50733138431167</v>
      </c>
      <c r="Y58" s="38">
        <f t="shared" si="5"/>
        <v>283.62410840694548</v>
      </c>
      <c r="AA58" s="71">
        <v>53</v>
      </c>
      <c r="AB58" s="33">
        <f t="shared" si="6"/>
        <v>0</v>
      </c>
      <c r="AC58" s="304">
        <f t="shared" si="39"/>
        <v>0</v>
      </c>
      <c r="AD58" s="100">
        <f t="shared" si="8"/>
        <v>0</v>
      </c>
      <c r="AE58" s="100">
        <f t="shared" si="9"/>
        <v>0</v>
      </c>
      <c r="AF58" s="193">
        <f t="shared" si="34"/>
        <v>18.126184498094123</v>
      </c>
      <c r="AG58" s="193">
        <f t="shared" si="35"/>
        <v>42.558425862482061</v>
      </c>
      <c r="AH58" s="193">
        <f t="shared" si="36"/>
        <v>1.8703138882782848</v>
      </c>
      <c r="AI58" s="198">
        <f t="shared" si="37"/>
        <v>62.554924248854469</v>
      </c>
      <c r="AK58" s="71">
        <v>53</v>
      </c>
      <c r="AL58" s="33"/>
      <c r="AM58" s="33"/>
      <c r="AN58" s="33"/>
      <c r="AO58" s="33"/>
      <c r="AP58" s="33"/>
      <c r="AQ58" s="193"/>
      <c r="AR58" s="193"/>
      <c r="AS58" s="193"/>
      <c r="AT58" s="193"/>
      <c r="AU58" s="33"/>
      <c r="AV58" s="33"/>
      <c r="AW58" s="33"/>
      <c r="AX58" s="33"/>
      <c r="AY58" s="76"/>
    </row>
    <row r="59" spans="2:51">
      <c r="B59" s="40"/>
      <c r="C59" s="151"/>
      <c r="D59" s="136"/>
      <c r="E59" s="140"/>
      <c r="F59" s="42"/>
      <c r="G59" s="51"/>
      <c r="I59" s="55">
        <v>54</v>
      </c>
      <c r="J59" s="33">
        <f t="shared" si="18"/>
        <v>16.59</v>
      </c>
      <c r="K59" s="33">
        <f t="shared" si="19"/>
        <v>5.5132581934290155</v>
      </c>
      <c r="L59" s="33">
        <f t="shared" si="20"/>
        <v>70</v>
      </c>
      <c r="M59" s="33">
        <f t="shared" si="21"/>
        <v>10</v>
      </c>
      <c r="N59" s="33">
        <f t="shared" si="0"/>
        <v>0</v>
      </c>
      <c r="O59" s="34">
        <f t="shared" si="1"/>
        <v>331.82984135355554</v>
      </c>
      <c r="P59" s="55">
        <v>54</v>
      </c>
      <c r="Q59" s="33">
        <f t="shared" si="15"/>
        <v>13.974999999999994</v>
      </c>
      <c r="R59" s="33">
        <f t="shared" si="22"/>
        <v>363.02499999999986</v>
      </c>
      <c r="S59" s="33">
        <f t="shared" si="23"/>
        <v>152.47049999999993</v>
      </c>
      <c r="T59" s="33">
        <f t="shared" si="2"/>
        <v>39.139480719900455</v>
      </c>
      <c r="U59" s="33">
        <f t="shared" si="16"/>
        <v>70</v>
      </c>
      <c r="V59" s="33">
        <f t="shared" si="3"/>
        <v>10</v>
      </c>
      <c r="W59" s="33">
        <v>0</v>
      </c>
      <c r="X59" s="33">
        <f t="shared" si="4"/>
        <v>627.05404975382646</v>
      </c>
      <c r="Y59" s="38">
        <f t="shared" si="5"/>
        <v>295.22420840027092</v>
      </c>
      <c r="AA59" s="71">
        <v>54</v>
      </c>
      <c r="AB59" s="33">
        <f t="shared" si="6"/>
        <v>0</v>
      </c>
      <c r="AC59" s="304">
        <f t="shared" si="39"/>
        <v>0</v>
      </c>
      <c r="AD59" s="100">
        <f t="shared" si="8"/>
        <v>0</v>
      </c>
      <c r="AE59" s="100">
        <f t="shared" si="9"/>
        <v>0</v>
      </c>
      <c r="AF59" s="193">
        <f t="shared" si="34"/>
        <v>17.770741075967365</v>
      </c>
      <c r="AG59" s="193">
        <f t="shared" si="35"/>
        <v>41.394663469222138</v>
      </c>
      <c r="AH59" s="193">
        <f t="shared" si="36"/>
        <v>1.3225116333489542</v>
      </c>
      <c r="AI59" s="198">
        <f t="shared" si="37"/>
        <v>60.487916178538455</v>
      </c>
      <c r="AK59" s="71">
        <v>54</v>
      </c>
      <c r="AL59" s="33"/>
      <c r="AM59" s="33"/>
      <c r="AN59" s="33"/>
      <c r="AO59" s="33"/>
      <c r="AP59" s="33"/>
      <c r="AQ59" s="193"/>
      <c r="AR59" s="193"/>
      <c r="AS59" s="193"/>
      <c r="AT59" s="193"/>
      <c r="AU59" s="33"/>
      <c r="AV59" s="33"/>
      <c r="AW59" s="33"/>
      <c r="AX59" s="33"/>
      <c r="AY59" s="76"/>
    </row>
    <row r="60" spans="2:51">
      <c r="B60" s="40"/>
      <c r="C60" s="151"/>
      <c r="D60" s="136"/>
      <c r="E60" s="140"/>
      <c r="F60" s="42"/>
      <c r="G60" s="51"/>
      <c r="I60" s="55">
        <v>55</v>
      </c>
      <c r="J60" s="33">
        <f t="shared" si="18"/>
        <v>17.010000000000002</v>
      </c>
      <c r="K60" s="33">
        <f t="shared" si="19"/>
        <v>5.6364076591011436</v>
      </c>
      <c r="L60" s="33">
        <f t="shared" si="20"/>
        <v>70</v>
      </c>
      <c r="M60" s="33">
        <f t="shared" si="21"/>
        <v>10</v>
      </c>
      <c r="N60" s="33">
        <f t="shared" si="0"/>
        <v>0</v>
      </c>
      <c r="O60" s="34">
        <f t="shared" si="1"/>
        <v>332.7758266729345</v>
      </c>
      <c r="P60" s="55">
        <v>55</v>
      </c>
      <c r="Q60" s="33">
        <f t="shared" si="15"/>
        <v>13.974999999999994</v>
      </c>
      <c r="R60" s="33">
        <f t="shared" si="22"/>
        <v>376.99999999999989</v>
      </c>
      <c r="S60" s="33">
        <f t="shared" si="23"/>
        <v>158.33999999999995</v>
      </c>
      <c r="T60" s="33">
        <f t="shared" si="2"/>
        <v>40.467870812652784</v>
      </c>
      <c r="U60" s="33">
        <f t="shared" si="16"/>
        <v>70</v>
      </c>
      <c r="V60" s="33">
        <f t="shared" si="3"/>
        <v>10</v>
      </c>
      <c r="W60" s="33">
        <v>0</v>
      </c>
      <c r="X60" s="33">
        <f t="shared" si="4"/>
        <v>639.59037499870351</v>
      </c>
      <c r="Y60" s="38">
        <f t="shared" si="5"/>
        <v>306.81454832576901</v>
      </c>
      <c r="AA60" s="71">
        <v>55</v>
      </c>
      <c r="AB60" s="33">
        <f t="shared" si="6"/>
        <v>0</v>
      </c>
      <c r="AC60" s="304">
        <f t="shared" si="39"/>
        <v>0</v>
      </c>
      <c r="AD60" s="100">
        <f t="shared" si="8"/>
        <v>0</v>
      </c>
      <c r="AE60" s="100">
        <f t="shared" si="9"/>
        <v>0</v>
      </c>
      <c r="AF60" s="193">
        <f t="shared" si="34"/>
        <v>17.422267682549432</v>
      </c>
      <c r="AG60" s="193">
        <f t="shared" si="35"/>
        <v>40.262724219805513</v>
      </c>
      <c r="AH60" s="193">
        <f t="shared" si="36"/>
        <v>0.93515694413914252</v>
      </c>
      <c r="AI60" s="198">
        <f t="shared" si="37"/>
        <v>58.620148846494089</v>
      </c>
      <c r="AK60" s="71">
        <v>55</v>
      </c>
      <c r="AL60" s="33"/>
      <c r="AM60" s="33"/>
      <c r="AN60" s="33"/>
      <c r="AO60" s="33"/>
      <c r="AP60" s="33"/>
      <c r="AQ60" s="193"/>
      <c r="AR60" s="193"/>
      <c r="AS60" s="193"/>
      <c r="AT60" s="193"/>
      <c r="AU60" s="33"/>
      <c r="AV60" s="33"/>
      <c r="AW60" s="33"/>
      <c r="AX60" s="33"/>
      <c r="AY60" s="76"/>
    </row>
    <row r="61" spans="2:51">
      <c r="B61" s="40"/>
      <c r="C61" s="151"/>
      <c r="D61" s="136"/>
      <c r="E61" s="140"/>
      <c r="F61" s="42"/>
      <c r="G61" s="51"/>
      <c r="I61" s="55">
        <v>56</v>
      </c>
      <c r="J61" s="33">
        <f t="shared" si="18"/>
        <v>17.430000000000003</v>
      </c>
      <c r="K61" s="33">
        <f t="shared" si="19"/>
        <v>5.7592036542680249</v>
      </c>
      <c r="L61" s="33">
        <f t="shared" si="20"/>
        <v>70</v>
      </c>
      <c r="M61" s="33">
        <f t="shared" si="21"/>
        <v>10</v>
      </c>
      <c r="N61" s="33">
        <f t="shared" si="0"/>
        <v>0</v>
      </c>
      <c r="O61" s="34">
        <f t="shared" si="1"/>
        <v>333.72119636451686</v>
      </c>
      <c r="P61" s="55">
        <v>56</v>
      </c>
      <c r="Q61" s="33">
        <f t="shared" si="15"/>
        <v>-31.199999999999989</v>
      </c>
      <c r="R61" s="33">
        <f t="shared" si="22"/>
        <v>345.7999999999999</v>
      </c>
      <c r="S61" s="33">
        <f t="shared" si="23"/>
        <v>145.23599999999996</v>
      </c>
      <c r="T61" s="33">
        <f t="shared" si="2"/>
        <v>37.493924289345522</v>
      </c>
      <c r="U61" s="33">
        <f t="shared" si="16"/>
        <v>70</v>
      </c>
      <c r="V61" s="33">
        <f t="shared" si="3"/>
        <v>10</v>
      </c>
      <c r="W61" s="33">
        <v>0</v>
      </c>
      <c r="X61" s="33">
        <f t="shared" si="4"/>
        <v>611.58795147061005</v>
      </c>
      <c r="Y61" s="38">
        <f t="shared" si="5"/>
        <v>277.86675510609319</v>
      </c>
      <c r="AA61" s="71">
        <v>56</v>
      </c>
      <c r="AB61" s="33">
        <f t="shared" si="6"/>
        <v>24</v>
      </c>
      <c r="AC61" s="304">
        <f t="shared" si="39"/>
        <v>0.35</v>
      </c>
      <c r="AD61" s="100">
        <f t="shared" si="8"/>
        <v>0.16800000000000004</v>
      </c>
      <c r="AE61" s="100">
        <f t="shared" si="9"/>
        <v>0.13200000000000003</v>
      </c>
      <c r="AF61" s="193">
        <f t="shared" si="34"/>
        <v>23.164782858256547</v>
      </c>
      <c r="AG61" s="193">
        <f t="shared" si="35"/>
        <v>42.070633707612558</v>
      </c>
      <c r="AH61" s="193">
        <f t="shared" si="36"/>
        <v>2.619709724210336</v>
      </c>
      <c r="AI61" s="198">
        <f t="shared" si="37"/>
        <v>67.85512629007944</v>
      </c>
      <c r="AK61" s="71">
        <v>56</v>
      </c>
      <c r="AL61" s="33"/>
      <c r="AM61" s="33"/>
      <c r="AN61" s="33"/>
      <c r="AO61" s="33"/>
      <c r="AP61" s="33"/>
      <c r="AQ61" s="193"/>
      <c r="AR61" s="193"/>
      <c r="AS61" s="193"/>
      <c r="AT61" s="193"/>
      <c r="AU61" s="33"/>
      <c r="AV61" s="33"/>
      <c r="AW61" s="33"/>
      <c r="AX61" s="33"/>
      <c r="AY61" s="76"/>
    </row>
    <row r="62" spans="2:51">
      <c r="B62" s="40"/>
      <c r="C62" s="151"/>
      <c r="D62" s="136"/>
      <c r="E62" s="140"/>
      <c r="F62" s="42"/>
      <c r="G62" s="51"/>
      <c r="I62" s="55">
        <v>57</v>
      </c>
      <c r="J62" s="33">
        <f t="shared" si="18"/>
        <v>17.850000000000005</v>
      </c>
      <c r="K62" s="33">
        <f t="shared" si="19"/>
        <v>5.8816556762478864</v>
      </c>
      <c r="L62" s="33">
        <f t="shared" si="20"/>
        <v>70</v>
      </c>
      <c r="M62" s="33">
        <f t="shared" si="21"/>
        <v>10</v>
      </c>
      <c r="N62" s="33">
        <f t="shared" si="0"/>
        <v>0</v>
      </c>
      <c r="O62" s="34">
        <f t="shared" si="1"/>
        <v>334.66596696946505</v>
      </c>
      <c r="P62" s="55">
        <v>57</v>
      </c>
      <c r="Q62" s="33">
        <f t="shared" si="15"/>
        <v>12.674999999999997</v>
      </c>
      <c r="R62" s="33">
        <f t="shared" si="22"/>
        <v>358.47499999999991</v>
      </c>
      <c r="S62" s="33">
        <f t="shared" si="23"/>
        <v>150.55949999999996</v>
      </c>
      <c r="T62" s="33">
        <f t="shared" si="2"/>
        <v>38.705706439647365</v>
      </c>
      <c r="U62" s="33">
        <f t="shared" si="16"/>
        <v>70</v>
      </c>
      <c r="V62" s="33">
        <f t="shared" si="3"/>
        <v>10</v>
      </c>
      <c r="W62" s="33">
        <v>0</v>
      </c>
      <c r="X62" s="33">
        <f t="shared" si="4"/>
        <v>622.97023454905241</v>
      </c>
      <c r="Y62" s="38">
        <f t="shared" si="5"/>
        <v>288.30426757958736</v>
      </c>
      <c r="AA62" s="71">
        <v>57</v>
      </c>
      <c r="AB62" s="33">
        <f t="shared" si="6"/>
        <v>0</v>
      </c>
      <c r="AC62" s="304">
        <f t="shared" si="39"/>
        <v>0</v>
      </c>
      <c r="AD62" s="100">
        <f t="shared" si="8"/>
        <v>0</v>
      </c>
      <c r="AE62" s="100">
        <f t="shared" si="9"/>
        <v>0</v>
      </c>
      <c r="AF62" s="193">
        <f t="shared" si="34"/>
        <v>22.710535595528544</v>
      </c>
      <c r="AG62" s="193">
        <f t="shared" si="35"/>
        <v>40.920210016479416</v>
      </c>
      <c r="AH62" s="193">
        <f t="shared" si="36"/>
        <v>1.8524145107294689</v>
      </c>
      <c r="AI62" s="198">
        <f t="shared" si="37"/>
        <v>65.483160122737431</v>
      </c>
      <c r="AK62" s="71">
        <v>57</v>
      </c>
      <c r="AL62" s="33"/>
      <c r="AM62" s="33"/>
      <c r="AN62" s="33"/>
      <c r="AO62" s="33"/>
      <c r="AP62" s="33"/>
      <c r="AQ62" s="193"/>
      <c r="AR62" s="193"/>
      <c r="AS62" s="193"/>
      <c r="AT62" s="193"/>
      <c r="AU62" s="33"/>
      <c r="AV62" s="33"/>
      <c r="AW62" s="33"/>
      <c r="AX62" s="33"/>
      <c r="AY62" s="76"/>
    </row>
    <row r="63" spans="2:51">
      <c r="B63" s="40"/>
      <c r="C63" s="151"/>
      <c r="D63" s="136"/>
      <c r="E63" s="140"/>
      <c r="F63" s="42"/>
      <c r="G63" s="51"/>
      <c r="I63" s="55">
        <v>58</v>
      </c>
      <c r="J63" s="33">
        <f t="shared" si="18"/>
        <v>18.270000000000007</v>
      </c>
      <c r="K63" s="33">
        <f t="shared" si="19"/>
        <v>6.0037727499306985</v>
      </c>
      <c r="L63" s="33">
        <f t="shared" si="20"/>
        <v>70</v>
      </c>
      <c r="M63" s="33">
        <f t="shared" si="21"/>
        <v>10</v>
      </c>
      <c r="N63" s="33">
        <f t="shared" si="0"/>
        <v>0</v>
      </c>
      <c r="O63" s="34">
        <f t="shared" si="1"/>
        <v>335.61015420612932</v>
      </c>
      <c r="P63" s="55">
        <v>58</v>
      </c>
      <c r="Q63" s="33">
        <f t="shared" si="15"/>
        <v>12.674999999999997</v>
      </c>
      <c r="R63" s="33">
        <f t="shared" si="22"/>
        <v>371.14999999999992</v>
      </c>
      <c r="S63" s="33">
        <f t="shared" si="23"/>
        <v>155.88299999999995</v>
      </c>
      <c r="T63" s="33">
        <f t="shared" si="2"/>
        <v>39.912510430253732</v>
      </c>
      <c r="U63" s="33">
        <f t="shared" si="16"/>
        <v>70</v>
      </c>
      <c r="V63" s="33">
        <f t="shared" si="3"/>
        <v>10</v>
      </c>
      <c r="W63" s="33">
        <v>0</v>
      </c>
      <c r="X63" s="33">
        <f t="shared" si="4"/>
        <v>634.34384733269178</v>
      </c>
      <c r="Y63" s="38">
        <f t="shared" si="5"/>
        <v>298.73369312656246</v>
      </c>
      <c r="AA63" s="71">
        <v>58</v>
      </c>
      <c r="AB63" s="33">
        <f t="shared" si="6"/>
        <v>0</v>
      </c>
      <c r="AC63" s="304">
        <f t="shared" si="39"/>
        <v>0</v>
      </c>
      <c r="AD63" s="100">
        <f t="shared" si="8"/>
        <v>0</v>
      </c>
      <c r="AE63" s="100">
        <f t="shared" si="9"/>
        <v>0</v>
      </c>
      <c r="AF63" s="193">
        <f t="shared" si="34"/>
        <v>22.265195844559166</v>
      </c>
      <c r="AG63" s="193">
        <f t="shared" si="35"/>
        <v>39.801244721678465</v>
      </c>
      <c r="AH63" s="193">
        <f t="shared" si="36"/>
        <v>1.3098548621051682</v>
      </c>
      <c r="AI63" s="198">
        <f t="shared" si="37"/>
        <v>63.3762954283428</v>
      </c>
      <c r="AK63" s="71">
        <v>58</v>
      </c>
      <c r="AL63" s="33"/>
      <c r="AM63" s="33"/>
      <c r="AN63" s="33"/>
      <c r="AO63" s="33"/>
      <c r="AP63" s="33"/>
      <c r="AQ63" s="193"/>
      <c r="AR63" s="193"/>
      <c r="AS63" s="193"/>
      <c r="AT63" s="193"/>
      <c r="AU63" s="33"/>
      <c r="AV63" s="33"/>
      <c r="AW63" s="33"/>
      <c r="AX63" s="33"/>
      <c r="AY63" s="76"/>
    </row>
    <row r="64" spans="2:51">
      <c r="B64" s="40"/>
      <c r="C64" s="151"/>
      <c r="D64" s="136"/>
      <c r="E64" s="140"/>
      <c r="F64" s="42"/>
      <c r="G64" s="51"/>
      <c r="I64" s="55">
        <v>59</v>
      </c>
      <c r="J64" s="33">
        <f t="shared" si="18"/>
        <v>18.690000000000008</v>
      </c>
      <c r="K64" s="33">
        <f t="shared" si="19"/>
        <v>6.1255634615903167</v>
      </c>
      <c r="L64" s="33">
        <f t="shared" si="20"/>
        <v>70</v>
      </c>
      <c r="M64" s="33">
        <f t="shared" si="21"/>
        <v>10</v>
      </c>
      <c r="N64" s="33">
        <f t="shared" si="0"/>
        <v>0</v>
      </c>
      <c r="O64" s="34">
        <f t="shared" si="1"/>
        <v>336.55377302893652</v>
      </c>
      <c r="P64" s="55">
        <v>59</v>
      </c>
      <c r="Q64" s="33">
        <f t="shared" si="15"/>
        <v>12.674999999999997</v>
      </c>
      <c r="R64" s="33">
        <f t="shared" si="22"/>
        <v>383.82499999999993</v>
      </c>
      <c r="S64" s="33">
        <f t="shared" si="23"/>
        <v>161.20649999999998</v>
      </c>
      <c r="T64" s="33">
        <f t="shared" si="2"/>
        <v>41.114525755319868</v>
      </c>
      <c r="U64" s="33">
        <f t="shared" si="16"/>
        <v>70</v>
      </c>
      <c r="V64" s="33">
        <f t="shared" si="3"/>
        <v>10</v>
      </c>
      <c r="W64" s="33">
        <v>0</v>
      </c>
      <c r="X64" s="33">
        <f t="shared" si="4"/>
        <v>645.70911985718203</v>
      </c>
      <c r="Y64" s="38">
        <f t="shared" si="5"/>
        <v>309.15534682824551</v>
      </c>
      <c r="AA64" s="71">
        <v>59</v>
      </c>
      <c r="AB64" s="33">
        <f t="shared" si="6"/>
        <v>0</v>
      </c>
      <c r="AC64" s="304">
        <f t="shared" si="39"/>
        <v>0</v>
      </c>
      <c r="AD64" s="100">
        <f t="shared" si="8"/>
        <v>0</v>
      </c>
      <c r="AE64" s="100">
        <f t="shared" si="9"/>
        <v>0</v>
      </c>
      <c r="AF64" s="193">
        <f t="shared" si="34"/>
        <v>21.828588934475871</v>
      </c>
      <c r="AG64" s="193">
        <f t="shared" si="35"/>
        <v>38.712877591707674</v>
      </c>
      <c r="AH64" s="193">
        <f t="shared" si="36"/>
        <v>0.92620725536473458</v>
      </c>
      <c r="AI64" s="198">
        <f t="shared" si="37"/>
        <v>61.467673781548278</v>
      </c>
      <c r="AK64" s="71">
        <v>59</v>
      </c>
      <c r="AL64" s="33"/>
      <c r="AM64" s="33"/>
      <c r="AN64" s="33"/>
      <c r="AO64" s="33"/>
      <c r="AP64" s="33"/>
      <c r="AQ64" s="193"/>
      <c r="AR64" s="193"/>
      <c r="AS64" s="193"/>
      <c r="AT64" s="193"/>
      <c r="AU64" s="33"/>
      <c r="AV64" s="33"/>
      <c r="AW64" s="33"/>
      <c r="AX64" s="33"/>
      <c r="AY64" s="76"/>
    </row>
    <row r="65" spans="2:51">
      <c r="B65" s="40"/>
      <c r="C65" s="151"/>
      <c r="D65" s="136"/>
      <c r="E65" s="140"/>
      <c r="F65" s="42"/>
      <c r="G65" s="51"/>
      <c r="I65" s="55">
        <v>60</v>
      </c>
      <c r="J65" s="33">
        <f t="shared" si="18"/>
        <v>19.11000000000001</v>
      </c>
      <c r="K65" s="33">
        <f t="shared" si="19"/>
        <v>6.2470359895716525</v>
      </c>
      <c r="L65" s="33">
        <f t="shared" si="20"/>
        <v>70</v>
      </c>
      <c r="M65" s="33">
        <f t="shared" si="21"/>
        <v>10</v>
      </c>
      <c r="N65" s="33">
        <f t="shared" si="0"/>
        <v>0</v>
      </c>
      <c r="O65" s="34">
        <f t="shared" si="1"/>
        <v>337.49683768183735</v>
      </c>
      <c r="P65" s="55">
        <v>60</v>
      </c>
      <c r="Q65" s="33">
        <f t="shared" si="15"/>
        <v>12.674999999999997</v>
      </c>
      <c r="R65" s="33">
        <f t="shared" si="22"/>
        <v>396.49999999999994</v>
      </c>
      <c r="S65" s="33">
        <f t="shared" si="23"/>
        <v>166.52999999999997</v>
      </c>
      <c r="T65" s="33">
        <f t="shared" si="2"/>
        <v>42.311928683446922</v>
      </c>
      <c r="U65" s="33">
        <f t="shared" si="16"/>
        <v>70</v>
      </c>
      <c r="V65" s="33">
        <f t="shared" si="3"/>
        <v>10</v>
      </c>
      <c r="W65" s="33">
        <v>0</v>
      </c>
      <c r="X65" s="33">
        <f t="shared" si="4"/>
        <v>657.06635912366994</v>
      </c>
      <c r="Y65" s="38">
        <f t="shared" si="5"/>
        <v>319.56952144183259</v>
      </c>
      <c r="AA65" s="71">
        <v>60</v>
      </c>
      <c r="AB65" s="33">
        <f t="shared" si="6"/>
        <v>0</v>
      </c>
      <c r="AC65" s="304">
        <f t="shared" si="39"/>
        <v>0</v>
      </c>
      <c r="AD65" s="100">
        <f t="shared" si="8"/>
        <v>0</v>
      </c>
      <c r="AE65" s="100">
        <f t="shared" si="9"/>
        <v>0</v>
      </c>
      <c r="AF65" s="193">
        <f t="shared" si="34"/>
        <v>21.400543619595389</v>
      </c>
      <c r="AG65" s="193">
        <f t="shared" si="35"/>
        <v>37.654271918140672</v>
      </c>
      <c r="AH65" s="193">
        <f t="shared" si="36"/>
        <v>0.65492743105258422</v>
      </c>
      <c r="AI65" s="198">
        <f t="shared" si="37"/>
        <v>59.709742968788646</v>
      </c>
      <c r="AK65" s="71">
        <v>60</v>
      </c>
      <c r="AL65" s="33"/>
      <c r="AM65" s="33"/>
      <c r="AN65" s="33"/>
      <c r="AO65" s="33"/>
      <c r="AP65" s="33"/>
      <c r="AQ65" s="193"/>
      <c r="AR65" s="193"/>
      <c r="AS65" s="193"/>
      <c r="AT65" s="193"/>
      <c r="AU65" s="33"/>
      <c r="AV65" s="33"/>
      <c r="AW65" s="33"/>
      <c r="AX65" s="33"/>
      <c r="AY65" s="76"/>
    </row>
    <row r="66" spans="2:51">
      <c r="B66" s="40"/>
      <c r="C66" s="151"/>
      <c r="D66" s="136"/>
      <c r="E66" s="140"/>
      <c r="F66" s="42"/>
      <c r="G66" s="51"/>
      <c r="I66" s="55">
        <v>61</v>
      </c>
      <c r="J66" s="33">
        <f t="shared" si="18"/>
        <v>19.530000000000012</v>
      </c>
      <c r="K66" s="33">
        <f t="shared" si="19"/>
        <v>6.3681981322039647</v>
      </c>
      <c r="L66" s="33">
        <f t="shared" si="20"/>
        <v>70</v>
      </c>
      <c r="M66" s="33">
        <f t="shared" si="21"/>
        <v>10</v>
      </c>
      <c r="N66" s="33">
        <f t="shared" si="0"/>
        <v>0</v>
      </c>
      <c r="O66" s="34">
        <f t="shared" si="1"/>
        <v>338.43936174692197</v>
      </c>
      <c r="P66" s="55">
        <v>61</v>
      </c>
      <c r="Q66" s="33">
        <f t="shared" si="15"/>
        <v>-28.599999999999966</v>
      </c>
      <c r="R66" s="33">
        <f t="shared" si="22"/>
        <v>367.9</v>
      </c>
      <c r="S66" s="33">
        <f t="shared" si="23"/>
        <v>154.51799999999997</v>
      </c>
      <c r="T66" s="33">
        <f t="shared" si="2"/>
        <v>39.603537347066549</v>
      </c>
      <c r="U66" s="33">
        <f t="shared" si="16"/>
        <v>70</v>
      </c>
      <c r="V66" s="33">
        <f t="shared" si="3"/>
        <v>10</v>
      </c>
      <c r="W66" s="33">
        <v>0</v>
      </c>
      <c r="X66" s="33">
        <f t="shared" si="4"/>
        <v>631.42834421280747</v>
      </c>
      <c r="Y66" s="38">
        <f t="shared" si="5"/>
        <v>292.9889824658855</v>
      </c>
      <c r="AA66" s="71">
        <v>61</v>
      </c>
      <c r="AB66" s="33">
        <f t="shared" si="6"/>
        <v>22</v>
      </c>
      <c r="AC66" s="304">
        <f t="shared" si="39"/>
        <v>0.4</v>
      </c>
      <c r="AD66" s="100">
        <f t="shared" si="8"/>
        <v>0.11199999999999999</v>
      </c>
      <c r="AE66" s="100">
        <f t="shared" si="9"/>
        <v>8.7999999999999981E-2</v>
      </c>
      <c r="AF66" s="193">
        <f t="shared" si="34"/>
        <v>27.354768907753751</v>
      </c>
      <c r="AG66" s="193">
        <f t="shared" si="35"/>
        <v>38.402272416172849</v>
      </c>
      <c r="AH66" s="193">
        <f t="shared" si="36"/>
        <v>1.6599365711765031</v>
      </c>
      <c r="AI66" s="198">
        <f t="shared" si="37"/>
        <v>67.416977895103102</v>
      </c>
      <c r="AK66" s="71">
        <v>61</v>
      </c>
      <c r="AL66" s="33"/>
      <c r="AM66" s="33"/>
      <c r="AN66" s="33"/>
      <c r="AO66" s="33"/>
      <c r="AP66" s="33"/>
      <c r="AQ66" s="193"/>
      <c r="AR66" s="193"/>
      <c r="AS66" s="193"/>
      <c r="AT66" s="193"/>
      <c r="AU66" s="33"/>
      <c r="AV66" s="33"/>
      <c r="AW66" s="33"/>
      <c r="AX66" s="33"/>
      <c r="AY66" s="76"/>
    </row>
    <row r="67" spans="2:51">
      <c r="B67" s="40"/>
      <c r="C67" s="151"/>
      <c r="D67" s="136"/>
      <c r="E67" s="140"/>
      <c r="F67" s="42"/>
      <c r="G67" s="51"/>
      <c r="I67" s="55">
        <v>62</v>
      </c>
      <c r="J67" s="33">
        <f t="shared" si="18"/>
        <v>19.950000000000014</v>
      </c>
      <c r="K67" s="33">
        <f t="shared" si="19"/>
        <v>6.4890573332452952</v>
      </c>
      <c r="L67" s="33">
        <f t="shared" si="20"/>
        <v>70</v>
      </c>
      <c r="M67" s="33">
        <f t="shared" si="21"/>
        <v>10</v>
      </c>
      <c r="N67" s="33">
        <f t="shared" si="0"/>
        <v>0</v>
      </c>
      <c r="O67" s="34">
        <f t="shared" si="1"/>
        <v>339.38135818873559</v>
      </c>
      <c r="P67" s="55">
        <v>62</v>
      </c>
      <c r="Q67" s="33">
        <f t="shared" si="15"/>
        <v>11.699999999999989</v>
      </c>
      <c r="R67" s="33">
        <f t="shared" si="22"/>
        <v>379.59999999999997</v>
      </c>
      <c r="S67" s="33">
        <f t="shared" si="23"/>
        <v>159.43199999999999</v>
      </c>
      <c r="T67" s="33">
        <f t="shared" si="2"/>
        <v>40.714374916553723</v>
      </c>
      <c r="U67" s="33">
        <f t="shared" si="16"/>
        <v>70</v>
      </c>
      <c r="V67" s="33">
        <f t="shared" si="3"/>
        <v>10</v>
      </c>
      <c r="W67" s="33">
        <v>0</v>
      </c>
      <c r="X67" s="33">
        <f t="shared" si="4"/>
        <v>641.92160297966439</v>
      </c>
      <c r="Y67" s="38">
        <f t="shared" si="5"/>
        <v>302.5402447909288</v>
      </c>
      <c r="AA67" s="71">
        <v>62</v>
      </c>
      <c r="AB67" s="33">
        <f t="shared" si="6"/>
        <v>0</v>
      </c>
      <c r="AC67" s="304">
        <f t="shared" si="39"/>
        <v>0</v>
      </c>
      <c r="AD67" s="100">
        <f t="shared" si="8"/>
        <v>0</v>
      </c>
      <c r="AE67" s="100">
        <f t="shared" si="9"/>
        <v>0</v>
      </c>
      <c r="AF67" s="193">
        <f t="shared" si="34"/>
        <v>26.818358574234249</v>
      </c>
      <c r="AG67" s="193">
        <f t="shared" si="35"/>
        <v>37.352160257464867</v>
      </c>
      <c r="AH67" s="193">
        <f t="shared" si="36"/>
        <v>1.1737524058184516</v>
      </c>
      <c r="AI67" s="198">
        <f t="shared" si="37"/>
        <v>65.34427123751756</v>
      </c>
      <c r="AK67" s="71">
        <v>62</v>
      </c>
      <c r="AL67" s="33"/>
      <c r="AM67" s="33"/>
      <c r="AN67" s="33"/>
      <c r="AO67" s="33"/>
      <c r="AP67" s="33"/>
      <c r="AQ67" s="193"/>
      <c r="AR67" s="193"/>
      <c r="AS67" s="193"/>
      <c r="AT67" s="193"/>
      <c r="AU67" s="33"/>
      <c r="AV67" s="33"/>
      <c r="AW67" s="33"/>
      <c r="AX67" s="33"/>
      <c r="AY67" s="76"/>
    </row>
    <row r="68" spans="2:51">
      <c r="B68" s="40"/>
      <c r="C68" s="151"/>
      <c r="D68" s="136"/>
      <c r="E68" s="140"/>
      <c r="F68" s="42"/>
      <c r="G68" s="51"/>
      <c r="I68" s="55">
        <v>63</v>
      </c>
      <c r="J68" s="33">
        <f t="shared" si="18"/>
        <v>20.370000000000015</v>
      </c>
      <c r="K68" s="33">
        <f t="shared" si="19"/>
        <v>6.609620705123719</v>
      </c>
      <c r="L68" s="33">
        <f t="shared" si="20"/>
        <v>70</v>
      </c>
      <c r="M68" s="33">
        <f t="shared" si="21"/>
        <v>10</v>
      </c>
      <c r="N68" s="33">
        <f t="shared" si="0"/>
        <v>0</v>
      </c>
      <c r="O68" s="34">
        <f t="shared" si="1"/>
        <v>340.32283939475718</v>
      </c>
      <c r="P68" s="55">
        <v>63</v>
      </c>
      <c r="Q68" s="33">
        <f t="shared" si="15"/>
        <v>11.699999999999989</v>
      </c>
      <c r="R68" s="33">
        <f t="shared" si="22"/>
        <v>391.29999999999995</v>
      </c>
      <c r="S68" s="33">
        <f t="shared" si="23"/>
        <v>164.34599999999998</v>
      </c>
      <c r="T68" s="33">
        <f t="shared" si="2"/>
        <v>41.821233640915146</v>
      </c>
      <c r="U68" s="33">
        <f t="shared" si="16"/>
        <v>70</v>
      </c>
      <c r="V68" s="33">
        <f t="shared" si="3"/>
        <v>10</v>
      </c>
      <c r="W68" s="33">
        <v>0</v>
      </c>
      <c r="X68" s="33">
        <f t="shared" si="4"/>
        <v>652.40793192459387</v>
      </c>
      <c r="Y68" s="38">
        <f t="shared" si="5"/>
        <v>312.08509252983669</v>
      </c>
      <c r="AA68" s="71">
        <v>63</v>
      </c>
      <c r="AB68" s="33">
        <f t="shared" si="6"/>
        <v>0</v>
      </c>
      <c r="AC68" s="304">
        <f t="shared" si="39"/>
        <v>0</v>
      </c>
      <c r="AD68" s="100">
        <f t="shared" si="8"/>
        <v>0</v>
      </c>
      <c r="AE68" s="100">
        <f t="shared" si="9"/>
        <v>0</v>
      </c>
      <c r="AF68" s="193">
        <f t="shared" si="34"/>
        <v>26.29246692017707</v>
      </c>
      <c r="AG68" s="193">
        <f t="shared" si="35"/>
        <v>36.330763470959752</v>
      </c>
      <c r="AH68" s="193">
        <f t="shared" si="36"/>
        <v>0.82996828558825164</v>
      </c>
      <c r="AI68" s="198">
        <f t="shared" si="37"/>
        <v>63.453198676725073</v>
      </c>
      <c r="AK68" s="71">
        <v>63</v>
      </c>
      <c r="AL68" s="33"/>
      <c r="AM68" s="33"/>
      <c r="AN68" s="33"/>
      <c r="AO68" s="33"/>
      <c r="AP68" s="33"/>
      <c r="AQ68" s="193"/>
      <c r="AR68" s="193"/>
      <c r="AS68" s="193"/>
      <c r="AT68" s="193"/>
      <c r="AU68" s="33"/>
      <c r="AV68" s="33"/>
      <c r="AW68" s="33"/>
      <c r="AX68" s="33"/>
      <c r="AY68" s="76"/>
    </row>
    <row r="69" spans="2:51">
      <c r="B69" s="40"/>
      <c r="C69" s="151"/>
      <c r="D69" s="136"/>
      <c r="E69" s="140"/>
      <c r="F69" s="42"/>
      <c r="G69" s="51"/>
      <c r="I69" s="55">
        <v>64</v>
      </c>
      <c r="J69" s="33">
        <f t="shared" si="18"/>
        <v>20.790000000000017</v>
      </c>
      <c r="K69" s="33">
        <f t="shared" si="19"/>
        <v>6.7298950502076895</v>
      </c>
      <c r="L69" s="33">
        <f t="shared" si="20"/>
        <v>70</v>
      </c>
      <c r="M69" s="33">
        <f t="shared" si="21"/>
        <v>10</v>
      </c>
      <c r="N69" s="33">
        <f t="shared" ref="N69:N132" si="42">IF(P70&lt;=$F$18,0,)</f>
        <v>0</v>
      </c>
      <c r="O69" s="34">
        <f t="shared" ref="O69:O132" si="43">((J69+K69)*0.475+L69+M69+N69)*44/12</f>
        <v>341.26381721244508</v>
      </c>
      <c r="P69" s="55">
        <v>64</v>
      </c>
      <c r="Q69" s="33">
        <f t="shared" si="15"/>
        <v>11.699999999999989</v>
      </c>
      <c r="R69" s="33">
        <f t="shared" si="22"/>
        <v>402.99999999999994</v>
      </c>
      <c r="S69" s="33">
        <f t="shared" si="23"/>
        <v>169.25999999999996</v>
      </c>
      <c r="T69" s="33">
        <f t="shared" ref="T69:T132" si="44">IF(S69=0,0,EXP(-1.0587+0.8836*LN(S69)+0.284))</f>
        <v>42.924246146122272</v>
      </c>
      <c r="U69" s="33">
        <f t="shared" si="16"/>
        <v>70</v>
      </c>
      <c r="V69" s="33">
        <f t="shared" ref="V69:V132" si="45">IF(P69&lt;=$F$18,IF(P69&lt;=30,P69*($F$16-$F$6)/30,$F$16-$F$6),)</f>
        <v>10</v>
      </c>
      <c r="W69" s="33">
        <v>0</v>
      </c>
      <c r="X69" s="33">
        <f t="shared" ref="X69:X132" si="46">((S69+T69)*0.475+U69+V69+W69)*44/12</f>
        <v>662.88756203782953</v>
      </c>
      <c r="Y69" s="38">
        <f t="shared" ref="Y69:Y132" si="47">IF(P69&lt;=$F$18,X69-O69,)</f>
        <v>321.62374482538445</v>
      </c>
      <c r="AA69" s="71">
        <v>64</v>
      </c>
      <c r="AB69" s="33">
        <f t="shared" ref="AB69:AB132" si="48">IF(AA69&lt;=$F$18,IFERROR(VLOOKUP($AA69,$B$82:$G$94,2,FALSE),0),)</f>
        <v>0</v>
      </c>
      <c r="AC69" s="304">
        <f t="shared" si="39"/>
        <v>0</v>
      </c>
      <c r="AD69" s="100">
        <f t="shared" ref="AD69:AD132" si="49">IF(AA69&lt;=$F$18,IFERROR(VLOOKUP($AA69,$B$82:$G$94,4,FALSE),0),)</f>
        <v>0</v>
      </c>
      <c r="AE69" s="100">
        <f t="shared" ref="AE69:AE132" si="50">IF(AA69&lt;=$F$18,IFERROR(VLOOKUP($AA69,$B$82:$G$94,5,FALSE),0),)</f>
        <v>0</v>
      </c>
      <c r="AF69" s="193">
        <f t="shared" si="34"/>
        <v>25.776887680693715</v>
      </c>
      <c r="AG69" s="193">
        <f t="shared" si="35"/>
        <v>35.337296833294545</v>
      </c>
      <c r="AH69" s="193">
        <f t="shared" si="36"/>
        <v>0.58687620290922593</v>
      </c>
      <c r="AI69" s="198">
        <f t="shared" si="37"/>
        <v>61.701060716897487</v>
      </c>
      <c r="AK69" s="71">
        <v>64</v>
      </c>
      <c r="AL69" s="33"/>
      <c r="AM69" s="33"/>
      <c r="AN69" s="33"/>
      <c r="AO69" s="33"/>
      <c r="AP69" s="33"/>
      <c r="AQ69" s="193"/>
      <c r="AR69" s="193"/>
      <c r="AS69" s="193"/>
      <c r="AT69" s="193"/>
      <c r="AU69" s="33"/>
      <c r="AV69" s="33"/>
      <c r="AW69" s="33"/>
      <c r="AX69" s="33"/>
      <c r="AY69" s="76"/>
    </row>
    <row r="70" spans="2:51">
      <c r="B70" s="40"/>
      <c r="C70" s="151"/>
      <c r="D70" s="136"/>
      <c r="E70" s="140"/>
      <c r="F70" s="42"/>
      <c r="G70" s="51"/>
      <c r="I70" s="55">
        <v>65</v>
      </c>
      <c r="J70" s="33">
        <f t="shared" si="18"/>
        <v>21.210000000000019</v>
      </c>
      <c r="K70" s="33">
        <f t="shared" si="19"/>
        <v>6.8498868803090076</v>
      </c>
      <c r="L70" s="33">
        <f t="shared" si="20"/>
        <v>70</v>
      </c>
      <c r="M70" s="33">
        <f t="shared" si="21"/>
        <v>10</v>
      </c>
      <c r="N70" s="33">
        <f t="shared" si="42"/>
        <v>0</v>
      </c>
      <c r="O70" s="34">
        <f t="shared" si="43"/>
        <v>342.20430298320485</v>
      </c>
      <c r="P70" s="55">
        <v>65</v>
      </c>
      <c r="Q70" s="33">
        <f t="shared" ref="Q70:Q133" si="51">IF(P70&lt;=$F$18,LOOKUP(P70-1,$B$25:$B$78,$G$25:$G$78),)</f>
        <v>11.699999999999989</v>
      </c>
      <c r="R70" s="33">
        <f t="shared" si="22"/>
        <v>414.69999999999993</v>
      </c>
      <c r="S70" s="33">
        <f t="shared" si="23"/>
        <v>174.17399999999998</v>
      </c>
      <c r="T70" s="33">
        <f t="shared" si="44"/>
        <v>44.023536919386274</v>
      </c>
      <c r="U70" s="33">
        <f t="shared" ref="U70:U133" si="52">IF(P70&lt;=$F$18,$F$5+($F$15-$F$5)*(1-EXP(-0.0175*P70)),)</f>
        <v>70</v>
      </c>
      <c r="V70" s="33">
        <f t="shared" si="45"/>
        <v>10</v>
      </c>
      <c r="W70" s="33">
        <v>0</v>
      </c>
      <c r="X70" s="33">
        <f t="shared" si="46"/>
        <v>673.36071013459775</v>
      </c>
      <c r="Y70" s="38">
        <f t="shared" si="47"/>
        <v>331.1564071513929</v>
      </c>
      <c r="AA70" s="71">
        <v>65</v>
      </c>
      <c r="AB70" s="33">
        <f t="shared" si="48"/>
        <v>0</v>
      </c>
      <c r="AC70" s="304">
        <f t="shared" si="39"/>
        <v>0</v>
      </c>
      <c r="AD70" s="100">
        <f t="shared" si="49"/>
        <v>0</v>
      </c>
      <c r="AE70" s="100">
        <f t="shared" si="50"/>
        <v>0</v>
      </c>
      <c r="AF70" s="193">
        <f t="shared" si="34"/>
        <v>25.271418635624343</v>
      </c>
      <c r="AG70" s="193">
        <f t="shared" si="35"/>
        <v>34.370996593080427</v>
      </c>
      <c r="AH70" s="193">
        <f t="shared" si="36"/>
        <v>0.41498414279412593</v>
      </c>
      <c r="AI70" s="198">
        <f t="shared" si="37"/>
        <v>60.057399371498896</v>
      </c>
      <c r="AK70" s="71">
        <v>65</v>
      </c>
      <c r="AL70" s="33"/>
      <c r="AM70" s="33"/>
      <c r="AN70" s="33"/>
      <c r="AO70" s="33"/>
      <c r="AP70" s="33"/>
      <c r="AQ70" s="193"/>
      <c r="AR70" s="193"/>
      <c r="AS70" s="193"/>
      <c r="AT70" s="193"/>
      <c r="AU70" s="33"/>
      <c r="AV70" s="33"/>
      <c r="AW70" s="33"/>
      <c r="AX70" s="33"/>
      <c r="AY70" s="76"/>
    </row>
    <row r="71" spans="2:51">
      <c r="B71" s="40"/>
      <c r="C71" s="151"/>
      <c r="D71" s="136"/>
      <c r="E71" s="140"/>
      <c r="F71" s="42"/>
      <c r="G71" s="51"/>
      <c r="I71" s="55">
        <v>66</v>
      </c>
      <c r="J71" s="33">
        <f t="shared" ref="J71:J134" si="53">IF($I71&lt;=$F$10,$F$11*$F$13+J70,)</f>
        <v>21.63000000000002</v>
      </c>
      <c r="K71" s="33">
        <f t="shared" ref="K71:K134" si="54">IF(J71=0,0,EXP(-1.0587+0.8836*LN(J71)+0.284))</f>
        <v>6.9696024345973786</v>
      </c>
      <c r="L71" s="33">
        <f t="shared" ref="L71:L134" si="55">IF(I71&lt;=$F$10,$F$5+($F$8-$F$5)*(1-EXP(-0.0175*I71)),)</f>
        <v>70</v>
      </c>
      <c r="M71" s="33">
        <f t="shared" ref="M71:M134" si="56">IF(I71&lt;=$F$10,IF(I71&lt;=30,I71*($F$9-$F$6)/30,$F$9-$F$6),)</f>
        <v>10</v>
      </c>
      <c r="N71" s="33">
        <f t="shared" si="42"/>
        <v>0</v>
      </c>
      <c r="O71" s="34">
        <f t="shared" si="43"/>
        <v>343.14430757359042</v>
      </c>
      <c r="P71" s="55">
        <v>66</v>
      </c>
      <c r="Q71" s="33">
        <f t="shared" si="51"/>
        <v>-27.299999999999955</v>
      </c>
      <c r="R71" s="33">
        <f t="shared" ref="R71:R134" si="57">IF(P71&lt;=$F$18,Q71+R70,)</f>
        <v>387.4</v>
      </c>
      <c r="S71" s="33">
        <f t="shared" ref="S71:S134" si="58">$F$19*R71</f>
        <v>162.708</v>
      </c>
      <c r="T71" s="33">
        <f t="shared" si="44"/>
        <v>41.452714465110219</v>
      </c>
      <c r="U71" s="33">
        <f t="shared" si="52"/>
        <v>70</v>
      </c>
      <c r="V71" s="33">
        <f t="shared" si="45"/>
        <v>10</v>
      </c>
      <c r="W71" s="33">
        <v>0</v>
      </c>
      <c r="X71" s="33">
        <f t="shared" si="46"/>
        <v>648.91324436006698</v>
      </c>
      <c r="Y71" s="38">
        <f t="shared" si="47"/>
        <v>305.76893678647656</v>
      </c>
      <c r="AA71" s="71">
        <v>66</v>
      </c>
      <c r="AB71" s="33">
        <f t="shared" si="48"/>
        <v>21</v>
      </c>
      <c r="AC71" s="304">
        <f t="shared" si="39"/>
        <v>0.45</v>
      </c>
      <c r="AD71" s="100">
        <f t="shared" si="49"/>
        <v>5.5999999999999994E-2</v>
      </c>
      <c r="AE71" s="100">
        <f t="shared" si="50"/>
        <v>4.3999999999999991E-2</v>
      </c>
      <c r="AF71" s="193">
        <f t="shared" si="34"/>
        <v>31.620536150954504</v>
      </c>
      <c r="AG71" s="193">
        <f t="shared" si="35"/>
        <v>34.279547825102817</v>
      </c>
      <c r="AH71" s="193">
        <f t="shared" si="36"/>
        <v>0.86465382448590489</v>
      </c>
      <c r="AI71" s="198">
        <f t="shared" si="37"/>
        <v>66.764737800543216</v>
      </c>
      <c r="AK71" s="71">
        <v>66</v>
      </c>
      <c r="AL71" s="33"/>
      <c r="AM71" s="33"/>
      <c r="AN71" s="33"/>
      <c r="AO71" s="33"/>
      <c r="AP71" s="33"/>
      <c r="AQ71" s="193"/>
      <c r="AR71" s="193"/>
      <c r="AS71" s="193"/>
      <c r="AT71" s="193"/>
      <c r="AU71" s="33"/>
      <c r="AV71" s="33"/>
      <c r="AW71" s="33"/>
      <c r="AX71" s="33"/>
      <c r="AY71" s="76"/>
    </row>
    <row r="72" spans="2:51">
      <c r="B72" s="40"/>
      <c r="C72" s="151"/>
      <c r="D72" s="136"/>
      <c r="E72" s="140"/>
      <c r="F72" s="42"/>
      <c r="G72" s="51"/>
      <c r="I72" s="55">
        <v>67</v>
      </c>
      <c r="J72" s="33">
        <f t="shared" si="53"/>
        <v>22.050000000000022</v>
      </c>
      <c r="K72" s="33">
        <f t="shared" si="54"/>
        <v>7.0890476960841928</v>
      </c>
      <c r="L72" s="33">
        <f t="shared" si="55"/>
        <v>70</v>
      </c>
      <c r="M72" s="33">
        <f t="shared" si="56"/>
        <v>10</v>
      </c>
      <c r="N72" s="33">
        <f t="shared" si="42"/>
        <v>0</v>
      </c>
      <c r="O72" s="34">
        <f t="shared" si="43"/>
        <v>344.08384140401336</v>
      </c>
      <c r="P72" s="55">
        <v>67</v>
      </c>
      <c r="Q72" s="33">
        <f t="shared" si="51"/>
        <v>11.375</v>
      </c>
      <c r="R72" s="33">
        <f t="shared" si="57"/>
        <v>398.77499999999998</v>
      </c>
      <c r="S72" s="33">
        <f t="shared" si="58"/>
        <v>167.48549999999997</v>
      </c>
      <c r="T72" s="33">
        <f t="shared" si="44"/>
        <v>42.526371744188914</v>
      </c>
      <c r="U72" s="33">
        <f t="shared" si="52"/>
        <v>70</v>
      </c>
      <c r="V72" s="33">
        <f t="shared" si="45"/>
        <v>10</v>
      </c>
      <c r="W72" s="33">
        <v>0</v>
      </c>
      <c r="X72" s="33">
        <f t="shared" si="46"/>
        <v>659.10400995446219</v>
      </c>
      <c r="Y72" s="38">
        <f t="shared" si="47"/>
        <v>315.02016855044883</v>
      </c>
      <c r="AA72" s="71">
        <v>67</v>
      </c>
      <c r="AB72" s="33">
        <f t="shared" si="48"/>
        <v>0</v>
      </c>
      <c r="AC72" s="304">
        <f t="shared" si="39"/>
        <v>0</v>
      </c>
      <c r="AD72" s="100">
        <f t="shared" si="49"/>
        <v>0</v>
      </c>
      <c r="AE72" s="100">
        <f t="shared" si="50"/>
        <v>0</v>
      </c>
      <c r="AF72" s="193">
        <f t="shared" si="34"/>
        <v>31.000476723656941</v>
      </c>
      <c r="AG72" s="193">
        <f t="shared" si="35"/>
        <v>33.342171787142306</v>
      </c>
      <c r="AH72" s="193">
        <f t="shared" si="36"/>
        <v>0.61140258267286629</v>
      </c>
      <c r="AI72" s="198">
        <f t="shared" si="37"/>
        <v>64.954051093472117</v>
      </c>
      <c r="AK72" s="71">
        <v>67</v>
      </c>
      <c r="AL72" s="33"/>
      <c r="AM72" s="33"/>
      <c r="AN72" s="33"/>
      <c r="AO72" s="33"/>
      <c r="AP72" s="33"/>
      <c r="AQ72" s="193"/>
      <c r="AR72" s="193"/>
      <c r="AS72" s="193"/>
      <c r="AT72" s="193"/>
      <c r="AU72" s="33"/>
      <c r="AV72" s="33"/>
      <c r="AW72" s="33"/>
      <c r="AX72" s="33"/>
      <c r="AY72" s="76"/>
    </row>
    <row r="73" spans="2:51">
      <c r="B73" s="40"/>
      <c r="C73" s="151"/>
      <c r="D73" s="136"/>
      <c r="E73" s="140"/>
      <c r="F73" s="42"/>
      <c r="G73" s="51"/>
      <c r="I73" s="55">
        <v>68</v>
      </c>
      <c r="J73" s="33">
        <f t="shared" si="53"/>
        <v>22.470000000000024</v>
      </c>
      <c r="K73" s="33">
        <f t="shared" si="54"/>
        <v>7.208228406814932</v>
      </c>
      <c r="L73" s="33">
        <f t="shared" si="55"/>
        <v>70</v>
      </c>
      <c r="M73" s="33">
        <f t="shared" si="56"/>
        <v>10</v>
      </c>
      <c r="N73" s="33">
        <f t="shared" si="42"/>
        <v>0</v>
      </c>
      <c r="O73" s="34">
        <f t="shared" si="43"/>
        <v>345.0229144752027</v>
      </c>
      <c r="P73" s="55">
        <v>68</v>
      </c>
      <c r="Q73" s="33">
        <f t="shared" si="51"/>
        <v>11.375</v>
      </c>
      <c r="R73" s="33">
        <f t="shared" si="57"/>
        <v>410.15</v>
      </c>
      <c r="S73" s="33">
        <f t="shared" si="58"/>
        <v>172.26299999999998</v>
      </c>
      <c r="T73" s="33">
        <f t="shared" si="44"/>
        <v>43.59646956768426</v>
      </c>
      <c r="U73" s="33">
        <f t="shared" si="52"/>
        <v>70</v>
      </c>
      <c r="V73" s="33">
        <f t="shared" si="45"/>
        <v>10</v>
      </c>
      <c r="W73" s="33">
        <v>0</v>
      </c>
      <c r="X73" s="33">
        <f t="shared" si="46"/>
        <v>669.2885761637167</v>
      </c>
      <c r="Y73" s="38">
        <f t="shared" si="47"/>
        <v>324.265661688514</v>
      </c>
      <c r="AA73" s="71">
        <v>68</v>
      </c>
      <c r="AB73" s="33">
        <f t="shared" si="48"/>
        <v>0</v>
      </c>
      <c r="AC73" s="304">
        <f t="shared" si="39"/>
        <v>0</v>
      </c>
      <c r="AD73" s="100">
        <f t="shared" si="49"/>
        <v>0</v>
      </c>
      <c r="AE73" s="100">
        <f t="shared" si="50"/>
        <v>0</v>
      </c>
      <c r="AF73" s="193">
        <f t="shared" si="34"/>
        <v>30.392576283529777</v>
      </c>
      <c r="AG73" s="193">
        <f t="shared" si="35"/>
        <v>32.430428346234287</v>
      </c>
      <c r="AH73" s="193">
        <f t="shared" si="36"/>
        <v>0.4323269122429525</v>
      </c>
      <c r="AI73" s="198">
        <f t="shared" si="37"/>
        <v>63.255331542007013</v>
      </c>
      <c r="AK73" s="71">
        <v>68</v>
      </c>
      <c r="AL73" s="33"/>
      <c r="AM73" s="33"/>
      <c r="AN73" s="33"/>
      <c r="AO73" s="33"/>
      <c r="AP73" s="33"/>
      <c r="AQ73" s="193"/>
      <c r="AR73" s="193"/>
      <c r="AS73" s="193"/>
      <c r="AT73" s="193"/>
      <c r="AU73" s="33"/>
      <c r="AV73" s="33"/>
      <c r="AW73" s="33"/>
      <c r="AX73" s="33"/>
      <c r="AY73" s="76"/>
    </row>
    <row r="74" spans="2:51">
      <c r="B74" s="40"/>
      <c r="C74" s="151"/>
      <c r="D74" s="136"/>
      <c r="E74" s="140"/>
      <c r="F74" s="42"/>
      <c r="G74" s="51"/>
      <c r="I74" s="55">
        <v>69</v>
      </c>
      <c r="J74" s="33">
        <f t="shared" si="53"/>
        <v>22.890000000000025</v>
      </c>
      <c r="K74" s="33">
        <f t="shared" si="54"/>
        <v>7.3271500818935387</v>
      </c>
      <c r="L74" s="33">
        <f t="shared" si="55"/>
        <v>70</v>
      </c>
      <c r="M74" s="33">
        <f t="shared" si="56"/>
        <v>10</v>
      </c>
      <c r="N74" s="33">
        <f t="shared" si="42"/>
        <v>0</v>
      </c>
      <c r="O74" s="34">
        <f t="shared" si="43"/>
        <v>345.96153639263122</v>
      </c>
      <c r="P74" s="55">
        <v>69</v>
      </c>
      <c r="Q74" s="33">
        <f t="shared" si="51"/>
        <v>11.375</v>
      </c>
      <c r="R74" s="33">
        <f t="shared" si="57"/>
        <v>421.52499999999998</v>
      </c>
      <c r="S74" s="33">
        <f t="shared" si="58"/>
        <v>177.04049999999998</v>
      </c>
      <c r="T74" s="33">
        <f t="shared" si="44"/>
        <v>44.66311799422013</v>
      </c>
      <c r="U74" s="33">
        <f t="shared" si="52"/>
        <v>70</v>
      </c>
      <c r="V74" s="33">
        <f t="shared" si="45"/>
        <v>10</v>
      </c>
      <c r="W74" s="33">
        <v>0</v>
      </c>
      <c r="X74" s="33">
        <f t="shared" si="46"/>
        <v>679.46713467326663</v>
      </c>
      <c r="Y74" s="38">
        <f t="shared" si="47"/>
        <v>333.50559828063541</v>
      </c>
      <c r="AA74" s="71">
        <v>69</v>
      </c>
      <c r="AB74" s="33">
        <f t="shared" si="48"/>
        <v>0</v>
      </c>
      <c r="AC74" s="304">
        <f t="shared" si="39"/>
        <v>0</v>
      </c>
      <c r="AD74" s="100">
        <f t="shared" si="49"/>
        <v>0</v>
      </c>
      <c r="AE74" s="100">
        <f t="shared" si="50"/>
        <v>0</v>
      </c>
      <c r="AF74" s="193">
        <f t="shared" si="34"/>
        <v>29.796596400250852</v>
      </c>
      <c r="AG74" s="193">
        <f t="shared" si="35"/>
        <v>31.543616577664405</v>
      </c>
      <c r="AH74" s="193">
        <f t="shared" si="36"/>
        <v>0.30570129133643315</v>
      </c>
      <c r="AI74" s="198">
        <f t="shared" si="37"/>
        <v>61.645914269251691</v>
      </c>
      <c r="AK74" s="71">
        <v>69</v>
      </c>
      <c r="AL74" s="33"/>
      <c r="AM74" s="33"/>
      <c r="AN74" s="33"/>
      <c r="AO74" s="33"/>
      <c r="AP74" s="33"/>
      <c r="AQ74" s="193"/>
      <c r="AR74" s="193"/>
      <c r="AS74" s="193"/>
      <c r="AT74" s="193"/>
      <c r="AU74" s="33"/>
      <c r="AV74" s="33"/>
      <c r="AW74" s="33"/>
      <c r="AX74" s="33"/>
      <c r="AY74" s="76"/>
    </row>
    <row r="75" spans="2:51">
      <c r="B75" s="40"/>
      <c r="C75" s="151"/>
      <c r="D75" s="136"/>
      <c r="E75" s="140"/>
      <c r="F75" s="42"/>
      <c r="G75" s="51"/>
      <c r="I75" s="55">
        <v>70</v>
      </c>
      <c r="J75" s="33">
        <f t="shared" si="53"/>
        <v>23.310000000000027</v>
      </c>
      <c r="K75" s="33">
        <f t="shared" si="54"/>
        <v>7.4458180224483508</v>
      </c>
      <c r="L75" s="33">
        <f t="shared" si="55"/>
        <v>70</v>
      </c>
      <c r="M75" s="33">
        <f t="shared" si="56"/>
        <v>10</v>
      </c>
      <c r="N75" s="33">
        <f t="shared" si="42"/>
        <v>0</v>
      </c>
      <c r="O75" s="34">
        <f t="shared" si="43"/>
        <v>346.89971638909759</v>
      </c>
      <c r="P75" s="55">
        <v>70</v>
      </c>
      <c r="Q75" s="33">
        <f t="shared" si="51"/>
        <v>11.375</v>
      </c>
      <c r="R75" s="33">
        <f t="shared" si="57"/>
        <v>432.9</v>
      </c>
      <c r="S75" s="33">
        <f t="shared" si="58"/>
        <v>181.81799999999998</v>
      </c>
      <c r="T75" s="33">
        <f t="shared" si="44"/>
        <v>45.726420804334296</v>
      </c>
      <c r="U75" s="33">
        <f t="shared" si="52"/>
        <v>70</v>
      </c>
      <c r="V75" s="33">
        <f t="shared" si="45"/>
        <v>10</v>
      </c>
      <c r="W75" s="33">
        <v>0</v>
      </c>
      <c r="X75" s="33">
        <f t="shared" si="46"/>
        <v>689.63986623421545</v>
      </c>
      <c r="Y75" s="38">
        <f t="shared" si="47"/>
        <v>342.74014984511786</v>
      </c>
      <c r="AA75" s="71">
        <v>70</v>
      </c>
      <c r="AB75" s="33">
        <f t="shared" si="48"/>
        <v>0</v>
      </c>
      <c r="AC75" s="304">
        <f t="shared" si="39"/>
        <v>0</v>
      </c>
      <c r="AD75" s="100">
        <f t="shared" si="49"/>
        <v>0</v>
      </c>
      <c r="AE75" s="100">
        <f t="shared" si="50"/>
        <v>0</v>
      </c>
      <c r="AF75" s="193">
        <f t="shared" si="34"/>
        <v>29.212303318971191</v>
      </c>
      <c r="AG75" s="193">
        <f t="shared" si="35"/>
        <v>30.681054723541472</v>
      </c>
      <c r="AH75" s="193">
        <f t="shared" si="36"/>
        <v>0.21616345612147625</v>
      </c>
      <c r="AI75" s="198">
        <f t="shared" si="37"/>
        <v>60.109521498634138</v>
      </c>
      <c r="AK75" s="71">
        <v>70</v>
      </c>
      <c r="AL75" s="33"/>
      <c r="AM75" s="33"/>
      <c r="AN75" s="33"/>
      <c r="AO75" s="33"/>
      <c r="AP75" s="33"/>
      <c r="AQ75" s="193"/>
      <c r="AR75" s="193"/>
      <c r="AS75" s="193"/>
      <c r="AT75" s="193"/>
      <c r="AU75" s="33"/>
      <c r="AV75" s="33"/>
      <c r="AW75" s="33"/>
      <c r="AX75" s="33"/>
      <c r="AY75" s="76"/>
    </row>
    <row r="76" spans="2:51">
      <c r="B76" s="40"/>
      <c r="C76" s="151"/>
      <c r="D76" s="136"/>
      <c r="E76" s="140"/>
      <c r="F76" s="42"/>
      <c r="G76" s="51"/>
      <c r="I76" s="55">
        <v>71</v>
      </c>
      <c r="J76" s="33">
        <f t="shared" si="53"/>
        <v>23.730000000000029</v>
      </c>
      <c r="K76" s="33">
        <f t="shared" si="54"/>
        <v>7.5642373276371462</v>
      </c>
      <c r="L76" s="33">
        <f t="shared" si="55"/>
        <v>70</v>
      </c>
      <c r="M76" s="33">
        <f t="shared" si="56"/>
        <v>10</v>
      </c>
      <c r="N76" s="33">
        <f t="shared" si="42"/>
        <v>0</v>
      </c>
      <c r="O76" s="34">
        <f t="shared" si="43"/>
        <v>347.83746334563472</v>
      </c>
      <c r="P76" s="55">
        <v>71</v>
      </c>
      <c r="Q76" s="33">
        <f t="shared" si="51"/>
        <v>-27.300000000000011</v>
      </c>
      <c r="R76" s="33">
        <f t="shared" si="57"/>
        <v>405.59999999999997</v>
      </c>
      <c r="S76" s="33">
        <f t="shared" si="58"/>
        <v>170.35199999999998</v>
      </c>
      <c r="T76" s="33">
        <f t="shared" si="44"/>
        <v>43.168850382694451</v>
      </c>
      <c r="U76" s="33">
        <f t="shared" si="52"/>
        <v>70</v>
      </c>
      <c r="V76" s="33">
        <f t="shared" si="45"/>
        <v>10</v>
      </c>
      <c r="W76" s="33">
        <v>0</v>
      </c>
      <c r="X76" s="33">
        <f t="shared" si="46"/>
        <v>665.2154810831928</v>
      </c>
      <c r="Y76" s="38">
        <f t="shared" si="47"/>
        <v>317.37801773755808</v>
      </c>
      <c r="AA76" s="71">
        <v>71</v>
      </c>
      <c r="AB76" s="33">
        <f t="shared" si="48"/>
        <v>0</v>
      </c>
      <c r="AC76" s="304">
        <f t="shared" si="39"/>
        <v>0</v>
      </c>
      <c r="AD76" s="100">
        <f t="shared" si="49"/>
        <v>0</v>
      </c>
      <c r="AE76" s="100">
        <f t="shared" si="50"/>
        <v>0</v>
      </c>
      <c r="AF76" s="193">
        <f t="shared" si="34"/>
        <v>28.639467868631833</v>
      </c>
      <c r="AG76" s="193">
        <f t="shared" si="35"/>
        <v>29.842079668679684</v>
      </c>
      <c r="AH76" s="193">
        <f t="shared" si="36"/>
        <v>0.15285064566821657</v>
      </c>
      <c r="AI76" s="198">
        <f t="shared" si="37"/>
        <v>58.63439818297973</v>
      </c>
      <c r="AK76" s="71">
        <v>71</v>
      </c>
      <c r="AL76" s="33"/>
      <c r="AM76" s="33"/>
      <c r="AN76" s="33"/>
      <c r="AO76" s="33"/>
      <c r="AP76" s="33"/>
      <c r="AQ76" s="193"/>
      <c r="AR76" s="193"/>
      <c r="AS76" s="193"/>
      <c r="AT76" s="193"/>
      <c r="AU76" s="33"/>
      <c r="AV76" s="33"/>
      <c r="AW76" s="33"/>
      <c r="AX76" s="33"/>
      <c r="AY76" s="76"/>
    </row>
    <row r="77" spans="2:51">
      <c r="B77" s="40"/>
      <c r="C77" s="151"/>
      <c r="D77" s="136"/>
      <c r="E77" s="140"/>
      <c r="F77" s="42"/>
      <c r="G77" s="51"/>
      <c r="I77" s="55">
        <v>72</v>
      </c>
      <c r="J77" s="33">
        <f t="shared" si="53"/>
        <v>24.150000000000031</v>
      </c>
      <c r="K77" s="33">
        <f t="shared" si="54"/>
        <v>7.6824129057781763</v>
      </c>
      <c r="L77" s="33">
        <f t="shared" si="55"/>
        <v>70</v>
      </c>
      <c r="M77" s="33">
        <f t="shared" si="56"/>
        <v>10</v>
      </c>
      <c r="N77" s="33">
        <f t="shared" si="42"/>
        <v>0</v>
      </c>
      <c r="O77" s="34">
        <f t="shared" si="43"/>
        <v>348.77478581089707</v>
      </c>
      <c r="P77" s="55">
        <v>72</v>
      </c>
      <c r="Q77" s="33">
        <f t="shared" si="51"/>
        <v>10.399999999999991</v>
      </c>
      <c r="R77" s="33">
        <f t="shared" si="57"/>
        <v>415.99999999999994</v>
      </c>
      <c r="S77" s="33">
        <f t="shared" si="58"/>
        <v>174.71999999999997</v>
      </c>
      <c r="T77" s="33">
        <f t="shared" si="44"/>
        <v>44.145455754865246</v>
      </c>
      <c r="U77" s="33">
        <f t="shared" si="52"/>
        <v>70</v>
      </c>
      <c r="V77" s="33">
        <f t="shared" si="45"/>
        <v>10</v>
      </c>
      <c r="W77" s="33">
        <v>0</v>
      </c>
      <c r="X77" s="33">
        <f t="shared" si="46"/>
        <v>674.52400210639018</v>
      </c>
      <c r="Y77" s="38">
        <f t="shared" si="47"/>
        <v>325.74921629549311</v>
      </c>
      <c r="AA77" s="71">
        <v>72</v>
      </c>
      <c r="AB77" s="33">
        <f t="shared" si="48"/>
        <v>0</v>
      </c>
      <c r="AC77" s="304">
        <f t="shared" si="39"/>
        <v>0</v>
      </c>
      <c r="AD77" s="100">
        <f t="shared" si="49"/>
        <v>0</v>
      </c>
      <c r="AE77" s="100">
        <f t="shared" si="50"/>
        <v>0</v>
      </c>
      <c r="AF77" s="193">
        <f t="shared" si="34"/>
        <v>28.077865372078506</v>
      </c>
      <c r="AG77" s="193">
        <f t="shared" si="35"/>
        <v>29.026046430812873</v>
      </c>
      <c r="AH77" s="193">
        <f t="shared" si="36"/>
        <v>0.10808172806073812</v>
      </c>
      <c r="AI77" s="198">
        <f t="shared" si="37"/>
        <v>57.211993530952114</v>
      </c>
      <c r="AK77" s="71">
        <v>72</v>
      </c>
      <c r="AL77" s="33"/>
      <c r="AM77" s="33"/>
      <c r="AN77" s="33"/>
      <c r="AO77" s="33"/>
      <c r="AP77" s="33"/>
      <c r="AQ77" s="193"/>
      <c r="AR77" s="193"/>
      <c r="AS77" s="193"/>
      <c r="AT77" s="193"/>
      <c r="AU77" s="33"/>
      <c r="AV77" s="33"/>
      <c r="AW77" s="33"/>
      <c r="AX77" s="33"/>
      <c r="AY77" s="76"/>
    </row>
    <row r="78" spans="2:51">
      <c r="B78" s="43"/>
      <c r="C78" s="152"/>
      <c r="D78" s="153"/>
      <c r="E78" s="143"/>
      <c r="F78" s="44"/>
      <c r="G78" s="52"/>
      <c r="I78" s="55">
        <v>73</v>
      </c>
      <c r="J78" s="33">
        <f t="shared" si="53"/>
        <v>24.570000000000032</v>
      </c>
      <c r="K78" s="33">
        <f t="shared" si="54"/>
        <v>7.8003494846849346</v>
      </c>
      <c r="L78" s="33">
        <f t="shared" si="55"/>
        <v>70</v>
      </c>
      <c r="M78" s="33">
        <f t="shared" si="56"/>
        <v>10</v>
      </c>
      <c r="N78" s="33">
        <f t="shared" si="42"/>
        <v>0</v>
      </c>
      <c r="O78" s="34">
        <f t="shared" si="43"/>
        <v>349.71169201915967</v>
      </c>
      <c r="P78" s="55">
        <v>73</v>
      </c>
      <c r="Q78" s="33">
        <f t="shared" si="51"/>
        <v>10.399999999999991</v>
      </c>
      <c r="R78" s="33">
        <f t="shared" si="57"/>
        <v>426.39999999999992</v>
      </c>
      <c r="S78" s="33">
        <f t="shared" si="58"/>
        <v>179.08799999999997</v>
      </c>
      <c r="T78" s="33">
        <f t="shared" si="44"/>
        <v>45.119223023956835</v>
      </c>
      <c r="U78" s="33">
        <f t="shared" si="52"/>
        <v>70</v>
      </c>
      <c r="V78" s="33">
        <f t="shared" si="45"/>
        <v>10</v>
      </c>
      <c r="W78" s="33">
        <v>0</v>
      </c>
      <c r="X78" s="33">
        <f t="shared" si="46"/>
        <v>683.82758010005807</v>
      </c>
      <c r="Y78" s="38">
        <f t="shared" si="47"/>
        <v>334.1158880808984</v>
      </c>
      <c r="AA78" s="71">
        <v>73</v>
      </c>
      <c r="AB78" s="33">
        <f t="shared" si="48"/>
        <v>0</v>
      </c>
      <c r="AC78" s="304">
        <f t="shared" si="39"/>
        <v>0</v>
      </c>
      <c r="AD78" s="100">
        <f t="shared" si="49"/>
        <v>0</v>
      </c>
      <c r="AE78" s="100">
        <f t="shared" si="50"/>
        <v>0</v>
      </c>
      <c r="AF78" s="193">
        <f t="shared" si="34"/>
        <v>27.527275557938889</v>
      </c>
      <c r="AG78" s="193">
        <f t="shared" si="35"/>
        <v>28.232327664748851</v>
      </c>
      <c r="AH78" s="193">
        <f t="shared" si="36"/>
        <v>7.6425322834108286E-2</v>
      </c>
      <c r="AI78" s="198">
        <f t="shared" si="37"/>
        <v>55.836028545521849</v>
      </c>
      <c r="AK78" s="71">
        <v>73</v>
      </c>
      <c r="AL78" s="33"/>
      <c r="AM78" s="33"/>
      <c r="AN78" s="33"/>
      <c r="AO78" s="33"/>
      <c r="AP78" s="33"/>
      <c r="AQ78" s="193"/>
      <c r="AR78" s="193"/>
      <c r="AS78" s="193"/>
      <c r="AT78" s="193"/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53"/>
        <v>24.990000000000034</v>
      </c>
      <c r="K79" s="33">
        <f t="shared" si="54"/>
        <v>7.9180516212743148</v>
      </c>
      <c r="L79" s="33">
        <f t="shared" si="55"/>
        <v>70</v>
      </c>
      <c r="M79" s="33">
        <f t="shared" si="56"/>
        <v>10</v>
      </c>
      <c r="N79" s="33">
        <f t="shared" si="42"/>
        <v>0</v>
      </c>
      <c r="O79" s="34">
        <f t="shared" si="43"/>
        <v>350.64818990705277</v>
      </c>
      <c r="P79" s="55">
        <v>74</v>
      </c>
      <c r="Q79" s="33">
        <f t="shared" si="51"/>
        <v>10.399999999999991</v>
      </c>
      <c r="R79" s="33">
        <f t="shared" si="57"/>
        <v>436.7999999999999</v>
      </c>
      <c r="S79" s="33">
        <f t="shared" si="58"/>
        <v>183.45599999999996</v>
      </c>
      <c r="T79" s="33">
        <f t="shared" si="44"/>
        <v>46.090229375321108</v>
      </c>
      <c r="U79" s="33">
        <f t="shared" si="52"/>
        <v>70</v>
      </c>
      <c r="V79" s="33">
        <f t="shared" si="45"/>
        <v>10</v>
      </c>
      <c r="W79" s="33">
        <v>0</v>
      </c>
      <c r="X79" s="33">
        <f t="shared" si="46"/>
        <v>693.12634949535095</v>
      </c>
      <c r="Y79" s="38">
        <f t="shared" si="47"/>
        <v>342.47815958829818</v>
      </c>
      <c r="AA79" s="71">
        <v>74</v>
      </c>
      <c r="AB79" s="33">
        <f t="shared" si="48"/>
        <v>0</v>
      </c>
      <c r="AC79" s="304">
        <f t="shared" si="39"/>
        <v>0</v>
      </c>
      <c r="AD79" s="100">
        <f t="shared" si="49"/>
        <v>0</v>
      </c>
      <c r="AE79" s="100">
        <f t="shared" si="50"/>
        <v>0</v>
      </c>
      <c r="AF79" s="193">
        <f t="shared" si="34"/>
        <v>26.987482474227924</v>
      </c>
      <c r="AG79" s="193">
        <f t="shared" si="35"/>
        <v>27.460313180082707</v>
      </c>
      <c r="AH79" s="193">
        <f t="shared" si="36"/>
        <v>5.4040864030369062E-2</v>
      </c>
      <c r="AI79" s="198">
        <f t="shared" si="37"/>
        <v>54.501836518341001</v>
      </c>
      <c r="AK79" s="71">
        <v>74</v>
      </c>
      <c r="AL79" s="33"/>
      <c r="AM79" s="33"/>
      <c r="AN79" s="33"/>
      <c r="AO79" s="33"/>
      <c r="AP79" s="33"/>
      <c r="AQ79" s="193"/>
      <c r="AR79" s="193"/>
      <c r="AS79" s="193"/>
      <c r="AT79" s="193"/>
      <c r="AU79" s="33"/>
      <c r="AV79" s="33"/>
      <c r="AW79" s="33"/>
      <c r="AX79" s="33"/>
      <c r="AY79" s="76"/>
    </row>
    <row r="80" spans="2:51">
      <c r="B80" s="357" t="s">
        <v>259</v>
      </c>
      <c r="C80" s="358"/>
      <c r="D80" s="358"/>
      <c r="E80" s="358"/>
      <c r="F80" s="358"/>
      <c r="G80" s="359"/>
      <c r="H80" s="23"/>
      <c r="I80" s="55">
        <v>75</v>
      </c>
      <c r="J80" s="33">
        <f t="shared" si="53"/>
        <v>25.410000000000036</v>
      </c>
      <c r="K80" s="33">
        <f t="shared" si="54"/>
        <v>8.0355237105104518</v>
      </c>
      <c r="L80" s="33">
        <f t="shared" si="55"/>
        <v>70</v>
      </c>
      <c r="M80" s="33">
        <f t="shared" si="56"/>
        <v>10</v>
      </c>
      <c r="N80" s="33">
        <f t="shared" si="42"/>
        <v>0</v>
      </c>
      <c r="O80" s="34">
        <f t="shared" si="43"/>
        <v>351.58428712913906</v>
      </c>
      <c r="P80" s="55">
        <v>75</v>
      </c>
      <c r="Q80" s="33">
        <f t="shared" si="51"/>
        <v>10.399999999999991</v>
      </c>
      <c r="R80" s="33">
        <f t="shared" si="57"/>
        <v>447.19999999999987</v>
      </c>
      <c r="S80" s="33">
        <f t="shared" si="58"/>
        <v>187.82399999999993</v>
      </c>
      <c r="T80" s="33">
        <f t="shared" si="44"/>
        <v>47.058548109182688</v>
      </c>
      <c r="U80" s="33">
        <f t="shared" si="52"/>
        <v>70</v>
      </c>
      <c r="V80" s="33">
        <f t="shared" si="45"/>
        <v>10</v>
      </c>
      <c r="W80" s="33">
        <v>0</v>
      </c>
      <c r="X80" s="33">
        <f t="shared" si="46"/>
        <v>702.42043795682639</v>
      </c>
      <c r="Y80" s="38">
        <f t="shared" si="47"/>
        <v>350.83615082768733</v>
      </c>
      <c r="AA80" s="71">
        <v>75</v>
      </c>
      <c r="AB80" s="33">
        <f t="shared" si="48"/>
        <v>0</v>
      </c>
      <c r="AC80" s="304">
        <f t="shared" si="39"/>
        <v>0</v>
      </c>
      <c r="AD80" s="100">
        <f t="shared" si="49"/>
        <v>0</v>
      </c>
      <c r="AE80" s="100">
        <f t="shared" si="50"/>
        <v>0</v>
      </c>
      <c r="AF80" s="193">
        <f t="shared" si="34"/>
        <v>26.458274403647263</v>
      </c>
      <c r="AG80" s="193">
        <f t="shared" si="35"/>
        <v>26.709409472098237</v>
      </c>
      <c r="AH80" s="193">
        <f t="shared" si="36"/>
        <v>3.8212661417054143E-2</v>
      </c>
      <c r="AI80" s="198">
        <f t="shared" si="37"/>
        <v>53.205896537162552</v>
      </c>
      <c r="AK80" s="71">
        <v>75</v>
      </c>
      <c r="AL80" s="33"/>
      <c r="AM80" s="33"/>
      <c r="AN80" s="33"/>
      <c r="AO80" s="33"/>
      <c r="AP80" s="33"/>
      <c r="AQ80" s="193"/>
      <c r="AR80" s="193"/>
      <c r="AS80" s="193"/>
      <c r="AT80" s="193"/>
      <c r="AU80" s="33"/>
      <c r="AV80" s="33"/>
      <c r="AW80" s="33"/>
      <c r="AX80" s="33"/>
      <c r="AY80" s="76"/>
    </row>
    <row r="81" spans="2:51">
      <c r="B81" s="155" t="s">
        <v>76</v>
      </c>
      <c r="C81" s="131" t="s">
        <v>156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7"/>
      <c r="I81" s="55">
        <v>76</v>
      </c>
      <c r="J81" s="33">
        <f t="shared" si="53"/>
        <v>25.830000000000037</v>
      </c>
      <c r="K81" s="33">
        <f t="shared" si="54"/>
        <v>8.1527699937405416</v>
      </c>
      <c r="L81" s="33">
        <f t="shared" si="55"/>
        <v>70</v>
      </c>
      <c r="M81" s="33">
        <f t="shared" si="56"/>
        <v>10</v>
      </c>
      <c r="N81" s="33">
        <f t="shared" si="42"/>
        <v>0</v>
      </c>
      <c r="O81" s="34">
        <f t="shared" si="43"/>
        <v>352.51999107243154</v>
      </c>
      <c r="P81" s="55">
        <v>76</v>
      </c>
      <c r="Q81" s="33">
        <f t="shared" si="51"/>
        <v>-27.299999999999955</v>
      </c>
      <c r="R81" s="33">
        <f t="shared" si="57"/>
        <v>419.89999999999992</v>
      </c>
      <c r="S81" s="33">
        <f t="shared" si="58"/>
        <v>176.35799999999995</v>
      </c>
      <c r="T81" s="33">
        <f t="shared" si="44"/>
        <v>44.510946837088369</v>
      </c>
      <c r="U81" s="33">
        <f t="shared" si="52"/>
        <v>70</v>
      </c>
      <c r="V81" s="33">
        <f t="shared" si="45"/>
        <v>10</v>
      </c>
      <c r="W81" s="33">
        <v>0</v>
      </c>
      <c r="X81" s="33">
        <f t="shared" si="46"/>
        <v>678.01341574126207</v>
      </c>
      <c r="Y81" s="38">
        <f t="shared" si="47"/>
        <v>325.49342466883053</v>
      </c>
      <c r="AA81" s="71">
        <v>76</v>
      </c>
      <c r="AB81" s="33">
        <f t="shared" si="48"/>
        <v>0</v>
      </c>
      <c r="AC81" s="304">
        <f t="shared" si="39"/>
        <v>0</v>
      </c>
      <c r="AD81" s="100">
        <f t="shared" si="49"/>
        <v>0</v>
      </c>
      <c r="AE81" s="100">
        <f t="shared" si="50"/>
        <v>0</v>
      </c>
      <c r="AF81" s="193">
        <f t="shared" si="34"/>
        <v>25.939443780545634</v>
      </c>
      <c r="AG81" s="193">
        <f t="shared" si="35"/>
        <v>25.979039265496912</v>
      </c>
      <c r="AH81" s="193">
        <f t="shared" si="36"/>
        <v>2.7020432015184531E-2</v>
      </c>
      <c r="AI81" s="198">
        <f t="shared" si="37"/>
        <v>51.945503478057731</v>
      </c>
      <c r="AK81" s="71">
        <v>76</v>
      </c>
      <c r="AL81" s="33"/>
      <c r="AM81" s="33"/>
      <c r="AN81" s="33"/>
      <c r="AO81" s="33"/>
      <c r="AP81" s="33"/>
      <c r="AQ81" s="193"/>
      <c r="AR81" s="193"/>
      <c r="AS81" s="193"/>
      <c r="AT81" s="193"/>
      <c r="AU81" s="33"/>
      <c r="AV81" s="33"/>
      <c r="AW81" s="33"/>
      <c r="AX81" s="33"/>
      <c r="AY81" s="76"/>
    </row>
    <row r="82" spans="2:51">
      <c r="B82" s="169">
        <f>IF(C25&lt;=$F$18,C25+1,"-")</f>
        <v>11</v>
      </c>
      <c r="C82" s="144">
        <f>D25-D26</f>
        <v>0</v>
      </c>
      <c r="D82" s="145"/>
      <c r="E82" s="170">
        <f>IF(G82+D82&lt;&gt;1,(1-(G82+D82))*56%,0)</f>
        <v>0.56000000000000005</v>
      </c>
      <c r="F82" s="170">
        <f>IF(G82+D82&lt;&gt;1,(1-(G82+D82))*44%,0)</f>
        <v>0.44</v>
      </c>
      <c r="G82" s="146"/>
      <c r="H82" s="58">
        <f t="shared" ref="H82:H94" si="59">IF(C82=0,0,IF(SUM(D82:G82)&lt;&gt;1,"erreur",))</f>
        <v>0</v>
      </c>
      <c r="I82" s="55">
        <v>77</v>
      </c>
      <c r="J82" s="33">
        <f t="shared" si="53"/>
        <v>26.250000000000039</v>
      </c>
      <c r="K82" s="33">
        <f t="shared" si="54"/>
        <v>8.2697945664731147</v>
      </c>
      <c r="L82" s="33">
        <f t="shared" si="55"/>
        <v>70</v>
      </c>
      <c r="M82" s="33">
        <f t="shared" si="56"/>
        <v>10</v>
      </c>
      <c r="N82" s="33">
        <f t="shared" si="42"/>
        <v>0</v>
      </c>
      <c r="O82" s="34">
        <f t="shared" si="43"/>
        <v>353.45530886994078</v>
      </c>
      <c r="P82" s="55">
        <v>77</v>
      </c>
      <c r="Q82" s="33">
        <f t="shared" si="51"/>
        <v>9.4249999999999972</v>
      </c>
      <c r="R82" s="33">
        <f t="shared" si="57"/>
        <v>429.32499999999993</v>
      </c>
      <c r="S82" s="33">
        <f t="shared" si="58"/>
        <v>180.31649999999996</v>
      </c>
      <c r="T82" s="33">
        <f t="shared" si="44"/>
        <v>45.392594384146356</v>
      </c>
      <c r="U82" s="33">
        <f t="shared" si="52"/>
        <v>70</v>
      </c>
      <c r="V82" s="33">
        <f t="shared" si="45"/>
        <v>10</v>
      </c>
      <c r="W82" s="33">
        <v>0</v>
      </c>
      <c r="X82" s="33">
        <f t="shared" si="46"/>
        <v>686.44333938572129</v>
      </c>
      <c r="Y82" s="38">
        <f t="shared" si="47"/>
        <v>332.98803051578051</v>
      </c>
      <c r="AA82" s="71">
        <v>77</v>
      </c>
      <c r="AB82" s="33">
        <f t="shared" si="48"/>
        <v>0</v>
      </c>
      <c r="AC82" s="304">
        <f t="shared" si="39"/>
        <v>0</v>
      </c>
      <c r="AD82" s="100">
        <f t="shared" si="49"/>
        <v>0</v>
      </c>
      <c r="AE82" s="100">
        <f t="shared" si="50"/>
        <v>0</v>
      </c>
      <c r="AF82" s="193">
        <f t="shared" si="34"/>
        <v>25.430787109507598</v>
      </c>
      <c r="AG82" s="193">
        <f t="shared" si="35"/>
        <v>25.2686410706036</v>
      </c>
      <c r="AH82" s="193">
        <f t="shared" si="36"/>
        <v>1.9106330708527072E-2</v>
      </c>
      <c r="AI82" s="198">
        <f t="shared" si="37"/>
        <v>50.718534510819723</v>
      </c>
      <c r="AK82" s="71">
        <v>77</v>
      </c>
      <c r="AL82" s="33"/>
      <c r="AM82" s="33"/>
      <c r="AN82" s="33"/>
      <c r="AO82" s="33"/>
      <c r="AP82" s="33"/>
      <c r="AQ82" s="193"/>
      <c r="AR82" s="193"/>
      <c r="AS82" s="193"/>
      <c r="AT82" s="193"/>
      <c r="AU82" s="33"/>
      <c r="AV82" s="33"/>
      <c r="AW82" s="33"/>
      <c r="AX82" s="33"/>
      <c r="AY82" s="76"/>
    </row>
    <row r="83" spans="2:51">
      <c r="B83" s="171">
        <f>IF(C27&lt;=$F$18,C27+1,"-")</f>
        <v>16</v>
      </c>
      <c r="C83" s="147">
        <f>D27-D28</f>
        <v>22</v>
      </c>
      <c r="D83" s="148"/>
      <c r="E83" s="128">
        <f t="shared" ref="E83:E94" si="60">IF(G83+D83&lt;&gt;1,(1-(G83+D83))*56%,0)</f>
        <v>0.56000000000000005</v>
      </c>
      <c r="F83" s="128">
        <f t="shared" ref="F83:F94" si="61">IF(G83+D83&lt;&gt;1,(1-(G83+D83))*44%,0)</f>
        <v>0.44</v>
      </c>
      <c r="G83" s="149"/>
      <c r="H83" s="58">
        <f t="shared" si="59"/>
        <v>0</v>
      </c>
      <c r="I83" s="55">
        <v>78</v>
      </c>
      <c r="J83" s="33">
        <f t="shared" si="53"/>
        <v>26.670000000000041</v>
      </c>
      <c r="K83" s="33">
        <f t="shared" si="54"/>
        <v>8.3866013856443349</v>
      </c>
      <c r="L83" s="33">
        <f t="shared" si="55"/>
        <v>70</v>
      </c>
      <c r="M83" s="33">
        <f t="shared" si="56"/>
        <v>10</v>
      </c>
      <c r="N83" s="33">
        <f t="shared" si="42"/>
        <v>0</v>
      </c>
      <c r="O83" s="34">
        <f t="shared" si="43"/>
        <v>354.3902474133306</v>
      </c>
      <c r="P83" s="55">
        <v>78</v>
      </c>
      <c r="Q83" s="33">
        <f t="shared" si="51"/>
        <v>9.4249999999999972</v>
      </c>
      <c r="R83" s="33">
        <f t="shared" si="57"/>
        <v>438.74999999999994</v>
      </c>
      <c r="S83" s="33">
        <f t="shared" si="58"/>
        <v>184.27499999999998</v>
      </c>
      <c r="T83" s="33">
        <f t="shared" si="44"/>
        <v>46.271991709700167</v>
      </c>
      <c r="U83" s="33">
        <f t="shared" si="52"/>
        <v>70</v>
      </c>
      <c r="V83" s="33">
        <f t="shared" si="45"/>
        <v>10</v>
      </c>
      <c r="W83" s="33">
        <v>0</v>
      </c>
      <c r="X83" s="33">
        <f t="shared" si="46"/>
        <v>694.86934389439432</v>
      </c>
      <c r="Y83" s="38">
        <f t="shared" si="47"/>
        <v>340.47909648106372</v>
      </c>
      <c r="AA83" s="71">
        <v>78</v>
      </c>
      <c r="AB83" s="33">
        <f t="shared" si="48"/>
        <v>0</v>
      </c>
      <c r="AC83" s="304">
        <f t="shared" si="39"/>
        <v>0</v>
      </c>
      <c r="AD83" s="100">
        <f t="shared" si="49"/>
        <v>0</v>
      </c>
      <c r="AE83" s="100">
        <f t="shared" si="50"/>
        <v>0</v>
      </c>
      <c r="AF83" s="193">
        <f t="shared" si="34"/>
        <v>24.932104885538681</v>
      </c>
      <c r="AG83" s="193">
        <f t="shared" si="35"/>
        <v>24.577668751707861</v>
      </c>
      <c r="AH83" s="193">
        <f t="shared" si="36"/>
        <v>1.3510216007592266E-2</v>
      </c>
      <c r="AI83" s="198">
        <f t="shared" si="37"/>
        <v>49.523283853254128</v>
      </c>
      <c r="AK83" s="71">
        <v>78</v>
      </c>
      <c r="AL83" s="33"/>
      <c r="AM83" s="33"/>
      <c r="AN83" s="33"/>
      <c r="AO83" s="33"/>
      <c r="AP83" s="33"/>
      <c r="AQ83" s="193"/>
      <c r="AR83" s="193"/>
      <c r="AS83" s="193"/>
      <c r="AT83" s="193"/>
      <c r="AU83" s="33"/>
      <c r="AV83" s="33"/>
      <c r="AW83" s="33"/>
      <c r="AX83" s="33"/>
      <c r="AY83" s="76"/>
    </row>
    <row r="84" spans="2:51">
      <c r="B84" s="186">
        <f>IF(C29&lt;=$F$18,C29+1,"-")</f>
        <v>21</v>
      </c>
      <c r="C84" s="147">
        <f>D29-D30</f>
        <v>35</v>
      </c>
      <c r="D84" s="148"/>
      <c r="E84" s="128">
        <f t="shared" si="60"/>
        <v>0.56000000000000005</v>
      </c>
      <c r="F84" s="128">
        <f t="shared" si="61"/>
        <v>0.44</v>
      </c>
      <c r="G84" s="149"/>
      <c r="H84" s="58">
        <f t="shared" si="59"/>
        <v>0</v>
      </c>
      <c r="I84" s="55">
        <v>79</v>
      </c>
      <c r="J84" s="33">
        <f t="shared" si="53"/>
        <v>27.090000000000042</v>
      </c>
      <c r="K84" s="33">
        <f t="shared" si="54"/>
        <v>8.5031942764136481</v>
      </c>
      <c r="L84" s="33">
        <f t="shared" si="55"/>
        <v>70</v>
      </c>
      <c r="M84" s="33">
        <f t="shared" si="56"/>
        <v>10</v>
      </c>
      <c r="N84" s="33">
        <f t="shared" si="42"/>
        <v>0</v>
      </c>
      <c r="O84" s="34">
        <f t="shared" si="43"/>
        <v>355.32481336475388</v>
      </c>
      <c r="P84" s="55">
        <v>79</v>
      </c>
      <c r="Q84" s="33">
        <f t="shared" si="51"/>
        <v>9.4249999999999972</v>
      </c>
      <c r="R84" s="33">
        <f t="shared" si="57"/>
        <v>448.17499999999995</v>
      </c>
      <c r="S84" s="33">
        <f t="shared" si="58"/>
        <v>188.23349999999996</v>
      </c>
      <c r="T84" s="33">
        <f t="shared" si="44"/>
        <v>47.149192719356748</v>
      </c>
      <c r="U84" s="33">
        <f t="shared" si="52"/>
        <v>70</v>
      </c>
      <c r="V84" s="33">
        <f t="shared" si="45"/>
        <v>10</v>
      </c>
      <c r="W84" s="33">
        <v>0</v>
      </c>
      <c r="X84" s="33">
        <f t="shared" si="46"/>
        <v>703.29152315287956</v>
      </c>
      <c r="Y84" s="38">
        <f t="shared" si="47"/>
        <v>347.96670978812568</v>
      </c>
      <c r="AA84" s="71">
        <v>79</v>
      </c>
      <c r="AB84" s="33">
        <f t="shared" si="48"/>
        <v>0</v>
      </c>
      <c r="AC84" s="304">
        <f t="shared" si="39"/>
        <v>0</v>
      </c>
      <c r="AD84" s="100">
        <f t="shared" si="49"/>
        <v>0</v>
      </c>
      <c r="AE84" s="100">
        <f t="shared" si="50"/>
        <v>0</v>
      </c>
      <c r="AF84" s="193">
        <f t="shared" si="34"/>
        <v>24.443201515815673</v>
      </c>
      <c r="AG84" s="193">
        <f t="shared" si="35"/>
        <v>23.905591107208984</v>
      </c>
      <c r="AH84" s="193">
        <f t="shared" si="36"/>
        <v>9.5531653542635358E-3</v>
      </c>
      <c r="AI84" s="198">
        <f t="shared" si="37"/>
        <v>48.358345788378919</v>
      </c>
      <c r="AK84" s="71">
        <v>79</v>
      </c>
      <c r="AL84" s="33"/>
      <c r="AM84" s="33"/>
      <c r="AN84" s="33"/>
      <c r="AO84" s="33"/>
      <c r="AP84" s="33"/>
      <c r="AQ84" s="193"/>
      <c r="AR84" s="193"/>
      <c r="AS84" s="193"/>
      <c r="AT84" s="193"/>
      <c r="AU84" s="33"/>
      <c r="AV84" s="33"/>
      <c r="AW84" s="33"/>
      <c r="AX84" s="33"/>
      <c r="AY84" s="76"/>
    </row>
    <row r="85" spans="2:51">
      <c r="B85" s="171">
        <f>IF(C31&lt;=$F$18,C31+1,"-")</f>
        <v>26</v>
      </c>
      <c r="C85" s="147">
        <f>D31-D32</f>
        <v>35</v>
      </c>
      <c r="D85" s="148"/>
      <c r="E85" s="128">
        <f t="shared" si="60"/>
        <v>0.56000000000000005</v>
      </c>
      <c r="F85" s="128">
        <f t="shared" si="61"/>
        <v>0.44</v>
      </c>
      <c r="G85" s="149"/>
      <c r="H85" s="58">
        <f t="shared" si="59"/>
        <v>0</v>
      </c>
      <c r="I85" s="55">
        <v>80</v>
      </c>
      <c r="J85" s="33">
        <f t="shared" si="53"/>
        <v>27.510000000000044</v>
      </c>
      <c r="K85" s="33">
        <f t="shared" si="54"/>
        <v>8.6195769385260075</v>
      </c>
      <c r="L85" s="33">
        <f t="shared" si="55"/>
        <v>70</v>
      </c>
      <c r="M85" s="33">
        <f t="shared" si="56"/>
        <v>10</v>
      </c>
      <c r="N85" s="33">
        <f t="shared" si="42"/>
        <v>0</v>
      </c>
      <c r="O85" s="34">
        <f t="shared" si="43"/>
        <v>356.25901316793284</v>
      </c>
      <c r="P85" s="55">
        <v>80</v>
      </c>
      <c r="Q85" s="33">
        <f t="shared" si="51"/>
        <v>9.4249999999999972</v>
      </c>
      <c r="R85" s="33">
        <f t="shared" si="57"/>
        <v>457.59999999999997</v>
      </c>
      <c r="S85" s="33">
        <f t="shared" si="58"/>
        <v>192.19199999999998</v>
      </c>
      <c r="T85" s="33">
        <f t="shared" si="44"/>
        <v>48.02424892193244</v>
      </c>
      <c r="U85" s="33">
        <f t="shared" si="52"/>
        <v>70</v>
      </c>
      <c r="V85" s="33">
        <f t="shared" si="45"/>
        <v>10</v>
      </c>
      <c r="W85" s="33">
        <v>0</v>
      </c>
      <c r="X85" s="33">
        <f t="shared" si="46"/>
        <v>711.7099668723655</v>
      </c>
      <c r="Y85" s="38">
        <f t="shared" si="47"/>
        <v>355.45095370443266</v>
      </c>
      <c r="AA85" s="71">
        <v>80</v>
      </c>
      <c r="AB85" s="33">
        <f t="shared" si="48"/>
        <v>352</v>
      </c>
      <c r="AC85" s="304">
        <f t="shared" si="39"/>
        <v>0.47499999999999998</v>
      </c>
      <c r="AD85" s="100">
        <f t="shared" si="49"/>
        <v>2.8000000000000028E-2</v>
      </c>
      <c r="AE85" s="100">
        <f t="shared" si="50"/>
        <v>2.200000000000002E-2</v>
      </c>
      <c r="AF85" s="193">
        <f t="shared" si="34"/>
        <v>145.06754625739347</v>
      </c>
      <c r="AG85" s="193">
        <f t="shared" si="35"/>
        <v>30.362525636385296</v>
      </c>
      <c r="AH85" s="193">
        <f t="shared" si="36"/>
        <v>4.7940868819803439</v>
      </c>
      <c r="AI85" s="198">
        <f t="shared" si="37"/>
        <v>180.22415877575912</v>
      </c>
      <c r="AK85" s="71">
        <v>80</v>
      </c>
      <c r="AL85" s="33"/>
      <c r="AM85" s="33"/>
      <c r="AN85" s="33"/>
      <c r="AO85" s="33"/>
      <c r="AP85" s="33"/>
      <c r="AQ85" s="193"/>
      <c r="AR85" s="193"/>
      <c r="AS85" s="193"/>
      <c r="AT85" s="193"/>
      <c r="AU85" s="33"/>
      <c r="AV85" s="33"/>
      <c r="AW85" s="33"/>
      <c r="AX85" s="33"/>
      <c r="AY85" s="76"/>
    </row>
    <row r="86" spans="2:51">
      <c r="B86" s="171">
        <f>IF(C33&lt;=$F$18,C33+1,"-")</f>
        <v>31</v>
      </c>
      <c r="C86" s="147">
        <f>D33-D34</f>
        <v>35</v>
      </c>
      <c r="D86" s="148">
        <v>0.2</v>
      </c>
      <c r="E86" s="128">
        <f t="shared" si="60"/>
        <v>0.44800000000000006</v>
      </c>
      <c r="F86" s="128">
        <f t="shared" si="61"/>
        <v>0.35200000000000004</v>
      </c>
      <c r="G86" s="149"/>
      <c r="H86" s="58">
        <f t="shared" si="59"/>
        <v>0</v>
      </c>
      <c r="I86" s="55">
        <v>81</v>
      </c>
      <c r="J86" s="33">
        <f t="shared" si="53"/>
        <v>0</v>
      </c>
      <c r="K86" s="33">
        <f t="shared" si="54"/>
        <v>0</v>
      </c>
      <c r="L86" s="33">
        <f t="shared" si="55"/>
        <v>0</v>
      </c>
      <c r="M86" s="33">
        <f t="shared" si="56"/>
        <v>0</v>
      </c>
      <c r="N86" s="33">
        <f t="shared" si="42"/>
        <v>0</v>
      </c>
      <c r="O86" s="34">
        <f t="shared" si="43"/>
        <v>0</v>
      </c>
      <c r="P86" s="55">
        <v>81</v>
      </c>
      <c r="Q86" s="33">
        <f t="shared" si="51"/>
        <v>0</v>
      </c>
      <c r="R86" s="33">
        <f t="shared" si="57"/>
        <v>0</v>
      </c>
      <c r="S86" s="33">
        <f t="shared" si="58"/>
        <v>0</v>
      </c>
      <c r="T86" s="33">
        <f t="shared" si="44"/>
        <v>0</v>
      </c>
      <c r="U86" s="33">
        <f t="shared" si="52"/>
        <v>0</v>
      </c>
      <c r="V86" s="33">
        <f t="shared" si="45"/>
        <v>0</v>
      </c>
      <c r="W86" s="33">
        <v>0</v>
      </c>
      <c r="X86" s="33">
        <f t="shared" si="46"/>
        <v>0</v>
      </c>
      <c r="Y86" s="38">
        <f t="shared" si="47"/>
        <v>0</v>
      </c>
      <c r="AA86" s="71">
        <v>81</v>
      </c>
      <c r="AB86" s="33">
        <f t="shared" si="48"/>
        <v>0</v>
      </c>
      <c r="AC86" s="304">
        <f t="shared" si="39"/>
        <v>0</v>
      </c>
      <c r="AD86" s="100">
        <f t="shared" si="49"/>
        <v>0</v>
      </c>
      <c r="AE86" s="100">
        <f t="shared" si="50"/>
        <v>0</v>
      </c>
      <c r="AF86" s="193">
        <f t="shared" si="34"/>
        <v>0</v>
      </c>
      <c r="AG86" s="193">
        <f t="shared" si="35"/>
        <v>0</v>
      </c>
      <c r="AH86" s="193">
        <f t="shared" si="36"/>
        <v>0</v>
      </c>
      <c r="AI86" s="198">
        <f t="shared" si="37"/>
        <v>0</v>
      </c>
      <c r="AK86" s="71">
        <v>81</v>
      </c>
      <c r="AL86" s="33"/>
      <c r="AM86" s="33"/>
      <c r="AN86" s="33"/>
      <c r="AO86" s="33"/>
      <c r="AP86" s="33"/>
      <c r="AQ86" s="193"/>
      <c r="AR86" s="193"/>
      <c r="AS86" s="193"/>
      <c r="AT86" s="193"/>
      <c r="AU86" s="33"/>
      <c r="AV86" s="33"/>
      <c r="AW86" s="33"/>
      <c r="AX86" s="33"/>
      <c r="AY86" s="76"/>
    </row>
    <row r="87" spans="2:51">
      <c r="B87" s="171">
        <f>IF(C35&lt;=$F$18,C35+1,"-")</f>
        <v>36</v>
      </c>
      <c r="C87" s="147">
        <f>D35-D36</f>
        <v>35</v>
      </c>
      <c r="D87" s="148">
        <v>0.3</v>
      </c>
      <c r="E87" s="128">
        <f t="shared" si="60"/>
        <v>0.39200000000000002</v>
      </c>
      <c r="F87" s="128">
        <f t="shared" si="61"/>
        <v>0.308</v>
      </c>
      <c r="G87" s="149"/>
      <c r="H87" s="58">
        <f t="shared" si="59"/>
        <v>0</v>
      </c>
      <c r="I87" s="55">
        <v>82</v>
      </c>
      <c r="J87" s="33">
        <f t="shared" si="53"/>
        <v>0</v>
      </c>
      <c r="K87" s="33">
        <f t="shared" si="54"/>
        <v>0</v>
      </c>
      <c r="L87" s="33">
        <f t="shared" si="55"/>
        <v>0</v>
      </c>
      <c r="M87" s="33">
        <f t="shared" si="56"/>
        <v>0</v>
      </c>
      <c r="N87" s="33">
        <f t="shared" si="42"/>
        <v>0</v>
      </c>
      <c r="O87" s="34">
        <f t="shared" si="43"/>
        <v>0</v>
      </c>
      <c r="P87" s="55">
        <v>82</v>
      </c>
      <c r="Q87" s="33">
        <f t="shared" si="51"/>
        <v>0</v>
      </c>
      <c r="R87" s="33">
        <f t="shared" si="57"/>
        <v>0</v>
      </c>
      <c r="S87" s="33">
        <f t="shared" si="58"/>
        <v>0</v>
      </c>
      <c r="T87" s="33">
        <f t="shared" si="44"/>
        <v>0</v>
      </c>
      <c r="U87" s="33">
        <f t="shared" si="52"/>
        <v>0</v>
      </c>
      <c r="V87" s="33">
        <f t="shared" si="45"/>
        <v>0</v>
      </c>
      <c r="W87" s="33">
        <v>0</v>
      </c>
      <c r="X87" s="33">
        <f t="shared" si="46"/>
        <v>0</v>
      </c>
      <c r="Y87" s="38">
        <f t="shared" si="47"/>
        <v>0</v>
      </c>
      <c r="AA87" s="71">
        <v>82</v>
      </c>
      <c r="AB87" s="33">
        <f t="shared" si="48"/>
        <v>0</v>
      </c>
      <c r="AC87" s="304">
        <f t="shared" si="39"/>
        <v>0</v>
      </c>
      <c r="AD87" s="100">
        <f t="shared" si="49"/>
        <v>0</v>
      </c>
      <c r="AE87" s="100">
        <f t="shared" si="50"/>
        <v>0</v>
      </c>
      <c r="AF87" s="193">
        <f t="shared" si="34"/>
        <v>0</v>
      </c>
      <c r="AG87" s="193">
        <f t="shared" si="35"/>
        <v>0</v>
      </c>
      <c r="AH87" s="193">
        <f t="shared" si="36"/>
        <v>0</v>
      </c>
      <c r="AI87" s="198">
        <f t="shared" si="37"/>
        <v>0</v>
      </c>
      <c r="AK87" s="71">
        <v>82</v>
      </c>
      <c r="AL87" s="33"/>
      <c r="AM87" s="33"/>
      <c r="AN87" s="33"/>
      <c r="AO87" s="33"/>
      <c r="AP87" s="33"/>
      <c r="AQ87" s="193"/>
      <c r="AR87" s="193"/>
      <c r="AS87" s="193"/>
      <c r="AT87" s="193"/>
      <c r="AU87" s="33"/>
      <c r="AV87" s="33"/>
      <c r="AW87" s="33"/>
      <c r="AX87" s="33"/>
      <c r="AY87" s="76"/>
    </row>
    <row r="88" spans="2:51">
      <c r="B88" s="171">
        <f>IF(C37&lt;=$F$18,C37+1,"-")</f>
        <v>41</v>
      </c>
      <c r="C88" s="147">
        <f>D37-D38</f>
        <v>33</v>
      </c>
      <c r="D88" s="148">
        <v>0.4</v>
      </c>
      <c r="E88" s="128">
        <f t="shared" si="60"/>
        <v>0.33600000000000002</v>
      </c>
      <c r="F88" s="128">
        <f t="shared" si="61"/>
        <v>0.26400000000000001</v>
      </c>
      <c r="G88" s="149"/>
      <c r="H88" s="58">
        <f t="shared" si="59"/>
        <v>0</v>
      </c>
      <c r="I88" s="55">
        <v>83</v>
      </c>
      <c r="J88" s="33">
        <f t="shared" si="53"/>
        <v>0</v>
      </c>
      <c r="K88" s="33">
        <f t="shared" si="54"/>
        <v>0</v>
      </c>
      <c r="L88" s="33">
        <f t="shared" si="55"/>
        <v>0</v>
      </c>
      <c r="M88" s="33">
        <f t="shared" si="56"/>
        <v>0</v>
      </c>
      <c r="N88" s="33">
        <f t="shared" si="42"/>
        <v>0</v>
      </c>
      <c r="O88" s="34">
        <f t="shared" si="43"/>
        <v>0</v>
      </c>
      <c r="P88" s="55">
        <v>83</v>
      </c>
      <c r="Q88" s="33">
        <f t="shared" si="51"/>
        <v>0</v>
      </c>
      <c r="R88" s="33">
        <f t="shared" si="57"/>
        <v>0</v>
      </c>
      <c r="S88" s="33">
        <f t="shared" si="58"/>
        <v>0</v>
      </c>
      <c r="T88" s="33">
        <f t="shared" si="44"/>
        <v>0</v>
      </c>
      <c r="U88" s="33">
        <f t="shared" si="52"/>
        <v>0</v>
      </c>
      <c r="V88" s="33">
        <f t="shared" si="45"/>
        <v>0</v>
      </c>
      <c r="W88" s="33">
        <v>0</v>
      </c>
      <c r="X88" s="33">
        <f t="shared" si="46"/>
        <v>0</v>
      </c>
      <c r="Y88" s="38">
        <f t="shared" si="47"/>
        <v>0</v>
      </c>
      <c r="AA88" s="71">
        <v>83</v>
      </c>
      <c r="AB88" s="33">
        <f t="shared" si="48"/>
        <v>0</v>
      </c>
      <c r="AC88" s="304">
        <f t="shared" si="39"/>
        <v>0</v>
      </c>
      <c r="AD88" s="100">
        <f t="shared" si="49"/>
        <v>0</v>
      </c>
      <c r="AE88" s="100">
        <f t="shared" si="50"/>
        <v>0</v>
      </c>
      <c r="AF88" s="193">
        <f t="shared" si="34"/>
        <v>0</v>
      </c>
      <c r="AG88" s="193">
        <f t="shared" si="35"/>
        <v>0</v>
      </c>
      <c r="AH88" s="193">
        <f t="shared" si="36"/>
        <v>0</v>
      </c>
      <c r="AI88" s="198">
        <f t="shared" si="37"/>
        <v>0</v>
      </c>
      <c r="AK88" s="71">
        <v>83</v>
      </c>
      <c r="AL88" s="33"/>
      <c r="AM88" s="33"/>
      <c r="AN88" s="33"/>
      <c r="AO88" s="33"/>
      <c r="AP88" s="33"/>
      <c r="AQ88" s="193"/>
      <c r="AR88" s="193"/>
      <c r="AS88" s="193"/>
      <c r="AT88" s="193"/>
      <c r="AU88" s="33"/>
      <c r="AV88" s="33"/>
      <c r="AW88" s="33"/>
      <c r="AX88" s="33"/>
      <c r="AY88" s="76"/>
    </row>
    <row r="89" spans="2:51">
      <c r="B89" s="171">
        <f>IF(C39&lt;=$F$18,C39+1,"-")</f>
        <v>46</v>
      </c>
      <c r="C89" s="147">
        <f>D39-D40</f>
        <v>29</v>
      </c>
      <c r="D89" s="148">
        <v>0.5</v>
      </c>
      <c r="E89" s="128">
        <f t="shared" si="60"/>
        <v>0.28000000000000003</v>
      </c>
      <c r="F89" s="128">
        <f t="shared" si="61"/>
        <v>0.22</v>
      </c>
      <c r="G89" s="149"/>
      <c r="H89" s="58">
        <f t="shared" si="59"/>
        <v>0</v>
      </c>
      <c r="I89" s="55">
        <v>84</v>
      </c>
      <c r="J89" s="33">
        <f t="shared" si="53"/>
        <v>0</v>
      </c>
      <c r="K89" s="33">
        <f t="shared" si="54"/>
        <v>0</v>
      </c>
      <c r="L89" s="33">
        <f t="shared" si="55"/>
        <v>0</v>
      </c>
      <c r="M89" s="33">
        <f t="shared" si="56"/>
        <v>0</v>
      </c>
      <c r="N89" s="33">
        <f t="shared" si="42"/>
        <v>0</v>
      </c>
      <c r="O89" s="34">
        <f t="shared" si="43"/>
        <v>0</v>
      </c>
      <c r="P89" s="55">
        <v>84</v>
      </c>
      <c r="Q89" s="33">
        <f t="shared" si="51"/>
        <v>0</v>
      </c>
      <c r="R89" s="33">
        <f t="shared" si="57"/>
        <v>0</v>
      </c>
      <c r="S89" s="33">
        <f t="shared" si="58"/>
        <v>0</v>
      </c>
      <c r="T89" s="33">
        <f t="shared" si="44"/>
        <v>0</v>
      </c>
      <c r="U89" s="33">
        <f t="shared" si="52"/>
        <v>0</v>
      </c>
      <c r="V89" s="33">
        <f t="shared" si="45"/>
        <v>0</v>
      </c>
      <c r="W89" s="33">
        <v>0</v>
      </c>
      <c r="X89" s="33">
        <f t="shared" si="46"/>
        <v>0</v>
      </c>
      <c r="Y89" s="38">
        <f t="shared" si="47"/>
        <v>0</v>
      </c>
      <c r="AA89" s="71">
        <v>84</v>
      </c>
      <c r="AB89" s="33">
        <f t="shared" si="48"/>
        <v>0</v>
      </c>
      <c r="AC89" s="304">
        <f t="shared" si="39"/>
        <v>0</v>
      </c>
      <c r="AD89" s="100">
        <f t="shared" si="49"/>
        <v>0</v>
      </c>
      <c r="AE89" s="100">
        <f t="shared" si="50"/>
        <v>0</v>
      </c>
      <c r="AF89" s="193">
        <f t="shared" si="34"/>
        <v>0</v>
      </c>
      <c r="AG89" s="193">
        <f t="shared" si="35"/>
        <v>0</v>
      </c>
      <c r="AH89" s="193">
        <f t="shared" si="36"/>
        <v>0</v>
      </c>
      <c r="AI89" s="198">
        <f t="shared" si="37"/>
        <v>0</v>
      </c>
      <c r="AK89" s="71">
        <v>84</v>
      </c>
      <c r="AL89" s="33"/>
      <c r="AM89" s="33"/>
      <c r="AN89" s="33"/>
      <c r="AO89" s="33"/>
      <c r="AP89" s="33"/>
      <c r="AQ89" s="193"/>
      <c r="AR89" s="193"/>
      <c r="AS89" s="193"/>
      <c r="AT89" s="193"/>
      <c r="AU89" s="33"/>
      <c r="AV89" s="33"/>
      <c r="AW89" s="33"/>
      <c r="AX89" s="33"/>
      <c r="AY89" s="76"/>
    </row>
    <row r="90" spans="2:51">
      <c r="B90" s="171">
        <f>IF(C41&lt;=$F$18,C41+1,"-")</f>
        <v>51</v>
      </c>
      <c r="C90" s="147">
        <f>D41-D42</f>
        <v>26</v>
      </c>
      <c r="D90" s="148">
        <v>0.6</v>
      </c>
      <c r="E90" s="128">
        <f t="shared" si="60"/>
        <v>0.22400000000000003</v>
      </c>
      <c r="F90" s="128">
        <f t="shared" si="61"/>
        <v>0.17600000000000002</v>
      </c>
      <c r="G90" s="149"/>
      <c r="H90" s="58">
        <f t="shared" si="59"/>
        <v>0</v>
      </c>
      <c r="I90" s="55">
        <v>85</v>
      </c>
      <c r="J90" s="33">
        <f t="shared" si="53"/>
        <v>0</v>
      </c>
      <c r="K90" s="33">
        <f t="shared" si="54"/>
        <v>0</v>
      </c>
      <c r="L90" s="33">
        <f t="shared" si="55"/>
        <v>0</v>
      </c>
      <c r="M90" s="33">
        <f t="shared" si="56"/>
        <v>0</v>
      </c>
      <c r="N90" s="33">
        <f t="shared" si="42"/>
        <v>0</v>
      </c>
      <c r="O90" s="34">
        <f t="shared" si="43"/>
        <v>0</v>
      </c>
      <c r="P90" s="55">
        <v>85</v>
      </c>
      <c r="Q90" s="33">
        <f t="shared" si="51"/>
        <v>0</v>
      </c>
      <c r="R90" s="33">
        <f t="shared" si="57"/>
        <v>0</v>
      </c>
      <c r="S90" s="33">
        <f t="shared" si="58"/>
        <v>0</v>
      </c>
      <c r="T90" s="33">
        <f t="shared" si="44"/>
        <v>0</v>
      </c>
      <c r="U90" s="33">
        <f t="shared" si="52"/>
        <v>0</v>
      </c>
      <c r="V90" s="33">
        <f t="shared" si="45"/>
        <v>0</v>
      </c>
      <c r="W90" s="33">
        <v>0</v>
      </c>
      <c r="X90" s="33">
        <f t="shared" si="46"/>
        <v>0</v>
      </c>
      <c r="Y90" s="38">
        <f t="shared" si="47"/>
        <v>0</v>
      </c>
      <c r="AA90" s="71">
        <v>85</v>
      </c>
      <c r="AB90" s="33">
        <f t="shared" si="48"/>
        <v>0</v>
      </c>
      <c r="AC90" s="304">
        <f t="shared" si="39"/>
        <v>0</v>
      </c>
      <c r="AD90" s="100">
        <f t="shared" si="49"/>
        <v>0</v>
      </c>
      <c r="AE90" s="100">
        <f t="shared" si="50"/>
        <v>0</v>
      </c>
      <c r="AF90" s="193">
        <f t="shared" si="34"/>
        <v>0</v>
      </c>
      <c r="AG90" s="193">
        <f t="shared" si="35"/>
        <v>0</v>
      </c>
      <c r="AH90" s="193">
        <f t="shared" si="36"/>
        <v>0</v>
      </c>
      <c r="AI90" s="198">
        <f t="shared" si="37"/>
        <v>0</v>
      </c>
      <c r="AK90" s="71">
        <v>85</v>
      </c>
      <c r="AL90" s="33"/>
      <c r="AM90" s="33"/>
      <c r="AN90" s="33"/>
      <c r="AO90" s="33"/>
      <c r="AP90" s="33"/>
      <c r="AQ90" s="193"/>
      <c r="AR90" s="193"/>
      <c r="AS90" s="193"/>
      <c r="AT90" s="193"/>
      <c r="AU90" s="33"/>
      <c r="AV90" s="33"/>
      <c r="AW90" s="33"/>
      <c r="AX90" s="33"/>
      <c r="AY90" s="76"/>
    </row>
    <row r="91" spans="2:51">
      <c r="B91" s="171">
        <f>IF(C43&lt;=$F$18,C43+1,"-")</f>
        <v>56</v>
      </c>
      <c r="C91" s="147">
        <f>D43-D44</f>
        <v>24</v>
      </c>
      <c r="D91" s="148">
        <v>0.7</v>
      </c>
      <c r="E91" s="128">
        <f t="shared" si="60"/>
        <v>0.16800000000000004</v>
      </c>
      <c r="F91" s="128">
        <f t="shared" si="61"/>
        <v>0.13200000000000003</v>
      </c>
      <c r="G91" s="149"/>
      <c r="H91" s="58">
        <f t="shared" si="59"/>
        <v>0</v>
      </c>
      <c r="I91" s="55">
        <v>86</v>
      </c>
      <c r="J91" s="33">
        <f t="shared" si="53"/>
        <v>0</v>
      </c>
      <c r="K91" s="33">
        <f t="shared" si="54"/>
        <v>0</v>
      </c>
      <c r="L91" s="33">
        <f t="shared" si="55"/>
        <v>0</v>
      </c>
      <c r="M91" s="33">
        <f t="shared" si="56"/>
        <v>0</v>
      </c>
      <c r="N91" s="33">
        <f t="shared" si="42"/>
        <v>0</v>
      </c>
      <c r="O91" s="34">
        <f t="shared" si="43"/>
        <v>0</v>
      </c>
      <c r="P91" s="55">
        <v>86</v>
      </c>
      <c r="Q91" s="33">
        <f t="shared" si="51"/>
        <v>0</v>
      </c>
      <c r="R91" s="33">
        <f t="shared" si="57"/>
        <v>0</v>
      </c>
      <c r="S91" s="33">
        <f t="shared" si="58"/>
        <v>0</v>
      </c>
      <c r="T91" s="33">
        <f t="shared" si="44"/>
        <v>0</v>
      </c>
      <c r="U91" s="33">
        <f t="shared" si="52"/>
        <v>0</v>
      </c>
      <c r="V91" s="33">
        <f t="shared" si="45"/>
        <v>0</v>
      </c>
      <c r="W91" s="33">
        <v>0</v>
      </c>
      <c r="X91" s="33">
        <f t="shared" si="46"/>
        <v>0</v>
      </c>
      <c r="Y91" s="38">
        <f t="shared" si="47"/>
        <v>0</v>
      </c>
      <c r="AA91" s="71">
        <v>86</v>
      </c>
      <c r="AB91" s="33">
        <f t="shared" si="48"/>
        <v>0</v>
      </c>
      <c r="AC91" s="304">
        <f t="shared" si="39"/>
        <v>0</v>
      </c>
      <c r="AD91" s="100">
        <f t="shared" si="49"/>
        <v>0</v>
      </c>
      <c r="AE91" s="100">
        <f t="shared" si="50"/>
        <v>0</v>
      </c>
      <c r="AF91" s="193">
        <f t="shared" ref="AF91:AF154" si="62">IF(OR(AA91&lt;=$F$18,AA91&lt;=30),EXP(-LN(2)/$D$104)*AF90+((1-EXP(-LN(2)/$D$104))/(LN(2)/$D$104))*$AB91*AC91*0.475*$F$19*44/12,)</f>
        <v>0</v>
      </c>
      <c r="AG91" s="193">
        <f t="shared" ref="AG91:AG154" si="63">IF(OR(AA91&lt;=$F$18,AA91&lt;=30),EXP(-LN(2)/$D$106)*AG90+((1-EXP(-LN(2)/$D$106))/(LN(2)/$D$106))*$AB91*AD91*0.475*$F$19*44/12,)</f>
        <v>0</v>
      </c>
      <c r="AH91" s="193">
        <f t="shared" ref="AH91:AH154" si="64">IF(OR(AA91&lt;=$F$18,AA91&lt;=30),EXP(-LN(2)/$D$105)*AH90+((1-EXP(-LN(2)/$D$105))/(LN(2)/$D$105))*$AB91*AE91*0.475*$F$19*44/12,)</f>
        <v>0</v>
      </c>
      <c r="AI91" s="198">
        <f t="shared" ref="AI91:AI154" si="65">IF(OR(AA91&lt;=$F$18,AA91&lt;=30),SUM(AF91:AH91),)</f>
        <v>0</v>
      </c>
      <c r="AK91" s="71">
        <v>86</v>
      </c>
      <c r="AL91" s="33"/>
      <c r="AM91" s="33"/>
      <c r="AN91" s="33"/>
      <c r="AO91" s="33"/>
      <c r="AP91" s="33"/>
      <c r="AQ91" s="193"/>
      <c r="AR91" s="193"/>
      <c r="AS91" s="193"/>
      <c r="AT91" s="193"/>
      <c r="AU91" s="33"/>
      <c r="AV91" s="33"/>
      <c r="AW91" s="33"/>
      <c r="AX91" s="33"/>
      <c r="AY91" s="76"/>
    </row>
    <row r="92" spans="2:51">
      <c r="B92" s="171">
        <f>IF(C45&lt;=$F$18,C45+1,"-")</f>
        <v>61</v>
      </c>
      <c r="C92" s="147">
        <f>D45-D46</f>
        <v>22</v>
      </c>
      <c r="D92" s="148">
        <v>0.8</v>
      </c>
      <c r="E92" s="128">
        <f t="shared" si="60"/>
        <v>0.11199999999999999</v>
      </c>
      <c r="F92" s="128">
        <f t="shared" si="61"/>
        <v>8.7999999999999981E-2</v>
      </c>
      <c r="G92" s="149"/>
      <c r="H92" s="58">
        <f t="shared" si="59"/>
        <v>0</v>
      </c>
      <c r="I92" s="55">
        <v>87</v>
      </c>
      <c r="J92" s="33">
        <f t="shared" si="53"/>
        <v>0</v>
      </c>
      <c r="K92" s="33">
        <f t="shared" si="54"/>
        <v>0</v>
      </c>
      <c r="L92" s="33">
        <f t="shared" si="55"/>
        <v>0</v>
      </c>
      <c r="M92" s="33">
        <f t="shared" si="56"/>
        <v>0</v>
      </c>
      <c r="N92" s="33">
        <f t="shared" si="42"/>
        <v>0</v>
      </c>
      <c r="O92" s="34">
        <f t="shared" si="43"/>
        <v>0</v>
      </c>
      <c r="P92" s="55">
        <v>87</v>
      </c>
      <c r="Q92" s="33">
        <f t="shared" si="51"/>
        <v>0</v>
      </c>
      <c r="R92" s="33">
        <f t="shared" si="57"/>
        <v>0</v>
      </c>
      <c r="S92" s="33">
        <f t="shared" si="58"/>
        <v>0</v>
      </c>
      <c r="T92" s="33">
        <f t="shared" si="44"/>
        <v>0</v>
      </c>
      <c r="U92" s="33">
        <f t="shared" si="52"/>
        <v>0</v>
      </c>
      <c r="V92" s="33">
        <f t="shared" si="45"/>
        <v>0</v>
      </c>
      <c r="W92" s="33">
        <v>0</v>
      </c>
      <c r="X92" s="33">
        <f t="shared" si="46"/>
        <v>0</v>
      </c>
      <c r="Y92" s="38">
        <f t="shared" si="47"/>
        <v>0</v>
      </c>
      <c r="AA92" s="71">
        <v>87</v>
      </c>
      <c r="AB92" s="33">
        <f t="shared" si="48"/>
        <v>0</v>
      </c>
      <c r="AC92" s="304">
        <f t="shared" si="39"/>
        <v>0</v>
      </c>
      <c r="AD92" s="100">
        <f t="shared" si="49"/>
        <v>0</v>
      </c>
      <c r="AE92" s="100">
        <f t="shared" si="50"/>
        <v>0</v>
      </c>
      <c r="AF92" s="193">
        <f t="shared" si="62"/>
        <v>0</v>
      </c>
      <c r="AG92" s="193">
        <f t="shared" si="63"/>
        <v>0</v>
      </c>
      <c r="AH92" s="193">
        <f t="shared" si="64"/>
        <v>0</v>
      </c>
      <c r="AI92" s="198">
        <f t="shared" si="65"/>
        <v>0</v>
      </c>
      <c r="AK92" s="71">
        <v>87</v>
      </c>
      <c r="AL92" s="33"/>
      <c r="AM92" s="33"/>
      <c r="AN92" s="33"/>
      <c r="AO92" s="33"/>
      <c r="AP92" s="33"/>
      <c r="AQ92" s="193"/>
      <c r="AR92" s="193"/>
      <c r="AS92" s="193"/>
      <c r="AT92" s="193"/>
      <c r="AU92" s="33"/>
      <c r="AV92" s="33"/>
      <c r="AW92" s="33"/>
      <c r="AX92" s="33"/>
      <c r="AY92" s="76"/>
    </row>
    <row r="93" spans="2:51">
      <c r="B93" s="171">
        <f>IF(C47&lt;=$F$18,C47+1,"-")</f>
        <v>66</v>
      </c>
      <c r="C93" s="147">
        <f>D47-D48</f>
        <v>21</v>
      </c>
      <c r="D93" s="148">
        <v>0.9</v>
      </c>
      <c r="E93" s="128">
        <f t="shared" si="60"/>
        <v>5.5999999999999994E-2</v>
      </c>
      <c r="F93" s="128">
        <f t="shared" si="61"/>
        <v>4.3999999999999991E-2</v>
      </c>
      <c r="G93" s="149"/>
      <c r="H93" s="58">
        <f t="shared" si="59"/>
        <v>0</v>
      </c>
      <c r="I93" s="55">
        <v>88</v>
      </c>
      <c r="J93" s="33">
        <f t="shared" si="53"/>
        <v>0</v>
      </c>
      <c r="K93" s="33">
        <f t="shared" si="54"/>
        <v>0</v>
      </c>
      <c r="L93" s="33">
        <f t="shared" si="55"/>
        <v>0</v>
      </c>
      <c r="M93" s="33">
        <f t="shared" si="56"/>
        <v>0</v>
      </c>
      <c r="N93" s="33">
        <f t="shared" si="42"/>
        <v>0</v>
      </c>
      <c r="O93" s="34">
        <f t="shared" si="43"/>
        <v>0</v>
      </c>
      <c r="P93" s="55">
        <v>88</v>
      </c>
      <c r="Q93" s="33">
        <f t="shared" si="51"/>
        <v>0</v>
      </c>
      <c r="R93" s="33">
        <f t="shared" si="57"/>
        <v>0</v>
      </c>
      <c r="S93" s="33">
        <f t="shared" si="58"/>
        <v>0</v>
      </c>
      <c r="T93" s="33">
        <f t="shared" si="44"/>
        <v>0</v>
      </c>
      <c r="U93" s="33">
        <f t="shared" si="52"/>
        <v>0</v>
      </c>
      <c r="V93" s="33">
        <f t="shared" si="45"/>
        <v>0</v>
      </c>
      <c r="W93" s="33">
        <v>0</v>
      </c>
      <c r="X93" s="33">
        <f t="shared" si="46"/>
        <v>0</v>
      </c>
      <c r="Y93" s="38">
        <f t="shared" si="47"/>
        <v>0</v>
      </c>
      <c r="AA93" s="71">
        <v>88</v>
      </c>
      <c r="AB93" s="33">
        <f t="shared" si="48"/>
        <v>0</v>
      </c>
      <c r="AC93" s="304">
        <f t="shared" si="39"/>
        <v>0</v>
      </c>
      <c r="AD93" s="100">
        <f t="shared" si="49"/>
        <v>0</v>
      </c>
      <c r="AE93" s="100">
        <f t="shared" si="50"/>
        <v>0</v>
      </c>
      <c r="AF93" s="193">
        <f t="shared" si="62"/>
        <v>0</v>
      </c>
      <c r="AG93" s="193">
        <f t="shared" si="63"/>
        <v>0</v>
      </c>
      <c r="AH93" s="193">
        <f t="shared" si="64"/>
        <v>0</v>
      </c>
      <c r="AI93" s="198">
        <f t="shared" si="65"/>
        <v>0</v>
      </c>
      <c r="AK93" s="71">
        <v>88</v>
      </c>
      <c r="AL93" s="33"/>
      <c r="AM93" s="33"/>
      <c r="AN93" s="33"/>
      <c r="AO93" s="33"/>
      <c r="AP93" s="33"/>
      <c r="AQ93" s="193"/>
      <c r="AR93" s="193"/>
      <c r="AS93" s="193"/>
      <c r="AT93" s="193"/>
      <c r="AU93" s="33"/>
      <c r="AV93" s="33"/>
      <c r="AW93" s="33"/>
      <c r="AX93" s="33"/>
      <c r="AY93" s="76"/>
    </row>
    <row r="94" spans="2:51">
      <c r="B94" s="183">
        <f>F18</f>
        <v>80</v>
      </c>
      <c r="C94" s="180">
        <f>IFERROR(VLOOKUP(B94,C25:D78,2),)</f>
        <v>352</v>
      </c>
      <c r="D94" s="181">
        <v>0.95</v>
      </c>
      <c r="E94" s="182">
        <f t="shared" si="60"/>
        <v>2.8000000000000028E-2</v>
      </c>
      <c r="F94" s="182">
        <f t="shared" si="61"/>
        <v>2.200000000000002E-2</v>
      </c>
      <c r="G94" s="150"/>
      <c r="H94" s="58">
        <f t="shared" si="59"/>
        <v>0</v>
      </c>
      <c r="I94" s="55">
        <v>89</v>
      </c>
      <c r="J94" s="33">
        <f t="shared" si="53"/>
        <v>0</v>
      </c>
      <c r="K94" s="33">
        <f t="shared" si="54"/>
        <v>0</v>
      </c>
      <c r="L94" s="33">
        <f t="shared" si="55"/>
        <v>0</v>
      </c>
      <c r="M94" s="33">
        <f t="shared" si="56"/>
        <v>0</v>
      </c>
      <c r="N94" s="33">
        <f t="shared" si="42"/>
        <v>0</v>
      </c>
      <c r="O94" s="34">
        <f t="shared" si="43"/>
        <v>0</v>
      </c>
      <c r="P94" s="55">
        <v>89</v>
      </c>
      <c r="Q94" s="33">
        <f t="shared" si="51"/>
        <v>0</v>
      </c>
      <c r="R94" s="33">
        <f t="shared" si="57"/>
        <v>0</v>
      </c>
      <c r="S94" s="33">
        <f t="shared" si="58"/>
        <v>0</v>
      </c>
      <c r="T94" s="33">
        <f t="shared" si="44"/>
        <v>0</v>
      </c>
      <c r="U94" s="33">
        <f t="shared" si="52"/>
        <v>0</v>
      </c>
      <c r="V94" s="33">
        <f t="shared" si="45"/>
        <v>0</v>
      </c>
      <c r="W94" s="33">
        <v>0</v>
      </c>
      <c r="X94" s="33">
        <f t="shared" si="46"/>
        <v>0</v>
      </c>
      <c r="Y94" s="38">
        <f t="shared" si="47"/>
        <v>0</v>
      </c>
      <c r="AA94" s="71">
        <v>89</v>
      </c>
      <c r="AB94" s="33">
        <f t="shared" si="48"/>
        <v>0</v>
      </c>
      <c r="AC94" s="304">
        <f t="shared" si="39"/>
        <v>0</v>
      </c>
      <c r="AD94" s="100">
        <f t="shared" si="49"/>
        <v>0</v>
      </c>
      <c r="AE94" s="100">
        <f t="shared" si="50"/>
        <v>0</v>
      </c>
      <c r="AF94" s="193">
        <f t="shared" si="62"/>
        <v>0</v>
      </c>
      <c r="AG94" s="193">
        <f t="shared" si="63"/>
        <v>0</v>
      </c>
      <c r="AH94" s="193">
        <f t="shared" si="64"/>
        <v>0</v>
      </c>
      <c r="AI94" s="198">
        <f t="shared" si="65"/>
        <v>0</v>
      </c>
      <c r="AK94" s="71">
        <v>89</v>
      </c>
      <c r="AL94" s="33"/>
      <c r="AM94" s="33"/>
      <c r="AN94" s="33"/>
      <c r="AO94" s="33"/>
      <c r="AP94" s="33"/>
      <c r="AQ94" s="193"/>
      <c r="AR94" s="193"/>
      <c r="AS94" s="193"/>
      <c r="AT94" s="193"/>
      <c r="AU94" s="33"/>
      <c r="AV94" s="33"/>
      <c r="AW94" s="33"/>
      <c r="AX94" s="33"/>
      <c r="AY94" s="76"/>
    </row>
    <row r="95" spans="2:51">
      <c r="I95" s="55">
        <v>90</v>
      </c>
      <c r="J95" s="33">
        <f t="shared" si="53"/>
        <v>0</v>
      </c>
      <c r="K95" s="33">
        <f t="shared" si="54"/>
        <v>0</v>
      </c>
      <c r="L95" s="33">
        <f t="shared" si="55"/>
        <v>0</v>
      </c>
      <c r="M95" s="33">
        <f t="shared" si="56"/>
        <v>0</v>
      </c>
      <c r="N95" s="33">
        <f t="shared" si="42"/>
        <v>0</v>
      </c>
      <c r="O95" s="34">
        <f t="shared" si="43"/>
        <v>0</v>
      </c>
      <c r="P95" s="55">
        <v>90</v>
      </c>
      <c r="Q95" s="33">
        <f t="shared" si="51"/>
        <v>0</v>
      </c>
      <c r="R95" s="33">
        <f t="shared" si="57"/>
        <v>0</v>
      </c>
      <c r="S95" s="33">
        <f t="shared" si="58"/>
        <v>0</v>
      </c>
      <c r="T95" s="33">
        <f t="shared" si="44"/>
        <v>0</v>
      </c>
      <c r="U95" s="33">
        <f t="shared" si="52"/>
        <v>0</v>
      </c>
      <c r="V95" s="33">
        <f t="shared" si="45"/>
        <v>0</v>
      </c>
      <c r="W95" s="33">
        <v>0</v>
      </c>
      <c r="X95" s="33">
        <f t="shared" si="46"/>
        <v>0</v>
      </c>
      <c r="Y95" s="38">
        <f t="shared" si="47"/>
        <v>0</v>
      </c>
      <c r="AA95" s="71">
        <v>90</v>
      </c>
      <c r="AB95" s="33">
        <f t="shared" si="48"/>
        <v>0</v>
      </c>
      <c r="AC95" s="304">
        <f t="shared" ref="AC95:AC158" si="66">IF(AA95&lt;=$F$18,IFERROR(VLOOKUP($AA95,$B$82:$G$94,3,FALSE),0),)*50%</f>
        <v>0</v>
      </c>
      <c r="AD95" s="100">
        <f t="shared" si="49"/>
        <v>0</v>
      </c>
      <c r="AE95" s="100">
        <f t="shared" si="50"/>
        <v>0</v>
      </c>
      <c r="AF95" s="193">
        <f t="shared" si="62"/>
        <v>0</v>
      </c>
      <c r="AG95" s="193">
        <f t="shared" si="63"/>
        <v>0</v>
      </c>
      <c r="AH95" s="193">
        <f t="shared" si="64"/>
        <v>0</v>
      </c>
      <c r="AI95" s="198">
        <f t="shared" si="65"/>
        <v>0</v>
      </c>
      <c r="AK95" s="71">
        <v>90</v>
      </c>
      <c r="AL95" s="33"/>
      <c r="AM95" s="33"/>
      <c r="AN95" s="33"/>
      <c r="AO95" s="33"/>
      <c r="AP95" s="33"/>
      <c r="AQ95" s="193"/>
      <c r="AR95" s="193"/>
      <c r="AS95" s="193"/>
      <c r="AT95" s="193"/>
      <c r="AU95" s="33"/>
      <c r="AV95" s="33"/>
      <c r="AW95" s="33"/>
      <c r="AX95" s="33"/>
      <c r="AY95" s="76"/>
    </row>
    <row r="96" spans="2:51">
      <c r="C96" s="67" t="s">
        <v>154</v>
      </c>
      <c r="D96" t="s">
        <v>137</v>
      </c>
      <c r="E96" s="6"/>
      <c r="I96" s="55">
        <v>91</v>
      </c>
      <c r="J96" s="33">
        <f t="shared" si="53"/>
        <v>0</v>
      </c>
      <c r="K96" s="33">
        <f t="shared" si="54"/>
        <v>0</v>
      </c>
      <c r="L96" s="33">
        <f t="shared" si="55"/>
        <v>0</v>
      </c>
      <c r="M96" s="33">
        <f t="shared" si="56"/>
        <v>0</v>
      </c>
      <c r="N96" s="33">
        <f t="shared" si="42"/>
        <v>0</v>
      </c>
      <c r="O96" s="34">
        <f t="shared" si="43"/>
        <v>0</v>
      </c>
      <c r="P96" s="55">
        <v>91</v>
      </c>
      <c r="Q96" s="33">
        <f t="shared" si="51"/>
        <v>0</v>
      </c>
      <c r="R96" s="33">
        <f t="shared" si="57"/>
        <v>0</v>
      </c>
      <c r="S96" s="33">
        <f t="shared" si="58"/>
        <v>0</v>
      </c>
      <c r="T96" s="33">
        <f t="shared" si="44"/>
        <v>0</v>
      </c>
      <c r="U96" s="33">
        <f t="shared" si="52"/>
        <v>0</v>
      </c>
      <c r="V96" s="33">
        <f t="shared" si="45"/>
        <v>0</v>
      </c>
      <c r="W96" s="33">
        <v>0</v>
      </c>
      <c r="X96" s="33">
        <f t="shared" si="46"/>
        <v>0</v>
      </c>
      <c r="Y96" s="38">
        <f t="shared" si="47"/>
        <v>0</v>
      </c>
      <c r="AA96" s="71">
        <v>91</v>
      </c>
      <c r="AB96" s="33">
        <f t="shared" si="48"/>
        <v>0</v>
      </c>
      <c r="AC96" s="304">
        <f t="shared" si="66"/>
        <v>0</v>
      </c>
      <c r="AD96" s="100">
        <f t="shared" si="49"/>
        <v>0</v>
      </c>
      <c r="AE96" s="100">
        <f t="shared" si="50"/>
        <v>0</v>
      </c>
      <c r="AF96" s="193">
        <f t="shared" si="62"/>
        <v>0</v>
      </c>
      <c r="AG96" s="193">
        <f t="shared" si="63"/>
        <v>0</v>
      </c>
      <c r="AH96" s="193">
        <f t="shared" si="64"/>
        <v>0</v>
      </c>
      <c r="AI96" s="198">
        <f t="shared" si="65"/>
        <v>0</v>
      </c>
      <c r="AK96" s="71">
        <v>91</v>
      </c>
      <c r="AL96" s="33"/>
      <c r="AM96" s="33"/>
      <c r="AN96" s="33"/>
      <c r="AO96" s="33"/>
      <c r="AP96" s="33"/>
      <c r="AQ96" s="193"/>
      <c r="AR96" s="193"/>
      <c r="AS96" s="193"/>
      <c r="AT96" s="193"/>
      <c r="AU96" s="33"/>
      <c r="AV96" s="33"/>
      <c r="AW96" s="33"/>
      <c r="AX96" s="33"/>
      <c r="AY96" s="76"/>
    </row>
    <row r="97" spans="2:51">
      <c r="B97" s="2" t="s">
        <v>0</v>
      </c>
      <c r="C97">
        <v>32</v>
      </c>
      <c r="D97">
        <v>0</v>
      </c>
      <c r="E97" s="6"/>
      <c r="I97" s="55">
        <v>92</v>
      </c>
      <c r="J97" s="33">
        <f t="shared" si="53"/>
        <v>0</v>
      </c>
      <c r="K97" s="33">
        <f t="shared" si="54"/>
        <v>0</v>
      </c>
      <c r="L97" s="33">
        <f t="shared" si="55"/>
        <v>0</v>
      </c>
      <c r="M97" s="33">
        <f t="shared" si="56"/>
        <v>0</v>
      </c>
      <c r="N97" s="33">
        <f t="shared" si="42"/>
        <v>0</v>
      </c>
      <c r="O97" s="34">
        <f t="shared" si="43"/>
        <v>0</v>
      </c>
      <c r="P97" s="55">
        <v>92</v>
      </c>
      <c r="Q97" s="33">
        <f t="shared" si="51"/>
        <v>0</v>
      </c>
      <c r="R97" s="33">
        <f t="shared" si="57"/>
        <v>0</v>
      </c>
      <c r="S97" s="33">
        <f t="shared" si="58"/>
        <v>0</v>
      </c>
      <c r="T97" s="33">
        <f t="shared" si="44"/>
        <v>0</v>
      </c>
      <c r="U97" s="33">
        <f t="shared" si="52"/>
        <v>0</v>
      </c>
      <c r="V97" s="33">
        <f t="shared" si="45"/>
        <v>0</v>
      </c>
      <c r="W97" s="33">
        <v>0</v>
      </c>
      <c r="X97" s="33">
        <f t="shared" si="46"/>
        <v>0</v>
      </c>
      <c r="Y97" s="38">
        <f t="shared" si="47"/>
        <v>0</v>
      </c>
      <c r="AA97" s="71">
        <v>92</v>
      </c>
      <c r="AB97" s="33">
        <f t="shared" si="48"/>
        <v>0</v>
      </c>
      <c r="AC97" s="304">
        <f t="shared" si="66"/>
        <v>0</v>
      </c>
      <c r="AD97" s="100">
        <f t="shared" si="49"/>
        <v>0</v>
      </c>
      <c r="AE97" s="100">
        <f t="shared" si="50"/>
        <v>0</v>
      </c>
      <c r="AF97" s="193">
        <f t="shared" si="62"/>
        <v>0</v>
      </c>
      <c r="AG97" s="193">
        <f t="shared" si="63"/>
        <v>0</v>
      </c>
      <c r="AH97" s="193">
        <f t="shared" si="64"/>
        <v>0</v>
      </c>
      <c r="AI97" s="198">
        <f t="shared" si="65"/>
        <v>0</v>
      </c>
      <c r="AK97" s="71">
        <v>92</v>
      </c>
      <c r="AL97" s="33"/>
      <c r="AM97" s="33"/>
      <c r="AN97" s="33"/>
      <c r="AO97" s="33"/>
      <c r="AP97" s="33"/>
      <c r="AQ97" s="193"/>
      <c r="AR97" s="193"/>
      <c r="AS97" s="193"/>
      <c r="AT97" s="193"/>
      <c r="AU97" s="33"/>
      <c r="AV97" s="33"/>
      <c r="AW97" s="33"/>
      <c r="AX97" s="33"/>
      <c r="AY97" s="76"/>
    </row>
    <row r="98" spans="2:51">
      <c r="B98" s="2" t="s">
        <v>1</v>
      </c>
      <c r="C98">
        <v>45</v>
      </c>
      <c r="D98">
        <v>0</v>
      </c>
      <c r="E98" s="6"/>
      <c r="I98" s="55">
        <v>93</v>
      </c>
      <c r="J98" s="33">
        <f t="shared" si="53"/>
        <v>0</v>
      </c>
      <c r="K98" s="33">
        <f t="shared" si="54"/>
        <v>0</v>
      </c>
      <c r="L98" s="33">
        <f t="shared" si="55"/>
        <v>0</v>
      </c>
      <c r="M98" s="33">
        <f t="shared" si="56"/>
        <v>0</v>
      </c>
      <c r="N98" s="33">
        <f t="shared" si="42"/>
        <v>0</v>
      </c>
      <c r="O98" s="34">
        <f t="shared" si="43"/>
        <v>0</v>
      </c>
      <c r="P98" s="55">
        <v>93</v>
      </c>
      <c r="Q98" s="33">
        <f t="shared" si="51"/>
        <v>0</v>
      </c>
      <c r="R98" s="33">
        <f t="shared" si="57"/>
        <v>0</v>
      </c>
      <c r="S98" s="33">
        <f t="shared" si="58"/>
        <v>0</v>
      </c>
      <c r="T98" s="33">
        <f t="shared" si="44"/>
        <v>0</v>
      </c>
      <c r="U98" s="33">
        <f t="shared" si="52"/>
        <v>0</v>
      </c>
      <c r="V98" s="33">
        <f t="shared" si="45"/>
        <v>0</v>
      </c>
      <c r="W98" s="33">
        <v>0</v>
      </c>
      <c r="X98" s="33">
        <f t="shared" si="46"/>
        <v>0</v>
      </c>
      <c r="Y98" s="38">
        <f t="shared" si="47"/>
        <v>0</v>
      </c>
      <c r="AA98" s="71">
        <v>93</v>
      </c>
      <c r="AB98" s="33">
        <f t="shared" si="48"/>
        <v>0</v>
      </c>
      <c r="AC98" s="304">
        <f t="shared" si="66"/>
        <v>0</v>
      </c>
      <c r="AD98" s="100">
        <f t="shared" si="49"/>
        <v>0</v>
      </c>
      <c r="AE98" s="100">
        <f t="shared" si="50"/>
        <v>0</v>
      </c>
      <c r="AF98" s="193">
        <f t="shared" si="62"/>
        <v>0</v>
      </c>
      <c r="AG98" s="193">
        <f t="shared" si="63"/>
        <v>0</v>
      </c>
      <c r="AH98" s="193">
        <f t="shared" si="64"/>
        <v>0</v>
      </c>
      <c r="AI98" s="198">
        <f t="shared" si="65"/>
        <v>0</v>
      </c>
      <c r="AK98" s="71">
        <v>93</v>
      </c>
      <c r="AL98" s="33"/>
      <c r="AM98" s="33"/>
      <c r="AN98" s="33"/>
      <c r="AO98" s="33"/>
      <c r="AP98" s="33"/>
      <c r="AQ98" s="193"/>
      <c r="AR98" s="193"/>
      <c r="AS98" s="193"/>
      <c r="AT98" s="193"/>
      <c r="AU98" s="33"/>
      <c r="AV98" s="33"/>
      <c r="AW98" s="33"/>
      <c r="AX98" s="33"/>
      <c r="AY98" s="76"/>
    </row>
    <row r="99" spans="2:51">
      <c r="B99" s="2" t="s">
        <v>2</v>
      </c>
      <c r="C99">
        <v>70</v>
      </c>
      <c r="D99">
        <v>0</v>
      </c>
      <c r="E99" s="6"/>
      <c r="I99" s="55">
        <v>94</v>
      </c>
      <c r="J99" s="33">
        <f t="shared" si="53"/>
        <v>0</v>
      </c>
      <c r="K99" s="33">
        <f t="shared" si="54"/>
        <v>0</v>
      </c>
      <c r="L99" s="33">
        <f t="shared" si="55"/>
        <v>0</v>
      </c>
      <c r="M99" s="33">
        <f t="shared" si="56"/>
        <v>0</v>
      </c>
      <c r="N99" s="33">
        <f t="shared" si="42"/>
        <v>0</v>
      </c>
      <c r="O99" s="34">
        <f t="shared" si="43"/>
        <v>0</v>
      </c>
      <c r="P99" s="55">
        <v>94</v>
      </c>
      <c r="Q99" s="33">
        <f t="shared" si="51"/>
        <v>0</v>
      </c>
      <c r="R99" s="33">
        <f t="shared" si="57"/>
        <v>0</v>
      </c>
      <c r="S99" s="33">
        <f t="shared" si="58"/>
        <v>0</v>
      </c>
      <c r="T99" s="33">
        <f t="shared" si="44"/>
        <v>0</v>
      </c>
      <c r="U99" s="33">
        <f t="shared" si="52"/>
        <v>0</v>
      </c>
      <c r="V99" s="33">
        <f t="shared" si="45"/>
        <v>0</v>
      </c>
      <c r="W99" s="33">
        <v>0</v>
      </c>
      <c r="X99" s="33">
        <f t="shared" si="46"/>
        <v>0</v>
      </c>
      <c r="Y99" s="38">
        <f t="shared" si="47"/>
        <v>0</v>
      </c>
      <c r="AA99" s="71">
        <v>94</v>
      </c>
      <c r="AB99" s="33">
        <f t="shared" si="48"/>
        <v>0</v>
      </c>
      <c r="AC99" s="304">
        <f t="shared" si="66"/>
        <v>0</v>
      </c>
      <c r="AD99" s="100">
        <f t="shared" si="49"/>
        <v>0</v>
      </c>
      <c r="AE99" s="100">
        <f t="shared" si="50"/>
        <v>0</v>
      </c>
      <c r="AF99" s="193">
        <f t="shared" si="62"/>
        <v>0</v>
      </c>
      <c r="AG99" s="193">
        <f t="shared" si="63"/>
        <v>0</v>
      </c>
      <c r="AH99" s="193">
        <f t="shared" si="64"/>
        <v>0</v>
      </c>
      <c r="AI99" s="198">
        <f t="shared" si="65"/>
        <v>0</v>
      </c>
      <c r="AK99" s="71">
        <v>94</v>
      </c>
      <c r="AL99" s="33"/>
      <c r="AM99" s="33"/>
      <c r="AN99" s="33"/>
      <c r="AO99" s="33"/>
      <c r="AP99" s="33"/>
      <c r="AQ99" s="193"/>
      <c r="AR99" s="193"/>
      <c r="AS99" s="193"/>
      <c r="AT99" s="193"/>
      <c r="AU99" s="33"/>
      <c r="AV99" s="33"/>
      <c r="AW99" s="33"/>
      <c r="AX99" s="33"/>
      <c r="AY99" s="76"/>
    </row>
    <row r="100" spans="2:51">
      <c r="B100" s="2" t="s">
        <v>135</v>
      </c>
      <c r="C100">
        <v>70</v>
      </c>
      <c r="D100">
        <v>0</v>
      </c>
      <c r="E100" s="6"/>
      <c r="I100" s="55">
        <v>95</v>
      </c>
      <c r="J100" s="33">
        <f t="shared" si="53"/>
        <v>0</v>
      </c>
      <c r="K100" s="33">
        <f t="shared" si="54"/>
        <v>0</v>
      </c>
      <c r="L100" s="33">
        <f t="shared" si="55"/>
        <v>0</v>
      </c>
      <c r="M100" s="33">
        <f t="shared" si="56"/>
        <v>0</v>
      </c>
      <c r="N100" s="33">
        <f t="shared" si="42"/>
        <v>0</v>
      </c>
      <c r="O100" s="34">
        <f t="shared" si="43"/>
        <v>0</v>
      </c>
      <c r="P100" s="55">
        <v>95</v>
      </c>
      <c r="Q100" s="33">
        <f t="shared" si="51"/>
        <v>0</v>
      </c>
      <c r="R100" s="33">
        <f t="shared" si="57"/>
        <v>0</v>
      </c>
      <c r="S100" s="33">
        <f t="shared" si="58"/>
        <v>0</v>
      </c>
      <c r="T100" s="33">
        <f t="shared" si="44"/>
        <v>0</v>
      </c>
      <c r="U100" s="33">
        <f t="shared" si="52"/>
        <v>0</v>
      </c>
      <c r="V100" s="33">
        <f t="shared" si="45"/>
        <v>0</v>
      </c>
      <c r="W100" s="33">
        <v>0</v>
      </c>
      <c r="X100" s="33">
        <f t="shared" si="46"/>
        <v>0</v>
      </c>
      <c r="Y100" s="38">
        <f t="shared" si="47"/>
        <v>0</v>
      </c>
      <c r="AA100" s="71">
        <v>95</v>
      </c>
      <c r="AB100" s="33">
        <f t="shared" si="48"/>
        <v>0</v>
      </c>
      <c r="AC100" s="304">
        <f t="shared" si="66"/>
        <v>0</v>
      </c>
      <c r="AD100" s="100">
        <f t="shared" si="49"/>
        <v>0</v>
      </c>
      <c r="AE100" s="100">
        <f t="shared" si="50"/>
        <v>0</v>
      </c>
      <c r="AF100" s="193">
        <f t="shared" si="62"/>
        <v>0</v>
      </c>
      <c r="AG100" s="193">
        <f t="shared" si="63"/>
        <v>0</v>
      </c>
      <c r="AH100" s="193">
        <f t="shared" si="64"/>
        <v>0</v>
      </c>
      <c r="AI100" s="198">
        <f t="shared" si="65"/>
        <v>0</v>
      </c>
      <c r="AK100" s="71">
        <v>95</v>
      </c>
      <c r="AL100" s="33"/>
      <c r="AM100" s="33"/>
      <c r="AN100" s="33"/>
      <c r="AO100" s="33"/>
      <c r="AP100" s="33"/>
      <c r="AQ100" s="193"/>
      <c r="AR100" s="193"/>
      <c r="AS100" s="193"/>
      <c r="AT100" s="193"/>
      <c r="AU100" s="33"/>
      <c r="AV100" s="33"/>
      <c r="AW100" s="33"/>
      <c r="AX100" s="33"/>
      <c r="AY100" s="76"/>
    </row>
    <row r="101" spans="2:51">
      <c r="C101" s="27"/>
      <c r="E101" s="6"/>
      <c r="I101" s="55">
        <v>96</v>
      </c>
      <c r="J101" s="33">
        <f t="shared" si="53"/>
        <v>0</v>
      </c>
      <c r="K101" s="33">
        <f t="shared" si="54"/>
        <v>0</v>
      </c>
      <c r="L101" s="33">
        <f t="shared" si="55"/>
        <v>0</v>
      </c>
      <c r="M101" s="33">
        <f t="shared" si="56"/>
        <v>0</v>
      </c>
      <c r="N101" s="33">
        <f t="shared" si="42"/>
        <v>0</v>
      </c>
      <c r="O101" s="34">
        <f t="shared" si="43"/>
        <v>0</v>
      </c>
      <c r="P101" s="55">
        <v>96</v>
      </c>
      <c r="Q101" s="33">
        <f t="shared" si="51"/>
        <v>0</v>
      </c>
      <c r="R101" s="33">
        <f t="shared" si="57"/>
        <v>0</v>
      </c>
      <c r="S101" s="33">
        <f t="shared" si="58"/>
        <v>0</v>
      </c>
      <c r="T101" s="33">
        <f t="shared" si="44"/>
        <v>0</v>
      </c>
      <c r="U101" s="33">
        <f t="shared" si="52"/>
        <v>0</v>
      </c>
      <c r="V101" s="33">
        <f t="shared" si="45"/>
        <v>0</v>
      </c>
      <c r="W101" s="33">
        <v>0</v>
      </c>
      <c r="X101" s="33">
        <f t="shared" si="46"/>
        <v>0</v>
      </c>
      <c r="Y101" s="38">
        <f t="shared" si="47"/>
        <v>0</v>
      </c>
      <c r="AA101" s="71">
        <v>96</v>
      </c>
      <c r="AB101" s="33">
        <f t="shared" si="48"/>
        <v>0</v>
      </c>
      <c r="AC101" s="304">
        <f t="shared" si="66"/>
        <v>0</v>
      </c>
      <c r="AD101" s="100">
        <f t="shared" si="49"/>
        <v>0</v>
      </c>
      <c r="AE101" s="100">
        <f t="shared" si="50"/>
        <v>0</v>
      </c>
      <c r="AF101" s="193">
        <f t="shared" si="62"/>
        <v>0</v>
      </c>
      <c r="AG101" s="193">
        <f t="shared" si="63"/>
        <v>0</v>
      </c>
      <c r="AH101" s="193">
        <f t="shared" si="64"/>
        <v>0</v>
      </c>
      <c r="AI101" s="198">
        <f t="shared" si="65"/>
        <v>0</v>
      </c>
      <c r="AK101" s="71">
        <v>96</v>
      </c>
      <c r="AL101" s="33"/>
      <c r="AM101" s="33"/>
      <c r="AN101" s="33"/>
      <c r="AO101" s="33"/>
      <c r="AP101" s="33"/>
      <c r="AQ101" s="193"/>
      <c r="AR101" s="193"/>
      <c r="AS101" s="193"/>
      <c r="AT101" s="193"/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53"/>
        <v>0</v>
      </c>
      <c r="K102" s="33">
        <f t="shared" si="54"/>
        <v>0</v>
      </c>
      <c r="L102" s="33">
        <f t="shared" si="55"/>
        <v>0</v>
      </c>
      <c r="M102" s="33">
        <f t="shared" si="56"/>
        <v>0</v>
      </c>
      <c r="N102" s="33">
        <f t="shared" si="42"/>
        <v>0</v>
      </c>
      <c r="O102" s="34">
        <f t="shared" si="43"/>
        <v>0</v>
      </c>
      <c r="P102" s="55">
        <v>97</v>
      </c>
      <c r="Q102" s="33">
        <f t="shared" si="51"/>
        <v>0</v>
      </c>
      <c r="R102" s="33">
        <f t="shared" si="57"/>
        <v>0</v>
      </c>
      <c r="S102" s="33">
        <f t="shared" si="58"/>
        <v>0</v>
      </c>
      <c r="T102" s="33">
        <f t="shared" si="44"/>
        <v>0</v>
      </c>
      <c r="U102" s="33">
        <f t="shared" si="52"/>
        <v>0</v>
      </c>
      <c r="V102" s="33">
        <f t="shared" si="45"/>
        <v>0</v>
      </c>
      <c r="W102" s="33">
        <v>0</v>
      </c>
      <c r="X102" s="33">
        <f t="shared" si="46"/>
        <v>0</v>
      </c>
      <c r="Y102" s="38">
        <f t="shared" si="47"/>
        <v>0</v>
      </c>
      <c r="AA102" s="71">
        <v>97</v>
      </c>
      <c r="AB102" s="33">
        <f t="shared" si="48"/>
        <v>0</v>
      </c>
      <c r="AC102" s="304">
        <f t="shared" si="66"/>
        <v>0</v>
      </c>
      <c r="AD102" s="100">
        <f t="shared" si="49"/>
        <v>0</v>
      </c>
      <c r="AE102" s="100">
        <f t="shared" si="50"/>
        <v>0</v>
      </c>
      <c r="AF102" s="193">
        <f t="shared" si="62"/>
        <v>0</v>
      </c>
      <c r="AG102" s="193">
        <f t="shared" si="63"/>
        <v>0</v>
      </c>
      <c r="AH102" s="193">
        <f t="shared" si="64"/>
        <v>0</v>
      </c>
      <c r="AI102" s="198">
        <f t="shared" si="65"/>
        <v>0</v>
      </c>
      <c r="AK102" s="71">
        <v>97</v>
      </c>
      <c r="AL102" s="33"/>
      <c r="AM102" s="33"/>
      <c r="AN102" s="33"/>
      <c r="AO102" s="33"/>
      <c r="AP102" s="33"/>
      <c r="AQ102" s="193"/>
      <c r="AR102" s="193"/>
      <c r="AS102" s="193"/>
      <c r="AT102" s="193"/>
      <c r="AU102" s="33"/>
      <c r="AV102" s="33"/>
      <c r="AW102" s="33"/>
      <c r="AX102" s="33"/>
      <c r="AY102" s="76"/>
    </row>
    <row r="103" spans="2:51" ht="16">
      <c r="C103" s="25" t="s">
        <v>157</v>
      </c>
      <c r="D103" s="156" t="s">
        <v>158</v>
      </c>
      <c r="F103" s="189" t="s">
        <v>232</v>
      </c>
      <c r="I103" s="55">
        <v>98</v>
      </c>
      <c r="J103" s="33">
        <f t="shared" si="53"/>
        <v>0</v>
      </c>
      <c r="K103" s="33">
        <f t="shared" si="54"/>
        <v>0</v>
      </c>
      <c r="L103" s="33">
        <f t="shared" si="55"/>
        <v>0</v>
      </c>
      <c r="M103" s="33">
        <f t="shared" si="56"/>
        <v>0</v>
      </c>
      <c r="N103" s="33">
        <f t="shared" si="42"/>
        <v>0</v>
      </c>
      <c r="O103" s="34">
        <f t="shared" si="43"/>
        <v>0</v>
      </c>
      <c r="P103" s="55">
        <v>98</v>
      </c>
      <c r="Q103" s="33">
        <f t="shared" si="51"/>
        <v>0</v>
      </c>
      <c r="R103" s="33">
        <f t="shared" si="57"/>
        <v>0</v>
      </c>
      <c r="S103" s="33">
        <f t="shared" si="58"/>
        <v>0</v>
      </c>
      <c r="T103" s="33">
        <f t="shared" si="44"/>
        <v>0</v>
      </c>
      <c r="U103" s="33">
        <f t="shared" si="52"/>
        <v>0</v>
      </c>
      <c r="V103" s="33">
        <f t="shared" si="45"/>
        <v>0</v>
      </c>
      <c r="W103" s="33">
        <v>0</v>
      </c>
      <c r="X103" s="33">
        <f t="shared" si="46"/>
        <v>0</v>
      </c>
      <c r="Y103" s="38">
        <f t="shared" si="47"/>
        <v>0</v>
      </c>
      <c r="AA103" s="71">
        <v>98</v>
      </c>
      <c r="AB103" s="33">
        <f t="shared" si="48"/>
        <v>0</v>
      </c>
      <c r="AC103" s="304">
        <f t="shared" si="66"/>
        <v>0</v>
      </c>
      <c r="AD103" s="100">
        <f t="shared" si="49"/>
        <v>0</v>
      </c>
      <c r="AE103" s="100">
        <f t="shared" si="50"/>
        <v>0</v>
      </c>
      <c r="AF103" s="193">
        <f t="shared" si="62"/>
        <v>0</v>
      </c>
      <c r="AG103" s="193">
        <f t="shared" si="63"/>
        <v>0</v>
      </c>
      <c r="AH103" s="193">
        <f t="shared" si="64"/>
        <v>0</v>
      </c>
      <c r="AI103" s="198">
        <f t="shared" si="65"/>
        <v>0</v>
      </c>
      <c r="AK103" s="71">
        <v>98</v>
      </c>
      <c r="AL103" s="33"/>
      <c r="AM103" s="33"/>
      <c r="AN103" s="33"/>
      <c r="AO103" s="33"/>
      <c r="AP103" s="33"/>
      <c r="AQ103" s="193"/>
      <c r="AR103" s="193"/>
      <c r="AS103" s="193"/>
      <c r="AT103" s="193"/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188" t="s">
        <v>228</v>
      </c>
      <c r="G104" s="24">
        <v>0.25</v>
      </c>
      <c r="I104" s="55">
        <v>99</v>
      </c>
      <c r="J104" s="33">
        <f t="shared" si="53"/>
        <v>0</v>
      </c>
      <c r="K104" s="33">
        <f t="shared" si="54"/>
        <v>0</v>
      </c>
      <c r="L104" s="33">
        <f t="shared" si="55"/>
        <v>0</v>
      </c>
      <c r="M104" s="33">
        <f t="shared" si="56"/>
        <v>0</v>
      </c>
      <c r="N104" s="33">
        <f t="shared" si="42"/>
        <v>0</v>
      </c>
      <c r="O104" s="34">
        <f t="shared" si="43"/>
        <v>0</v>
      </c>
      <c r="P104" s="55">
        <v>99</v>
      </c>
      <c r="Q104" s="33">
        <f t="shared" si="51"/>
        <v>0</v>
      </c>
      <c r="R104" s="33">
        <f t="shared" si="57"/>
        <v>0</v>
      </c>
      <c r="S104" s="33">
        <f t="shared" si="58"/>
        <v>0</v>
      </c>
      <c r="T104" s="33">
        <f t="shared" si="44"/>
        <v>0</v>
      </c>
      <c r="U104" s="33">
        <f t="shared" si="52"/>
        <v>0</v>
      </c>
      <c r="V104" s="33">
        <f t="shared" si="45"/>
        <v>0</v>
      </c>
      <c r="W104" s="33">
        <v>0</v>
      </c>
      <c r="X104" s="33">
        <f t="shared" si="46"/>
        <v>0</v>
      </c>
      <c r="Y104" s="38">
        <f t="shared" si="47"/>
        <v>0</v>
      </c>
      <c r="AA104" s="71">
        <v>99</v>
      </c>
      <c r="AB104" s="33">
        <f t="shared" si="48"/>
        <v>0</v>
      </c>
      <c r="AC104" s="304">
        <f t="shared" si="66"/>
        <v>0</v>
      </c>
      <c r="AD104" s="100">
        <f t="shared" si="49"/>
        <v>0</v>
      </c>
      <c r="AE104" s="100">
        <f t="shared" si="50"/>
        <v>0</v>
      </c>
      <c r="AF104" s="193">
        <f t="shared" si="62"/>
        <v>0</v>
      </c>
      <c r="AG104" s="193">
        <f t="shared" si="63"/>
        <v>0</v>
      </c>
      <c r="AH104" s="193">
        <f t="shared" si="64"/>
        <v>0</v>
      </c>
      <c r="AI104" s="198">
        <f t="shared" si="65"/>
        <v>0</v>
      </c>
      <c r="AK104" s="71">
        <v>99</v>
      </c>
      <c r="AL104" s="33"/>
      <c r="AM104" s="33"/>
      <c r="AN104" s="33"/>
      <c r="AO104" s="33"/>
      <c r="AP104" s="33"/>
      <c r="AQ104" s="193"/>
      <c r="AR104" s="193"/>
      <c r="AS104" s="193"/>
      <c r="AT104" s="193"/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188" t="s">
        <v>230</v>
      </c>
      <c r="G105" s="24">
        <v>1.03</v>
      </c>
      <c r="I105" s="55">
        <v>100</v>
      </c>
      <c r="J105" s="33">
        <f t="shared" si="53"/>
        <v>0</v>
      </c>
      <c r="K105" s="33">
        <f t="shared" si="54"/>
        <v>0</v>
      </c>
      <c r="L105" s="33">
        <f t="shared" si="55"/>
        <v>0</v>
      </c>
      <c r="M105" s="33">
        <f t="shared" si="56"/>
        <v>0</v>
      </c>
      <c r="N105" s="33">
        <f t="shared" si="42"/>
        <v>0</v>
      </c>
      <c r="O105" s="34">
        <f t="shared" si="43"/>
        <v>0</v>
      </c>
      <c r="P105" s="55">
        <v>100</v>
      </c>
      <c r="Q105" s="33">
        <f t="shared" si="51"/>
        <v>0</v>
      </c>
      <c r="R105" s="33">
        <f t="shared" si="57"/>
        <v>0</v>
      </c>
      <c r="S105" s="33">
        <f t="shared" si="58"/>
        <v>0</v>
      </c>
      <c r="T105" s="33">
        <f t="shared" si="44"/>
        <v>0</v>
      </c>
      <c r="U105" s="33">
        <f t="shared" si="52"/>
        <v>0</v>
      </c>
      <c r="V105" s="33">
        <f t="shared" si="45"/>
        <v>0</v>
      </c>
      <c r="W105" s="33">
        <v>0</v>
      </c>
      <c r="X105" s="33">
        <f t="shared" si="46"/>
        <v>0</v>
      </c>
      <c r="Y105" s="38">
        <f t="shared" si="47"/>
        <v>0</v>
      </c>
      <c r="AA105" s="71">
        <v>100</v>
      </c>
      <c r="AB105" s="33">
        <f t="shared" si="48"/>
        <v>0</v>
      </c>
      <c r="AC105" s="304">
        <f t="shared" si="66"/>
        <v>0</v>
      </c>
      <c r="AD105" s="100">
        <f t="shared" si="49"/>
        <v>0</v>
      </c>
      <c r="AE105" s="100">
        <f t="shared" si="50"/>
        <v>0</v>
      </c>
      <c r="AF105" s="193">
        <f t="shared" si="62"/>
        <v>0</v>
      </c>
      <c r="AG105" s="193">
        <f t="shared" si="63"/>
        <v>0</v>
      </c>
      <c r="AH105" s="193">
        <f t="shared" si="64"/>
        <v>0</v>
      </c>
      <c r="AI105" s="198">
        <f t="shared" si="65"/>
        <v>0</v>
      </c>
      <c r="AK105" s="71">
        <v>100</v>
      </c>
      <c r="AL105" s="33"/>
      <c r="AM105" s="33"/>
      <c r="AN105" s="33"/>
      <c r="AO105" s="33"/>
      <c r="AP105" s="33"/>
      <c r="AQ105" s="193"/>
      <c r="AR105" s="193"/>
      <c r="AS105" s="193"/>
      <c r="AT105" s="193"/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188" t="s">
        <v>231</v>
      </c>
      <c r="G106" s="24">
        <v>0.59</v>
      </c>
      <c r="I106" s="55">
        <v>101</v>
      </c>
      <c r="J106" s="33">
        <f t="shared" si="53"/>
        <v>0</v>
      </c>
      <c r="K106" s="33">
        <f t="shared" si="54"/>
        <v>0</v>
      </c>
      <c r="L106" s="33">
        <f t="shared" si="55"/>
        <v>0</v>
      </c>
      <c r="M106" s="33">
        <f t="shared" si="56"/>
        <v>0</v>
      </c>
      <c r="N106" s="33">
        <f t="shared" si="42"/>
        <v>0</v>
      </c>
      <c r="O106" s="34">
        <f t="shared" si="43"/>
        <v>0</v>
      </c>
      <c r="P106" s="55">
        <v>101</v>
      </c>
      <c r="Q106" s="33">
        <f t="shared" si="51"/>
        <v>0</v>
      </c>
      <c r="R106" s="33">
        <f t="shared" si="57"/>
        <v>0</v>
      </c>
      <c r="S106" s="33">
        <f t="shared" si="58"/>
        <v>0</v>
      </c>
      <c r="T106" s="33">
        <f t="shared" si="44"/>
        <v>0</v>
      </c>
      <c r="U106" s="33">
        <f t="shared" si="52"/>
        <v>0</v>
      </c>
      <c r="V106" s="33">
        <f t="shared" si="45"/>
        <v>0</v>
      </c>
      <c r="W106" s="33">
        <v>0</v>
      </c>
      <c r="X106" s="33">
        <f t="shared" si="46"/>
        <v>0</v>
      </c>
      <c r="Y106" s="38">
        <f t="shared" si="47"/>
        <v>0</v>
      </c>
      <c r="AA106" s="71">
        <v>101</v>
      </c>
      <c r="AB106" s="33">
        <f t="shared" si="48"/>
        <v>0</v>
      </c>
      <c r="AC106" s="304">
        <f t="shared" si="66"/>
        <v>0</v>
      </c>
      <c r="AD106" s="100">
        <f t="shared" si="49"/>
        <v>0</v>
      </c>
      <c r="AE106" s="100">
        <f t="shared" si="50"/>
        <v>0</v>
      </c>
      <c r="AF106" s="193">
        <f t="shared" si="62"/>
        <v>0</v>
      </c>
      <c r="AG106" s="193">
        <f t="shared" si="63"/>
        <v>0</v>
      </c>
      <c r="AH106" s="193">
        <f t="shared" si="64"/>
        <v>0</v>
      </c>
      <c r="AI106" s="198">
        <f t="shared" si="65"/>
        <v>0</v>
      </c>
      <c r="AK106" s="71">
        <v>101</v>
      </c>
      <c r="AL106" s="33"/>
      <c r="AM106" s="33"/>
      <c r="AN106" s="33"/>
      <c r="AO106" s="33"/>
      <c r="AP106" s="33"/>
      <c r="AQ106" s="193"/>
      <c r="AR106" s="193"/>
      <c r="AS106" s="193"/>
      <c r="AT106" s="193"/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88" t="s">
        <v>229</v>
      </c>
      <c r="G107" s="24">
        <v>0.43</v>
      </c>
      <c r="I107" s="55">
        <v>102</v>
      </c>
      <c r="J107" s="33">
        <f t="shared" si="53"/>
        <v>0</v>
      </c>
      <c r="K107" s="33">
        <f t="shared" si="54"/>
        <v>0</v>
      </c>
      <c r="L107" s="33">
        <f t="shared" si="55"/>
        <v>0</v>
      </c>
      <c r="M107" s="33">
        <f t="shared" si="56"/>
        <v>0</v>
      </c>
      <c r="N107" s="33">
        <f t="shared" si="42"/>
        <v>0</v>
      </c>
      <c r="O107" s="34">
        <f t="shared" si="43"/>
        <v>0</v>
      </c>
      <c r="P107" s="55">
        <v>102</v>
      </c>
      <c r="Q107" s="33">
        <f t="shared" si="51"/>
        <v>0</v>
      </c>
      <c r="R107" s="33">
        <f t="shared" si="57"/>
        <v>0</v>
      </c>
      <c r="S107" s="33">
        <f t="shared" si="58"/>
        <v>0</v>
      </c>
      <c r="T107" s="33">
        <f t="shared" si="44"/>
        <v>0</v>
      </c>
      <c r="U107" s="33">
        <f t="shared" si="52"/>
        <v>0</v>
      </c>
      <c r="V107" s="33">
        <f t="shared" si="45"/>
        <v>0</v>
      </c>
      <c r="W107" s="33">
        <v>0</v>
      </c>
      <c r="X107" s="33">
        <f t="shared" si="46"/>
        <v>0</v>
      </c>
      <c r="Y107" s="38">
        <f t="shared" si="47"/>
        <v>0</v>
      </c>
      <c r="AA107" s="71">
        <v>102</v>
      </c>
      <c r="AB107" s="33">
        <f t="shared" si="48"/>
        <v>0</v>
      </c>
      <c r="AC107" s="304">
        <f t="shared" si="66"/>
        <v>0</v>
      </c>
      <c r="AD107" s="100">
        <f t="shared" si="49"/>
        <v>0</v>
      </c>
      <c r="AE107" s="100">
        <f t="shared" si="50"/>
        <v>0</v>
      </c>
      <c r="AF107" s="193">
        <f t="shared" si="62"/>
        <v>0</v>
      </c>
      <c r="AG107" s="193">
        <f t="shared" si="63"/>
        <v>0</v>
      </c>
      <c r="AH107" s="193">
        <f t="shared" si="64"/>
        <v>0</v>
      </c>
      <c r="AI107" s="198">
        <f t="shared" si="65"/>
        <v>0</v>
      </c>
      <c r="AK107" s="71">
        <v>102</v>
      </c>
      <c r="AL107" s="33"/>
      <c r="AM107" s="33"/>
      <c r="AN107" s="33"/>
      <c r="AO107" s="33"/>
      <c r="AP107" s="33"/>
      <c r="AQ107" s="193"/>
      <c r="AR107" s="193"/>
      <c r="AS107" s="193"/>
      <c r="AT107" s="193"/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190" t="s">
        <v>233</v>
      </c>
      <c r="G108" s="191">
        <f>VLOOKUP(VLOOKUP(F17,C131:E195,3,FALSE),F104:G107,2,FALSE)</f>
        <v>0.43</v>
      </c>
      <c r="I108" s="55">
        <v>103</v>
      </c>
      <c r="J108" s="33">
        <f t="shared" si="53"/>
        <v>0</v>
      </c>
      <c r="K108" s="33">
        <f t="shared" si="54"/>
        <v>0</v>
      </c>
      <c r="L108" s="33">
        <f t="shared" si="55"/>
        <v>0</v>
      </c>
      <c r="M108" s="33">
        <f t="shared" si="56"/>
        <v>0</v>
      </c>
      <c r="N108" s="33">
        <f t="shared" si="42"/>
        <v>0</v>
      </c>
      <c r="O108" s="34">
        <f t="shared" si="43"/>
        <v>0</v>
      </c>
      <c r="P108" s="55">
        <v>103</v>
      </c>
      <c r="Q108" s="33">
        <f t="shared" si="51"/>
        <v>0</v>
      </c>
      <c r="R108" s="33">
        <f t="shared" si="57"/>
        <v>0</v>
      </c>
      <c r="S108" s="33">
        <f t="shared" si="58"/>
        <v>0</v>
      </c>
      <c r="T108" s="33">
        <f t="shared" si="44"/>
        <v>0</v>
      </c>
      <c r="U108" s="33">
        <f t="shared" si="52"/>
        <v>0</v>
      </c>
      <c r="V108" s="33">
        <f t="shared" si="45"/>
        <v>0</v>
      </c>
      <c r="W108" s="33">
        <v>0</v>
      </c>
      <c r="X108" s="33">
        <f t="shared" si="46"/>
        <v>0</v>
      </c>
      <c r="Y108" s="38">
        <f t="shared" si="47"/>
        <v>0</v>
      </c>
      <c r="AA108" s="71">
        <v>103</v>
      </c>
      <c r="AB108" s="33">
        <f t="shared" si="48"/>
        <v>0</v>
      </c>
      <c r="AC108" s="304">
        <f t="shared" si="66"/>
        <v>0</v>
      </c>
      <c r="AD108" s="100">
        <f t="shared" si="49"/>
        <v>0</v>
      </c>
      <c r="AE108" s="100">
        <f t="shared" si="50"/>
        <v>0</v>
      </c>
      <c r="AF108" s="193">
        <f t="shared" si="62"/>
        <v>0</v>
      </c>
      <c r="AG108" s="193">
        <f t="shared" si="63"/>
        <v>0</v>
      </c>
      <c r="AH108" s="193">
        <f t="shared" si="64"/>
        <v>0</v>
      </c>
      <c r="AI108" s="198">
        <f t="shared" si="65"/>
        <v>0</v>
      </c>
      <c r="AK108" s="71">
        <v>103</v>
      </c>
      <c r="AL108" s="33"/>
      <c r="AM108" s="33"/>
      <c r="AN108" s="33"/>
      <c r="AO108" s="33"/>
      <c r="AP108" s="33"/>
      <c r="AQ108" s="193"/>
      <c r="AR108" s="193"/>
      <c r="AS108" s="193"/>
      <c r="AT108" s="193"/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53"/>
        <v>0</v>
      </c>
      <c r="K109" s="33">
        <f t="shared" si="54"/>
        <v>0</v>
      </c>
      <c r="L109" s="33">
        <f t="shared" si="55"/>
        <v>0</v>
      </c>
      <c r="M109" s="33">
        <f t="shared" si="56"/>
        <v>0</v>
      </c>
      <c r="N109" s="33">
        <f t="shared" si="42"/>
        <v>0</v>
      </c>
      <c r="O109" s="34">
        <f t="shared" si="43"/>
        <v>0</v>
      </c>
      <c r="P109" s="55">
        <v>104</v>
      </c>
      <c r="Q109" s="33">
        <f t="shared" si="51"/>
        <v>0</v>
      </c>
      <c r="R109" s="33">
        <f t="shared" si="57"/>
        <v>0</v>
      </c>
      <c r="S109" s="33">
        <f t="shared" si="58"/>
        <v>0</v>
      </c>
      <c r="T109" s="33">
        <f t="shared" si="44"/>
        <v>0</v>
      </c>
      <c r="U109" s="33">
        <f t="shared" si="52"/>
        <v>0</v>
      </c>
      <c r="V109" s="33">
        <f t="shared" si="45"/>
        <v>0</v>
      </c>
      <c r="W109" s="33">
        <v>0</v>
      </c>
      <c r="X109" s="33">
        <f t="shared" si="46"/>
        <v>0</v>
      </c>
      <c r="Y109" s="38">
        <f t="shared" si="47"/>
        <v>0</v>
      </c>
      <c r="AA109" s="71">
        <v>104</v>
      </c>
      <c r="AB109" s="33">
        <f t="shared" si="48"/>
        <v>0</v>
      </c>
      <c r="AC109" s="304">
        <f t="shared" si="66"/>
        <v>0</v>
      </c>
      <c r="AD109" s="100">
        <f t="shared" si="49"/>
        <v>0</v>
      </c>
      <c r="AE109" s="100">
        <f t="shared" si="50"/>
        <v>0</v>
      </c>
      <c r="AF109" s="193">
        <f t="shared" si="62"/>
        <v>0</v>
      </c>
      <c r="AG109" s="193">
        <f t="shared" si="63"/>
        <v>0</v>
      </c>
      <c r="AH109" s="193">
        <f t="shared" si="64"/>
        <v>0</v>
      </c>
      <c r="AI109" s="198">
        <f t="shared" si="65"/>
        <v>0</v>
      </c>
      <c r="AK109" s="71">
        <v>104</v>
      </c>
      <c r="AL109" s="33"/>
      <c r="AM109" s="33"/>
      <c r="AN109" s="33"/>
      <c r="AO109" s="33"/>
      <c r="AP109" s="33"/>
      <c r="AQ109" s="193"/>
      <c r="AR109" s="193"/>
      <c r="AS109" s="193"/>
      <c r="AT109" s="193"/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53"/>
        <v>0</v>
      </c>
      <c r="K110" s="33">
        <f t="shared" si="54"/>
        <v>0</v>
      </c>
      <c r="L110" s="33">
        <f t="shared" si="55"/>
        <v>0</v>
      </c>
      <c r="M110" s="33">
        <f t="shared" si="56"/>
        <v>0</v>
      </c>
      <c r="N110" s="33">
        <f t="shared" si="42"/>
        <v>0</v>
      </c>
      <c r="O110" s="34">
        <f t="shared" si="43"/>
        <v>0</v>
      </c>
      <c r="P110" s="55">
        <v>105</v>
      </c>
      <c r="Q110" s="33">
        <f t="shared" si="51"/>
        <v>0</v>
      </c>
      <c r="R110" s="33">
        <f t="shared" si="57"/>
        <v>0</v>
      </c>
      <c r="S110" s="33">
        <f t="shared" si="58"/>
        <v>0</v>
      </c>
      <c r="T110" s="33">
        <f t="shared" si="44"/>
        <v>0</v>
      </c>
      <c r="U110" s="33">
        <f t="shared" si="52"/>
        <v>0</v>
      </c>
      <c r="V110" s="33">
        <f t="shared" si="45"/>
        <v>0</v>
      </c>
      <c r="W110" s="33">
        <v>0</v>
      </c>
      <c r="X110" s="33">
        <f t="shared" si="46"/>
        <v>0</v>
      </c>
      <c r="Y110" s="38">
        <f t="shared" si="47"/>
        <v>0</v>
      </c>
      <c r="AA110" s="71">
        <v>105</v>
      </c>
      <c r="AB110" s="33">
        <f t="shared" si="48"/>
        <v>0</v>
      </c>
      <c r="AC110" s="304">
        <f t="shared" si="66"/>
        <v>0</v>
      </c>
      <c r="AD110" s="100">
        <f t="shared" si="49"/>
        <v>0</v>
      </c>
      <c r="AE110" s="100">
        <f t="shared" si="50"/>
        <v>0</v>
      </c>
      <c r="AF110" s="193">
        <f t="shared" si="62"/>
        <v>0</v>
      </c>
      <c r="AG110" s="193">
        <f t="shared" si="63"/>
        <v>0</v>
      </c>
      <c r="AH110" s="193">
        <f t="shared" si="64"/>
        <v>0</v>
      </c>
      <c r="AI110" s="198">
        <f t="shared" si="65"/>
        <v>0</v>
      </c>
      <c r="AK110" s="71">
        <v>105</v>
      </c>
      <c r="AL110" s="33"/>
      <c r="AM110" s="33"/>
      <c r="AN110" s="33"/>
      <c r="AO110" s="33"/>
      <c r="AP110" s="33"/>
      <c r="AQ110" s="193"/>
      <c r="AR110" s="193"/>
      <c r="AS110" s="193"/>
      <c r="AT110" s="193"/>
      <c r="AU110" s="33"/>
      <c r="AV110" s="33"/>
      <c r="AW110" s="33"/>
      <c r="AX110" s="33"/>
      <c r="AY110" s="76"/>
    </row>
    <row r="111" spans="2:51">
      <c r="C111" s="156" t="s">
        <v>169</v>
      </c>
      <c r="D111" s="156"/>
      <c r="E111" s="156"/>
      <c r="I111" s="55">
        <v>106</v>
      </c>
      <c r="J111" s="33">
        <f t="shared" si="53"/>
        <v>0</v>
      </c>
      <c r="K111" s="33">
        <f t="shared" si="54"/>
        <v>0</v>
      </c>
      <c r="L111" s="33">
        <f t="shared" si="55"/>
        <v>0</v>
      </c>
      <c r="M111" s="33">
        <f t="shared" si="56"/>
        <v>0</v>
      </c>
      <c r="N111" s="33">
        <f t="shared" si="42"/>
        <v>0</v>
      </c>
      <c r="O111" s="34">
        <f t="shared" si="43"/>
        <v>0</v>
      </c>
      <c r="P111" s="55">
        <v>106</v>
      </c>
      <c r="Q111" s="33">
        <f t="shared" si="51"/>
        <v>0</v>
      </c>
      <c r="R111" s="33">
        <f t="shared" si="57"/>
        <v>0</v>
      </c>
      <c r="S111" s="33">
        <f t="shared" si="58"/>
        <v>0</v>
      </c>
      <c r="T111" s="33">
        <f t="shared" si="44"/>
        <v>0</v>
      </c>
      <c r="U111" s="33">
        <f t="shared" si="52"/>
        <v>0</v>
      </c>
      <c r="V111" s="33">
        <f t="shared" si="45"/>
        <v>0</v>
      </c>
      <c r="W111" s="33">
        <v>0</v>
      </c>
      <c r="X111" s="33">
        <f t="shared" si="46"/>
        <v>0</v>
      </c>
      <c r="Y111" s="38">
        <f t="shared" si="47"/>
        <v>0</v>
      </c>
      <c r="AA111" s="71">
        <v>106</v>
      </c>
      <c r="AB111" s="33">
        <f t="shared" si="48"/>
        <v>0</v>
      </c>
      <c r="AC111" s="304">
        <f t="shared" si="66"/>
        <v>0</v>
      </c>
      <c r="AD111" s="100">
        <f t="shared" si="49"/>
        <v>0</v>
      </c>
      <c r="AE111" s="100">
        <f t="shared" si="50"/>
        <v>0</v>
      </c>
      <c r="AF111" s="193">
        <f t="shared" si="62"/>
        <v>0</v>
      </c>
      <c r="AG111" s="193">
        <f t="shared" si="63"/>
        <v>0</v>
      </c>
      <c r="AH111" s="193">
        <f t="shared" si="64"/>
        <v>0</v>
      </c>
      <c r="AI111" s="198">
        <f t="shared" si="65"/>
        <v>0</v>
      </c>
      <c r="AK111" s="71">
        <v>106</v>
      </c>
      <c r="AL111" s="33"/>
      <c r="AM111" s="33"/>
      <c r="AN111" s="33"/>
      <c r="AO111" s="33"/>
      <c r="AP111" s="33"/>
      <c r="AQ111" s="193"/>
      <c r="AR111" s="193"/>
      <c r="AS111" s="193"/>
      <c r="AT111" s="193"/>
      <c r="AU111" s="33"/>
      <c r="AV111" s="33"/>
      <c r="AW111" s="33"/>
      <c r="AX111" s="33"/>
      <c r="AY111" s="76"/>
    </row>
    <row r="112" spans="2:51">
      <c r="C112" s="74" t="s">
        <v>145</v>
      </c>
      <c r="D112" s="74" t="s">
        <v>72</v>
      </c>
      <c r="E112" s="74" t="s">
        <v>166</v>
      </c>
      <c r="I112" s="55">
        <v>107</v>
      </c>
      <c r="J112" s="33">
        <f t="shared" si="53"/>
        <v>0</v>
      </c>
      <c r="K112" s="33">
        <f t="shared" si="54"/>
        <v>0</v>
      </c>
      <c r="L112" s="33">
        <f t="shared" si="55"/>
        <v>0</v>
      </c>
      <c r="M112" s="33">
        <f t="shared" si="56"/>
        <v>0</v>
      </c>
      <c r="N112" s="33">
        <f t="shared" si="42"/>
        <v>0</v>
      </c>
      <c r="O112" s="34">
        <f t="shared" si="43"/>
        <v>0</v>
      </c>
      <c r="P112" s="55">
        <v>107</v>
      </c>
      <c r="Q112" s="33">
        <f t="shared" si="51"/>
        <v>0</v>
      </c>
      <c r="R112" s="33">
        <f t="shared" si="57"/>
        <v>0</v>
      </c>
      <c r="S112" s="33">
        <f t="shared" si="58"/>
        <v>0</v>
      </c>
      <c r="T112" s="33">
        <f t="shared" si="44"/>
        <v>0</v>
      </c>
      <c r="U112" s="33">
        <f t="shared" si="52"/>
        <v>0</v>
      </c>
      <c r="V112" s="33">
        <f t="shared" si="45"/>
        <v>0</v>
      </c>
      <c r="W112" s="33">
        <v>0</v>
      </c>
      <c r="X112" s="33">
        <f t="shared" si="46"/>
        <v>0</v>
      </c>
      <c r="Y112" s="38">
        <f t="shared" si="47"/>
        <v>0</v>
      </c>
      <c r="AA112" s="71">
        <v>107</v>
      </c>
      <c r="AB112" s="33">
        <f t="shared" si="48"/>
        <v>0</v>
      </c>
      <c r="AC112" s="304">
        <f t="shared" si="66"/>
        <v>0</v>
      </c>
      <c r="AD112" s="100">
        <f t="shared" si="49"/>
        <v>0</v>
      </c>
      <c r="AE112" s="100">
        <f t="shared" si="50"/>
        <v>0</v>
      </c>
      <c r="AF112" s="193">
        <f t="shared" si="62"/>
        <v>0</v>
      </c>
      <c r="AG112" s="193">
        <f t="shared" si="63"/>
        <v>0</v>
      </c>
      <c r="AH112" s="193">
        <f t="shared" si="64"/>
        <v>0</v>
      </c>
      <c r="AI112" s="198">
        <f t="shared" si="65"/>
        <v>0</v>
      </c>
      <c r="AK112" s="71">
        <v>107</v>
      </c>
      <c r="AL112" s="33"/>
      <c r="AM112" s="33"/>
      <c r="AN112" s="33"/>
      <c r="AO112" s="33"/>
      <c r="AP112" s="33"/>
      <c r="AQ112" s="193"/>
      <c r="AR112" s="193"/>
      <c r="AS112" s="193"/>
      <c r="AT112" s="193"/>
      <c r="AU112" s="33"/>
      <c r="AV112" s="33"/>
      <c r="AW112" s="33"/>
      <c r="AX112" s="33"/>
      <c r="AY112" s="76"/>
    </row>
    <row r="113" spans="2:51">
      <c r="B113" s="67" t="s">
        <v>167</v>
      </c>
      <c r="C113" s="79">
        <f>1/$F$18*SUM(X6:X205)</f>
        <v>520.97375054979125</v>
      </c>
      <c r="D113" s="79">
        <f>1/$F$10*SUM(O6:O205)</f>
        <v>317.21666452353406</v>
      </c>
      <c r="E113" s="78">
        <f>C113-D113</f>
        <v>203.75708602625718</v>
      </c>
      <c r="I113" s="55">
        <v>108</v>
      </c>
      <c r="J113" s="33">
        <f t="shared" si="53"/>
        <v>0</v>
      </c>
      <c r="K113" s="33">
        <f t="shared" si="54"/>
        <v>0</v>
      </c>
      <c r="L113" s="33">
        <f t="shared" si="55"/>
        <v>0</v>
      </c>
      <c r="M113" s="33">
        <f t="shared" si="56"/>
        <v>0</v>
      </c>
      <c r="N113" s="33">
        <f t="shared" si="42"/>
        <v>0</v>
      </c>
      <c r="O113" s="34">
        <f t="shared" si="43"/>
        <v>0</v>
      </c>
      <c r="P113" s="55">
        <v>108</v>
      </c>
      <c r="Q113" s="33">
        <f t="shared" si="51"/>
        <v>0</v>
      </c>
      <c r="R113" s="33">
        <f t="shared" si="57"/>
        <v>0</v>
      </c>
      <c r="S113" s="33">
        <f t="shared" si="58"/>
        <v>0</v>
      </c>
      <c r="T113" s="33">
        <f t="shared" si="44"/>
        <v>0</v>
      </c>
      <c r="U113" s="33">
        <f t="shared" si="52"/>
        <v>0</v>
      </c>
      <c r="V113" s="33">
        <f t="shared" si="45"/>
        <v>0</v>
      </c>
      <c r="W113" s="33">
        <v>0</v>
      </c>
      <c r="X113" s="33">
        <f t="shared" si="46"/>
        <v>0</v>
      </c>
      <c r="Y113" s="38">
        <f t="shared" si="47"/>
        <v>0</v>
      </c>
      <c r="AA113" s="71">
        <v>108</v>
      </c>
      <c r="AB113" s="33">
        <f t="shared" si="48"/>
        <v>0</v>
      </c>
      <c r="AC113" s="304">
        <f t="shared" si="66"/>
        <v>0</v>
      </c>
      <c r="AD113" s="100">
        <f t="shared" si="49"/>
        <v>0</v>
      </c>
      <c r="AE113" s="100">
        <f t="shared" si="50"/>
        <v>0</v>
      </c>
      <c r="AF113" s="193">
        <f t="shared" si="62"/>
        <v>0</v>
      </c>
      <c r="AG113" s="193">
        <f t="shared" si="63"/>
        <v>0</v>
      </c>
      <c r="AH113" s="193">
        <f t="shared" si="64"/>
        <v>0</v>
      </c>
      <c r="AI113" s="198">
        <f t="shared" si="65"/>
        <v>0</v>
      </c>
      <c r="AK113" s="71">
        <v>108</v>
      </c>
      <c r="AL113" s="33"/>
      <c r="AM113" s="33"/>
      <c r="AN113" s="33"/>
      <c r="AO113" s="33"/>
      <c r="AP113" s="33"/>
      <c r="AQ113" s="193"/>
      <c r="AR113" s="193"/>
      <c r="AS113" s="193"/>
      <c r="AT113" s="193"/>
      <c r="AU113" s="33"/>
      <c r="AV113" s="33"/>
      <c r="AW113" s="33"/>
      <c r="AX113" s="33"/>
      <c r="AY113" s="76"/>
    </row>
    <row r="114" spans="2:51">
      <c r="B114" s="67" t="s">
        <v>168</v>
      </c>
      <c r="C114" s="79">
        <f>X35</f>
        <v>516.63672765597028</v>
      </c>
      <c r="D114" s="79">
        <f>O35</f>
        <v>308.87301463228226</v>
      </c>
      <c r="E114" s="78">
        <f>VLOOKUP(30,I5:Y205,17,FALSE)</f>
        <v>207.76371302368801</v>
      </c>
      <c r="I114" s="55">
        <v>109</v>
      </c>
      <c r="J114" s="33">
        <f t="shared" si="53"/>
        <v>0</v>
      </c>
      <c r="K114" s="33">
        <f t="shared" si="54"/>
        <v>0</v>
      </c>
      <c r="L114" s="33">
        <f t="shared" si="55"/>
        <v>0</v>
      </c>
      <c r="M114" s="33">
        <f t="shared" si="56"/>
        <v>0</v>
      </c>
      <c r="N114" s="33">
        <f t="shared" si="42"/>
        <v>0</v>
      </c>
      <c r="O114" s="34">
        <f t="shared" si="43"/>
        <v>0</v>
      </c>
      <c r="P114" s="55">
        <v>109</v>
      </c>
      <c r="Q114" s="33">
        <f t="shared" si="51"/>
        <v>0</v>
      </c>
      <c r="R114" s="33">
        <f t="shared" si="57"/>
        <v>0</v>
      </c>
      <c r="S114" s="33">
        <f t="shared" si="58"/>
        <v>0</v>
      </c>
      <c r="T114" s="33">
        <f t="shared" si="44"/>
        <v>0</v>
      </c>
      <c r="U114" s="33">
        <f t="shared" si="52"/>
        <v>0</v>
      </c>
      <c r="V114" s="33">
        <f t="shared" si="45"/>
        <v>0</v>
      </c>
      <c r="W114" s="33">
        <v>0</v>
      </c>
      <c r="X114" s="33">
        <f t="shared" si="46"/>
        <v>0</v>
      </c>
      <c r="Y114" s="38">
        <f t="shared" si="47"/>
        <v>0</v>
      </c>
      <c r="AA114" s="71">
        <v>109</v>
      </c>
      <c r="AB114" s="33">
        <f t="shared" si="48"/>
        <v>0</v>
      </c>
      <c r="AC114" s="304">
        <f t="shared" si="66"/>
        <v>0</v>
      </c>
      <c r="AD114" s="100">
        <f t="shared" si="49"/>
        <v>0</v>
      </c>
      <c r="AE114" s="100">
        <f t="shared" si="50"/>
        <v>0</v>
      </c>
      <c r="AF114" s="193">
        <f t="shared" si="62"/>
        <v>0</v>
      </c>
      <c r="AG114" s="193">
        <f t="shared" si="63"/>
        <v>0</v>
      </c>
      <c r="AH114" s="193">
        <f t="shared" si="64"/>
        <v>0</v>
      </c>
      <c r="AI114" s="198">
        <f t="shared" si="65"/>
        <v>0</v>
      </c>
      <c r="AK114" s="71">
        <v>109</v>
      </c>
      <c r="AL114" s="33"/>
      <c r="AM114" s="33"/>
      <c r="AN114" s="33"/>
      <c r="AO114" s="33"/>
      <c r="AP114" s="33"/>
      <c r="AQ114" s="193"/>
      <c r="AR114" s="193"/>
      <c r="AS114" s="193"/>
      <c r="AT114" s="193"/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53"/>
        <v>0</v>
      </c>
      <c r="K115" s="33">
        <f t="shared" si="54"/>
        <v>0</v>
      </c>
      <c r="L115" s="33">
        <f t="shared" si="55"/>
        <v>0</v>
      </c>
      <c r="M115" s="33">
        <f t="shared" si="56"/>
        <v>0</v>
      </c>
      <c r="N115" s="33">
        <f t="shared" si="42"/>
        <v>0</v>
      </c>
      <c r="O115" s="34">
        <f t="shared" si="43"/>
        <v>0</v>
      </c>
      <c r="P115" s="55">
        <v>110</v>
      </c>
      <c r="Q115" s="33">
        <f t="shared" si="51"/>
        <v>0</v>
      </c>
      <c r="R115" s="33">
        <f t="shared" si="57"/>
        <v>0</v>
      </c>
      <c r="S115" s="33">
        <f t="shared" si="58"/>
        <v>0</v>
      </c>
      <c r="T115" s="33">
        <f t="shared" si="44"/>
        <v>0</v>
      </c>
      <c r="U115" s="33">
        <f t="shared" si="52"/>
        <v>0</v>
      </c>
      <c r="V115" s="33">
        <f t="shared" si="45"/>
        <v>0</v>
      </c>
      <c r="W115" s="33">
        <v>0</v>
      </c>
      <c r="X115" s="33">
        <f t="shared" si="46"/>
        <v>0</v>
      </c>
      <c r="Y115" s="38">
        <f t="shared" si="47"/>
        <v>0</v>
      </c>
      <c r="AA115" s="71">
        <v>110</v>
      </c>
      <c r="AB115" s="33">
        <f t="shared" si="48"/>
        <v>0</v>
      </c>
      <c r="AC115" s="304">
        <f t="shared" si="66"/>
        <v>0</v>
      </c>
      <c r="AD115" s="100">
        <f t="shared" si="49"/>
        <v>0</v>
      </c>
      <c r="AE115" s="100">
        <f t="shared" si="50"/>
        <v>0</v>
      </c>
      <c r="AF115" s="193">
        <f t="shared" si="62"/>
        <v>0</v>
      </c>
      <c r="AG115" s="193">
        <f t="shared" si="63"/>
        <v>0</v>
      </c>
      <c r="AH115" s="193">
        <f t="shared" si="64"/>
        <v>0</v>
      </c>
      <c r="AI115" s="198">
        <f t="shared" si="65"/>
        <v>0</v>
      </c>
      <c r="AK115" s="71">
        <v>110</v>
      </c>
      <c r="AL115" s="33"/>
      <c r="AM115" s="33"/>
      <c r="AN115" s="33"/>
      <c r="AO115" s="33"/>
      <c r="AP115" s="33"/>
      <c r="AQ115" s="193"/>
      <c r="AR115" s="193"/>
      <c r="AS115" s="193"/>
      <c r="AT115" s="193"/>
      <c r="AU115" s="33"/>
      <c r="AV115" s="33"/>
      <c r="AW115" s="33"/>
      <c r="AX115" s="33"/>
      <c r="AY115" s="76"/>
    </row>
    <row r="116" spans="2:51">
      <c r="C116" s="134" t="s">
        <v>125</v>
      </c>
      <c r="D116" s="134"/>
      <c r="E116" s="134"/>
      <c r="I116" s="55">
        <v>111</v>
      </c>
      <c r="J116" s="33">
        <f t="shared" si="53"/>
        <v>0</v>
      </c>
      <c r="K116" s="33">
        <f t="shared" si="54"/>
        <v>0</v>
      </c>
      <c r="L116" s="33">
        <f t="shared" si="55"/>
        <v>0</v>
      </c>
      <c r="M116" s="33">
        <f t="shared" si="56"/>
        <v>0</v>
      </c>
      <c r="N116" s="33">
        <f t="shared" si="42"/>
        <v>0</v>
      </c>
      <c r="O116" s="34">
        <f t="shared" si="43"/>
        <v>0</v>
      </c>
      <c r="P116" s="55">
        <v>111</v>
      </c>
      <c r="Q116" s="33">
        <f t="shared" si="51"/>
        <v>0</v>
      </c>
      <c r="R116" s="33">
        <f t="shared" si="57"/>
        <v>0</v>
      </c>
      <c r="S116" s="33">
        <f t="shared" si="58"/>
        <v>0</v>
      </c>
      <c r="T116" s="33">
        <f t="shared" si="44"/>
        <v>0</v>
      </c>
      <c r="U116" s="33">
        <f t="shared" si="52"/>
        <v>0</v>
      </c>
      <c r="V116" s="33">
        <f t="shared" si="45"/>
        <v>0</v>
      </c>
      <c r="W116" s="33">
        <v>0</v>
      </c>
      <c r="X116" s="33">
        <f t="shared" si="46"/>
        <v>0</v>
      </c>
      <c r="Y116" s="38">
        <f t="shared" si="47"/>
        <v>0</v>
      </c>
      <c r="AA116" s="71">
        <v>111</v>
      </c>
      <c r="AB116" s="33">
        <f t="shared" si="48"/>
        <v>0</v>
      </c>
      <c r="AC116" s="304">
        <f t="shared" si="66"/>
        <v>0</v>
      </c>
      <c r="AD116" s="100">
        <f t="shared" si="49"/>
        <v>0</v>
      </c>
      <c r="AE116" s="100">
        <f t="shared" si="50"/>
        <v>0</v>
      </c>
      <c r="AF116" s="193">
        <f t="shared" si="62"/>
        <v>0</v>
      </c>
      <c r="AG116" s="193">
        <f t="shared" si="63"/>
        <v>0</v>
      </c>
      <c r="AH116" s="193">
        <f t="shared" si="64"/>
        <v>0</v>
      </c>
      <c r="AI116" s="198">
        <f t="shared" si="65"/>
        <v>0</v>
      </c>
      <c r="AK116" s="71">
        <v>111</v>
      </c>
      <c r="AL116" s="33"/>
      <c r="AM116" s="33"/>
      <c r="AN116" s="33"/>
      <c r="AO116" s="33"/>
      <c r="AP116" s="33"/>
      <c r="AQ116" s="193"/>
      <c r="AR116" s="193"/>
      <c r="AS116" s="193"/>
      <c r="AT116" s="193"/>
      <c r="AU116" s="33"/>
      <c r="AV116" s="33"/>
      <c r="AW116" s="33"/>
      <c r="AX116" s="33"/>
      <c r="AY116" s="76"/>
    </row>
    <row r="117" spans="2:51">
      <c r="C117" s="134" t="s">
        <v>145</v>
      </c>
      <c r="D117" s="134" t="s">
        <v>72</v>
      </c>
      <c r="E117" s="81" t="s">
        <v>166</v>
      </c>
      <c r="I117" s="55">
        <v>112</v>
      </c>
      <c r="J117" s="33">
        <f t="shared" si="53"/>
        <v>0</v>
      </c>
      <c r="K117" s="33">
        <f t="shared" si="54"/>
        <v>0</v>
      </c>
      <c r="L117" s="33">
        <f t="shared" si="55"/>
        <v>0</v>
      </c>
      <c r="M117" s="33">
        <f t="shared" si="56"/>
        <v>0</v>
      </c>
      <c r="N117" s="33">
        <f t="shared" si="42"/>
        <v>0</v>
      </c>
      <c r="O117" s="34">
        <f t="shared" si="43"/>
        <v>0</v>
      </c>
      <c r="P117" s="55">
        <v>112</v>
      </c>
      <c r="Q117" s="33">
        <f t="shared" si="51"/>
        <v>0</v>
      </c>
      <c r="R117" s="33">
        <f t="shared" si="57"/>
        <v>0</v>
      </c>
      <c r="S117" s="33">
        <f t="shared" si="58"/>
        <v>0</v>
      </c>
      <c r="T117" s="33">
        <f t="shared" si="44"/>
        <v>0</v>
      </c>
      <c r="U117" s="33">
        <f t="shared" si="52"/>
        <v>0</v>
      </c>
      <c r="V117" s="33">
        <f t="shared" si="45"/>
        <v>0</v>
      </c>
      <c r="W117" s="33">
        <v>0</v>
      </c>
      <c r="X117" s="33">
        <f t="shared" si="46"/>
        <v>0</v>
      </c>
      <c r="Y117" s="38">
        <f t="shared" si="47"/>
        <v>0</v>
      </c>
      <c r="AA117" s="71">
        <v>112</v>
      </c>
      <c r="AB117" s="33">
        <f t="shared" si="48"/>
        <v>0</v>
      </c>
      <c r="AC117" s="304">
        <f t="shared" si="66"/>
        <v>0</v>
      </c>
      <c r="AD117" s="100">
        <f t="shared" si="49"/>
        <v>0</v>
      </c>
      <c r="AE117" s="100">
        <f t="shared" si="50"/>
        <v>0</v>
      </c>
      <c r="AF117" s="193">
        <f t="shared" si="62"/>
        <v>0</v>
      </c>
      <c r="AG117" s="193">
        <f t="shared" si="63"/>
        <v>0</v>
      </c>
      <c r="AH117" s="193">
        <f t="shared" si="64"/>
        <v>0</v>
      </c>
      <c r="AI117" s="198">
        <f t="shared" si="65"/>
        <v>0</v>
      </c>
      <c r="AK117" s="71">
        <v>112</v>
      </c>
      <c r="AL117" s="33"/>
      <c r="AM117" s="33"/>
      <c r="AN117" s="33"/>
      <c r="AO117" s="33"/>
      <c r="AP117" s="33"/>
      <c r="AQ117" s="193"/>
      <c r="AR117" s="193"/>
      <c r="AS117" s="193"/>
      <c r="AT117" s="193"/>
      <c r="AU117" s="33"/>
      <c r="AV117" s="33"/>
      <c r="AW117" s="33"/>
      <c r="AX117" s="33"/>
      <c r="AY117" s="76"/>
    </row>
    <row r="118" spans="2:51">
      <c r="B118" s="67" t="s">
        <v>261</v>
      </c>
      <c r="C118" s="302">
        <f>1/30*SUM(AI6:AI35)</f>
        <v>12.710456496588177</v>
      </c>
      <c r="D118" s="79">
        <v>0</v>
      </c>
      <c r="E118" s="78">
        <f>C118-D118</f>
        <v>12.710456496588177</v>
      </c>
      <c r="I118" s="55">
        <v>113</v>
      </c>
      <c r="J118" s="33">
        <f t="shared" si="53"/>
        <v>0</v>
      </c>
      <c r="K118" s="33">
        <f t="shared" si="54"/>
        <v>0</v>
      </c>
      <c r="L118" s="33">
        <f t="shared" si="55"/>
        <v>0</v>
      </c>
      <c r="M118" s="33">
        <f t="shared" si="56"/>
        <v>0</v>
      </c>
      <c r="N118" s="33">
        <f t="shared" si="42"/>
        <v>0</v>
      </c>
      <c r="O118" s="34">
        <f t="shared" si="43"/>
        <v>0</v>
      </c>
      <c r="P118" s="55">
        <v>113</v>
      </c>
      <c r="Q118" s="33">
        <f t="shared" si="51"/>
        <v>0</v>
      </c>
      <c r="R118" s="33">
        <f t="shared" si="57"/>
        <v>0</v>
      </c>
      <c r="S118" s="33">
        <f t="shared" si="58"/>
        <v>0</v>
      </c>
      <c r="T118" s="33">
        <f t="shared" si="44"/>
        <v>0</v>
      </c>
      <c r="U118" s="33">
        <f t="shared" si="52"/>
        <v>0</v>
      </c>
      <c r="V118" s="33">
        <f t="shared" si="45"/>
        <v>0</v>
      </c>
      <c r="W118" s="33">
        <v>0</v>
      </c>
      <c r="X118" s="33">
        <f t="shared" si="46"/>
        <v>0</v>
      </c>
      <c r="Y118" s="38">
        <f t="shared" si="47"/>
        <v>0</v>
      </c>
      <c r="AA118" s="71">
        <v>113</v>
      </c>
      <c r="AB118" s="33">
        <f t="shared" si="48"/>
        <v>0</v>
      </c>
      <c r="AC118" s="304">
        <f t="shared" si="66"/>
        <v>0</v>
      </c>
      <c r="AD118" s="100">
        <f t="shared" si="49"/>
        <v>0</v>
      </c>
      <c r="AE118" s="100">
        <f t="shared" si="50"/>
        <v>0</v>
      </c>
      <c r="AF118" s="193">
        <f t="shared" si="62"/>
        <v>0</v>
      </c>
      <c r="AG118" s="193">
        <f t="shared" si="63"/>
        <v>0</v>
      </c>
      <c r="AH118" s="193">
        <f t="shared" si="64"/>
        <v>0</v>
      </c>
      <c r="AI118" s="198">
        <f t="shared" si="65"/>
        <v>0</v>
      </c>
      <c r="AK118" s="71">
        <v>113</v>
      </c>
      <c r="AL118" s="33"/>
      <c r="AM118" s="33"/>
      <c r="AN118" s="33"/>
      <c r="AO118" s="33"/>
      <c r="AP118" s="33"/>
      <c r="AQ118" s="193"/>
      <c r="AR118" s="193"/>
      <c r="AS118" s="193"/>
      <c r="AT118" s="193"/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53"/>
        <v>0</v>
      </c>
      <c r="K119" s="33">
        <f t="shared" si="54"/>
        <v>0</v>
      </c>
      <c r="L119" s="33">
        <f t="shared" si="55"/>
        <v>0</v>
      </c>
      <c r="M119" s="33">
        <f t="shared" si="56"/>
        <v>0</v>
      </c>
      <c r="N119" s="33">
        <f t="shared" si="42"/>
        <v>0</v>
      </c>
      <c r="O119" s="34">
        <f t="shared" si="43"/>
        <v>0</v>
      </c>
      <c r="P119" s="55">
        <v>114</v>
      </c>
      <c r="Q119" s="33">
        <f t="shared" si="51"/>
        <v>0</v>
      </c>
      <c r="R119" s="33">
        <f t="shared" si="57"/>
        <v>0</v>
      </c>
      <c r="S119" s="33">
        <f t="shared" si="58"/>
        <v>0</v>
      </c>
      <c r="T119" s="33">
        <f t="shared" si="44"/>
        <v>0</v>
      </c>
      <c r="U119" s="33">
        <f t="shared" si="52"/>
        <v>0</v>
      </c>
      <c r="V119" s="33">
        <f t="shared" si="45"/>
        <v>0</v>
      </c>
      <c r="W119" s="33">
        <v>0</v>
      </c>
      <c r="X119" s="33">
        <f t="shared" si="46"/>
        <v>0</v>
      </c>
      <c r="Y119" s="38">
        <f t="shared" si="47"/>
        <v>0</v>
      </c>
      <c r="AA119" s="71">
        <v>114</v>
      </c>
      <c r="AB119" s="33">
        <f t="shared" si="48"/>
        <v>0</v>
      </c>
      <c r="AC119" s="304">
        <f t="shared" si="66"/>
        <v>0</v>
      </c>
      <c r="AD119" s="100">
        <f t="shared" si="49"/>
        <v>0</v>
      </c>
      <c r="AE119" s="100">
        <f t="shared" si="50"/>
        <v>0</v>
      </c>
      <c r="AF119" s="193">
        <f t="shared" si="62"/>
        <v>0</v>
      </c>
      <c r="AG119" s="193">
        <f t="shared" si="63"/>
        <v>0</v>
      </c>
      <c r="AH119" s="193">
        <f t="shared" si="64"/>
        <v>0</v>
      </c>
      <c r="AI119" s="198">
        <f t="shared" si="65"/>
        <v>0</v>
      </c>
      <c r="AK119" s="71">
        <v>114</v>
      </c>
      <c r="AL119" s="33"/>
      <c r="AM119" s="33"/>
      <c r="AN119" s="33"/>
      <c r="AO119" s="33"/>
      <c r="AP119" s="33"/>
      <c r="AQ119" s="193"/>
      <c r="AR119" s="193"/>
      <c r="AS119" s="193"/>
      <c r="AT119" s="193"/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53"/>
        <v>0</v>
      </c>
      <c r="K120" s="33">
        <f t="shared" si="54"/>
        <v>0</v>
      </c>
      <c r="L120" s="33">
        <f t="shared" si="55"/>
        <v>0</v>
      </c>
      <c r="M120" s="33">
        <f t="shared" si="56"/>
        <v>0</v>
      </c>
      <c r="N120" s="33">
        <f t="shared" si="42"/>
        <v>0</v>
      </c>
      <c r="O120" s="34">
        <f t="shared" si="43"/>
        <v>0</v>
      </c>
      <c r="P120" s="55">
        <v>115</v>
      </c>
      <c r="Q120" s="33">
        <f t="shared" si="51"/>
        <v>0</v>
      </c>
      <c r="R120" s="33">
        <f t="shared" si="57"/>
        <v>0</v>
      </c>
      <c r="S120" s="33">
        <f t="shared" si="58"/>
        <v>0</v>
      </c>
      <c r="T120" s="33">
        <f t="shared" si="44"/>
        <v>0</v>
      </c>
      <c r="U120" s="33">
        <f t="shared" si="52"/>
        <v>0</v>
      </c>
      <c r="V120" s="33">
        <f t="shared" si="45"/>
        <v>0</v>
      </c>
      <c r="W120" s="33">
        <v>0</v>
      </c>
      <c r="X120" s="33">
        <f t="shared" si="46"/>
        <v>0</v>
      </c>
      <c r="Y120" s="38">
        <f t="shared" si="47"/>
        <v>0</v>
      </c>
      <c r="AA120" s="71">
        <v>115</v>
      </c>
      <c r="AB120" s="33">
        <f t="shared" si="48"/>
        <v>0</v>
      </c>
      <c r="AC120" s="304">
        <f t="shared" si="66"/>
        <v>0</v>
      </c>
      <c r="AD120" s="100">
        <f t="shared" si="49"/>
        <v>0</v>
      </c>
      <c r="AE120" s="100">
        <f t="shared" si="50"/>
        <v>0</v>
      </c>
      <c r="AF120" s="193">
        <f t="shared" si="62"/>
        <v>0</v>
      </c>
      <c r="AG120" s="193">
        <f t="shared" si="63"/>
        <v>0</v>
      </c>
      <c r="AH120" s="193">
        <f t="shared" si="64"/>
        <v>0</v>
      </c>
      <c r="AI120" s="198">
        <f t="shared" si="65"/>
        <v>0</v>
      </c>
      <c r="AK120" s="71">
        <v>115</v>
      </c>
      <c r="AL120" s="33"/>
      <c r="AM120" s="33"/>
      <c r="AN120" s="33"/>
      <c r="AO120" s="33"/>
      <c r="AP120" s="33"/>
      <c r="AQ120" s="193"/>
      <c r="AR120" s="193"/>
      <c r="AS120" s="193"/>
      <c r="AT120" s="193"/>
      <c r="AU120" s="33"/>
      <c r="AV120" s="33"/>
      <c r="AW120" s="33"/>
      <c r="AX120" s="33"/>
      <c r="AY120" s="76"/>
    </row>
    <row r="121" spans="2:51">
      <c r="C121" s="134" t="s">
        <v>160</v>
      </c>
      <c r="D121" s="134"/>
      <c r="E121" s="134"/>
      <c r="I121" s="55">
        <v>116</v>
      </c>
      <c r="J121" s="33">
        <f t="shared" si="53"/>
        <v>0</v>
      </c>
      <c r="K121" s="33">
        <f t="shared" si="54"/>
        <v>0</v>
      </c>
      <c r="L121" s="33">
        <f t="shared" si="55"/>
        <v>0</v>
      </c>
      <c r="M121" s="33">
        <f t="shared" si="56"/>
        <v>0</v>
      </c>
      <c r="N121" s="33">
        <f t="shared" si="42"/>
        <v>0</v>
      </c>
      <c r="O121" s="34">
        <f t="shared" si="43"/>
        <v>0</v>
      </c>
      <c r="P121" s="55">
        <v>116</v>
      </c>
      <c r="Q121" s="33">
        <f t="shared" si="51"/>
        <v>0</v>
      </c>
      <c r="R121" s="33">
        <f t="shared" si="57"/>
        <v>0</v>
      </c>
      <c r="S121" s="33">
        <f t="shared" si="58"/>
        <v>0</v>
      </c>
      <c r="T121" s="33">
        <f t="shared" si="44"/>
        <v>0</v>
      </c>
      <c r="U121" s="33">
        <f t="shared" si="52"/>
        <v>0</v>
      </c>
      <c r="V121" s="33">
        <f t="shared" si="45"/>
        <v>0</v>
      </c>
      <c r="W121" s="33">
        <v>0</v>
      </c>
      <c r="X121" s="33">
        <f t="shared" si="46"/>
        <v>0</v>
      </c>
      <c r="Y121" s="38">
        <f t="shared" si="47"/>
        <v>0</v>
      </c>
      <c r="AA121" s="71">
        <v>116</v>
      </c>
      <c r="AB121" s="33">
        <f t="shared" si="48"/>
        <v>0</v>
      </c>
      <c r="AC121" s="304">
        <f t="shared" si="66"/>
        <v>0</v>
      </c>
      <c r="AD121" s="100">
        <f t="shared" si="49"/>
        <v>0</v>
      </c>
      <c r="AE121" s="100">
        <f t="shared" si="50"/>
        <v>0</v>
      </c>
      <c r="AF121" s="193">
        <f t="shared" si="62"/>
        <v>0</v>
      </c>
      <c r="AG121" s="193">
        <f t="shared" si="63"/>
        <v>0</v>
      </c>
      <c r="AH121" s="193">
        <f t="shared" si="64"/>
        <v>0</v>
      </c>
      <c r="AI121" s="198">
        <f t="shared" si="65"/>
        <v>0</v>
      </c>
      <c r="AK121" s="71">
        <v>116</v>
      </c>
      <c r="AL121" s="33"/>
      <c r="AM121" s="33"/>
      <c r="AN121" s="33"/>
      <c r="AO121" s="33"/>
      <c r="AP121" s="33"/>
      <c r="AQ121" s="193"/>
      <c r="AR121" s="193"/>
      <c r="AS121" s="193"/>
      <c r="AT121" s="193"/>
      <c r="AU121" s="33"/>
      <c r="AV121" s="33"/>
      <c r="AW121" s="33"/>
      <c r="AX121" s="33"/>
      <c r="AY121" s="76"/>
    </row>
    <row r="122" spans="2:51">
      <c r="C122" s="134" t="s">
        <v>145</v>
      </c>
      <c r="D122" s="134" t="s">
        <v>72</v>
      </c>
      <c r="E122" s="81" t="s">
        <v>166</v>
      </c>
      <c r="I122" s="55">
        <v>117</v>
      </c>
      <c r="J122" s="33">
        <f t="shared" si="53"/>
        <v>0</v>
      </c>
      <c r="K122" s="33">
        <f t="shared" si="54"/>
        <v>0</v>
      </c>
      <c r="L122" s="33">
        <f t="shared" si="55"/>
        <v>0</v>
      </c>
      <c r="M122" s="33">
        <f t="shared" si="56"/>
        <v>0</v>
      </c>
      <c r="N122" s="33">
        <f t="shared" si="42"/>
        <v>0</v>
      </c>
      <c r="O122" s="34">
        <f t="shared" si="43"/>
        <v>0</v>
      </c>
      <c r="P122" s="55">
        <v>117</v>
      </c>
      <c r="Q122" s="33">
        <f t="shared" si="51"/>
        <v>0</v>
      </c>
      <c r="R122" s="33">
        <f t="shared" si="57"/>
        <v>0</v>
      </c>
      <c r="S122" s="33">
        <f t="shared" si="58"/>
        <v>0</v>
      </c>
      <c r="T122" s="33">
        <f t="shared" si="44"/>
        <v>0</v>
      </c>
      <c r="U122" s="33">
        <f t="shared" si="52"/>
        <v>0</v>
      </c>
      <c r="V122" s="33">
        <f t="shared" si="45"/>
        <v>0</v>
      </c>
      <c r="W122" s="33">
        <v>0</v>
      </c>
      <c r="X122" s="33">
        <f t="shared" si="46"/>
        <v>0</v>
      </c>
      <c r="Y122" s="38">
        <f t="shared" si="47"/>
        <v>0</v>
      </c>
      <c r="AA122" s="71">
        <v>117</v>
      </c>
      <c r="AB122" s="33">
        <f t="shared" si="48"/>
        <v>0</v>
      </c>
      <c r="AC122" s="304">
        <f t="shared" si="66"/>
        <v>0</v>
      </c>
      <c r="AD122" s="100">
        <f t="shared" si="49"/>
        <v>0</v>
      </c>
      <c r="AE122" s="100">
        <f t="shared" si="50"/>
        <v>0</v>
      </c>
      <c r="AF122" s="193">
        <f t="shared" si="62"/>
        <v>0</v>
      </c>
      <c r="AG122" s="193">
        <f t="shared" si="63"/>
        <v>0</v>
      </c>
      <c r="AH122" s="193">
        <f t="shared" si="64"/>
        <v>0</v>
      </c>
      <c r="AI122" s="198">
        <f t="shared" si="65"/>
        <v>0</v>
      </c>
      <c r="AK122" s="71">
        <v>117</v>
      </c>
      <c r="AL122" s="33"/>
      <c r="AM122" s="33"/>
      <c r="AN122" s="33"/>
      <c r="AO122" s="33"/>
      <c r="AP122" s="33"/>
      <c r="AQ122" s="193"/>
      <c r="AR122" s="193"/>
      <c r="AS122" s="193"/>
      <c r="AT122" s="193"/>
      <c r="AU122" s="33"/>
      <c r="AV122" s="33"/>
      <c r="AW122" s="33"/>
      <c r="AX122" s="33"/>
      <c r="AY122" s="76"/>
    </row>
    <row r="123" spans="2:51">
      <c r="B123" s="67" t="s">
        <v>168</v>
      </c>
      <c r="C123" s="82">
        <f>AY35</f>
        <v>39.559999999999995</v>
      </c>
      <c r="D123" s="303">
        <f>IF(AND(D8=B100,F12=C194),J34*50%*G107,0)</f>
        <v>2.6187</v>
      </c>
      <c r="E123" s="78">
        <f>C123-D123</f>
        <v>36.941299999999998</v>
      </c>
      <c r="I123" s="55">
        <v>118</v>
      </c>
      <c r="J123" s="33">
        <f t="shared" si="53"/>
        <v>0</v>
      </c>
      <c r="K123" s="33">
        <f t="shared" si="54"/>
        <v>0</v>
      </c>
      <c r="L123" s="33">
        <f t="shared" si="55"/>
        <v>0</v>
      </c>
      <c r="M123" s="33">
        <f t="shared" si="56"/>
        <v>0</v>
      </c>
      <c r="N123" s="33">
        <f t="shared" si="42"/>
        <v>0</v>
      </c>
      <c r="O123" s="34">
        <f t="shared" si="43"/>
        <v>0</v>
      </c>
      <c r="P123" s="55">
        <v>118</v>
      </c>
      <c r="Q123" s="33">
        <f t="shared" si="51"/>
        <v>0</v>
      </c>
      <c r="R123" s="33">
        <f t="shared" si="57"/>
        <v>0</v>
      </c>
      <c r="S123" s="33">
        <f t="shared" si="58"/>
        <v>0</v>
      </c>
      <c r="T123" s="33">
        <f t="shared" si="44"/>
        <v>0</v>
      </c>
      <c r="U123" s="33">
        <f t="shared" si="52"/>
        <v>0</v>
      </c>
      <c r="V123" s="33">
        <f t="shared" si="45"/>
        <v>0</v>
      </c>
      <c r="W123" s="33">
        <v>0</v>
      </c>
      <c r="X123" s="33">
        <f t="shared" si="46"/>
        <v>0</v>
      </c>
      <c r="Y123" s="38">
        <f t="shared" si="47"/>
        <v>0</v>
      </c>
      <c r="AA123" s="71">
        <v>118</v>
      </c>
      <c r="AB123" s="33">
        <f t="shared" si="48"/>
        <v>0</v>
      </c>
      <c r="AC123" s="304">
        <f t="shared" si="66"/>
        <v>0</v>
      </c>
      <c r="AD123" s="100">
        <f t="shared" si="49"/>
        <v>0</v>
      </c>
      <c r="AE123" s="100">
        <f t="shared" si="50"/>
        <v>0</v>
      </c>
      <c r="AF123" s="193">
        <f t="shared" si="62"/>
        <v>0</v>
      </c>
      <c r="AG123" s="193">
        <f t="shared" si="63"/>
        <v>0</v>
      </c>
      <c r="AH123" s="193">
        <f t="shared" si="64"/>
        <v>0</v>
      </c>
      <c r="AI123" s="198">
        <f t="shared" si="65"/>
        <v>0</v>
      </c>
      <c r="AK123" s="71">
        <v>118</v>
      </c>
      <c r="AL123" s="33"/>
      <c r="AM123" s="33"/>
      <c r="AN123" s="33"/>
      <c r="AO123" s="33"/>
      <c r="AP123" s="33"/>
      <c r="AQ123" s="193"/>
      <c r="AR123" s="193"/>
      <c r="AS123" s="193"/>
      <c r="AT123" s="193"/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53"/>
        <v>0</v>
      </c>
      <c r="K124" s="33">
        <f t="shared" si="54"/>
        <v>0</v>
      </c>
      <c r="L124" s="33">
        <f t="shared" si="55"/>
        <v>0</v>
      </c>
      <c r="M124" s="33">
        <f t="shared" si="56"/>
        <v>0</v>
      </c>
      <c r="N124" s="33">
        <f t="shared" si="42"/>
        <v>0</v>
      </c>
      <c r="O124" s="34">
        <f t="shared" si="43"/>
        <v>0</v>
      </c>
      <c r="P124" s="55">
        <v>119</v>
      </c>
      <c r="Q124" s="33">
        <f t="shared" si="51"/>
        <v>0</v>
      </c>
      <c r="R124" s="33">
        <f t="shared" si="57"/>
        <v>0</v>
      </c>
      <c r="S124" s="33">
        <f t="shared" si="58"/>
        <v>0</v>
      </c>
      <c r="T124" s="33">
        <f t="shared" si="44"/>
        <v>0</v>
      </c>
      <c r="U124" s="33">
        <f t="shared" si="52"/>
        <v>0</v>
      </c>
      <c r="V124" s="33">
        <f t="shared" si="45"/>
        <v>0</v>
      </c>
      <c r="W124" s="33">
        <v>0</v>
      </c>
      <c r="X124" s="33">
        <f t="shared" si="46"/>
        <v>0</v>
      </c>
      <c r="Y124" s="38">
        <f t="shared" si="47"/>
        <v>0</v>
      </c>
      <c r="AA124" s="71">
        <v>119</v>
      </c>
      <c r="AB124" s="33">
        <f t="shared" si="48"/>
        <v>0</v>
      </c>
      <c r="AC124" s="304">
        <f t="shared" si="66"/>
        <v>0</v>
      </c>
      <c r="AD124" s="100">
        <f t="shared" si="49"/>
        <v>0</v>
      </c>
      <c r="AE124" s="100">
        <f t="shared" si="50"/>
        <v>0</v>
      </c>
      <c r="AF124" s="193">
        <f t="shared" si="62"/>
        <v>0</v>
      </c>
      <c r="AG124" s="193">
        <f t="shared" si="63"/>
        <v>0</v>
      </c>
      <c r="AH124" s="193">
        <f t="shared" si="64"/>
        <v>0</v>
      </c>
      <c r="AI124" s="198">
        <f t="shared" si="65"/>
        <v>0</v>
      </c>
      <c r="AK124" s="71">
        <v>119</v>
      </c>
      <c r="AL124" s="33"/>
      <c r="AM124" s="33"/>
      <c r="AN124" s="33"/>
      <c r="AO124" s="33"/>
      <c r="AP124" s="33"/>
      <c r="AQ124" s="193"/>
      <c r="AR124" s="193"/>
      <c r="AS124" s="193"/>
      <c r="AT124" s="193"/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53"/>
        <v>0</v>
      </c>
      <c r="K125" s="33">
        <f t="shared" si="54"/>
        <v>0</v>
      </c>
      <c r="L125" s="33">
        <f t="shared" si="55"/>
        <v>0</v>
      </c>
      <c r="M125" s="33">
        <f t="shared" si="56"/>
        <v>0</v>
      </c>
      <c r="N125" s="33">
        <f t="shared" si="42"/>
        <v>0</v>
      </c>
      <c r="O125" s="34">
        <f t="shared" si="43"/>
        <v>0</v>
      </c>
      <c r="P125" s="55">
        <v>120</v>
      </c>
      <c r="Q125" s="33">
        <f t="shared" si="51"/>
        <v>0</v>
      </c>
      <c r="R125" s="33">
        <f t="shared" si="57"/>
        <v>0</v>
      </c>
      <c r="S125" s="33">
        <f t="shared" si="58"/>
        <v>0</v>
      </c>
      <c r="T125" s="33">
        <f t="shared" si="44"/>
        <v>0</v>
      </c>
      <c r="U125" s="33">
        <f t="shared" si="52"/>
        <v>0</v>
      </c>
      <c r="V125" s="33">
        <f t="shared" si="45"/>
        <v>0</v>
      </c>
      <c r="W125" s="33">
        <v>0</v>
      </c>
      <c r="X125" s="33">
        <f t="shared" si="46"/>
        <v>0</v>
      </c>
      <c r="Y125" s="38">
        <f t="shared" si="47"/>
        <v>0</v>
      </c>
      <c r="AA125" s="71">
        <v>120</v>
      </c>
      <c r="AB125" s="33">
        <f t="shared" si="48"/>
        <v>0</v>
      </c>
      <c r="AC125" s="304">
        <f t="shared" si="66"/>
        <v>0</v>
      </c>
      <c r="AD125" s="100">
        <f t="shared" si="49"/>
        <v>0</v>
      </c>
      <c r="AE125" s="100">
        <f t="shared" si="50"/>
        <v>0</v>
      </c>
      <c r="AF125" s="193">
        <f t="shared" si="62"/>
        <v>0</v>
      </c>
      <c r="AG125" s="193">
        <f t="shared" si="63"/>
        <v>0</v>
      </c>
      <c r="AH125" s="193">
        <f t="shared" si="64"/>
        <v>0</v>
      </c>
      <c r="AI125" s="198">
        <f t="shared" si="65"/>
        <v>0</v>
      </c>
      <c r="AK125" s="71">
        <v>120</v>
      </c>
      <c r="AL125" s="33"/>
      <c r="AM125" s="33"/>
      <c r="AN125" s="33"/>
      <c r="AO125" s="33"/>
      <c r="AP125" s="33"/>
      <c r="AQ125" s="193"/>
      <c r="AR125" s="193"/>
      <c r="AS125" s="193"/>
      <c r="AT125" s="193"/>
      <c r="AU125" s="33"/>
      <c r="AV125" s="33"/>
      <c r="AW125" s="33"/>
      <c r="AX125" s="33"/>
      <c r="AY125" s="76"/>
    </row>
    <row r="126" spans="2:51">
      <c r="C126" s="84" t="s">
        <v>129</v>
      </c>
      <c r="D126" s="84" t="s">
        <v>130</v>
      </c>
      <c r="E126" s="84" t="s">
        <v>160</v>
      </c>
      <c r="F126" s="156" t="s">
        <v>170</v>
      </c>
      <c r="I126" s="55">
        <v>121</v>
      </c>
      <c r="J126" s="33">
        <f t="shared" si="53"/>
        <v>0</v>
      </c>
      <c r="K126" s="33">
        <f t="shared" si="54"/>
        <v>0</v>
      </c>
      <c r="L126" s="33">
        <f t="shared" si="55"/>
        <v>0</v>
      </c>
      <c r="M126" s="33">
        <f t="shared" si="56"/>
        <v>0</v>
      </c>
      <c r="N126" s="33">
        <f t="shared" si="42"/>
        <v>0</v>
      </c>
      <c r="O126" s="34">
        <f t="shared" si="43"/>
        <v>0</v>
      </c>
      <c r="P126" s="55">
        <v>121</v>
      </c>
      <c r="Q126" s="33">
        <f t="shared" si="51"/>
        <v>0</v>
      </c>
      <c r="R126" s="33">
        <f t="shared" si="57"/>
        <v>0</v>
      </c>
      <c r="S126" s="33">
        <f t="shared" si="58"/>
        <v>0</v>
      </c>
      <c r="T126" s="33">
        <f t="shared" si="44"/>
        <v>0</v>
      </c>
      <c r="U126" s="33">
        <f t="shared" si="52"/>
        <v>0</v>
      </c>
      <c r="V126" s="33">
        <f t="shared" si="45"/>
        <v>0</v>
      </c>
      <c r="W126" s="33">
        <v>0</v>
      </c>
      <c r="X126" s="33">
        <f t="shared" si="46"/>
        <v>0</v>
      </c>
      <c r="Y126" s="38">
        <f t="shared" si="47"/>
        <v>0</v>
      </c>
      <c r="AA126" s="71">
        <v>121</v>
      </c>
      <c r="AB126" s="33">
        <f t="shared" si="48"/>
        <v>0</v>
      </c>
      <c r="AC126" s="304">
        <f t="shared" si="66"/>
        <v>0</v>
      </c>
      <c r="AD126" s="100">
        <f t="shared" si="49"/>
        <v>0</v>
      </c>
      <c r="AE126" s="100">
        <f t="shared" si="50"/>
        <v>0</v>
      </c>
      <c r="AF126" s="193">
        <f t="shared" si="62"/>
        <v>0</v>
      </c>
      <c r="AG126" s="193">
        <f t="shared" si="63"/>
        <v>0</v>
      </c>
      <c r="AH126" s="193">
        <f t="shared" si="64"/>
        <v>0</v>
      </c>
      <c r="AI126" s="198">
        <f t="shared" si="65"/>
        <v>0</v>
      </c>
      <c r="AK126" s="71">
        <v>121</v>
      </c>
      <c r="AL126" s="33"/>
      <c r="AM126" s="33"/>
      <c r="AN126" s="33"/>
      <c r="AO126" s="33"/>
      <c r="AP126" s="33"/>
      <c r="AQ126" s="193"/>
      <c r="AR126" s="193"/>
      <c r="AS126" s="193"/>
      <c r="AT126" s="193"/>
      <c r="AU126" s="33"/>
      <c r="AV126" s="33"/>
      <c r="AW126" s="33"/>
      <c r="AX126" s="33"/>
      <c r="AY126" s="76"/>
    </row>
    <row r="127" spans="2:51">
      <c r="C127" s="82">
        <f>IF(F18&gt;30,MIN(E113:E114),E113)</f>
        <v>203.75708602625718</v>
      </c>
      <c r="D127" s="82">
        <f>MIN(E118:E119)</f>
        <v>12.710456496588177</v>
      </c>
      <c r="E127" s="85">
        <f>E123</f>
        <v>36.941299999999998</v>
      </c>
      <c r="F127" s="86">
        <f>SUM(C127:E127)</f>
        <v>253.40884252284536</v>
      </c>
      <c r="I127" s="55">
        <v>122</v>
      </c>
      <c r="J127" s="33">
        <f t="shared" si="53"/>
        <v>0</v>
      </c>
      <c r="K127" s="33">
        <f t="shared" si="54"/>
        <v>0</v>
      </c>
      <c r="L127" s="33">
        <f t="shared" si="55"/>
        <v>0</v>
      </c>
      <c r="M127" s="33">
        <f t="shared" si="56"/>
        <v>0</v>
      </c>
      <c r="N127" s="33">
        <f t="shared" si="42"/>
        <v>0</v>
      </c>
      <c r="O127" s="34">
        <f t="shared" si="43"/>
        <v>0</v>
      </c>
      <c r="P127" s="55">
        <v>122</v>
      </c>
      <c r="Q127" s="33">
        <f t="shared" si="51"/>
        <v>0</v>
      </c>
      <c r="R127" s="33">
        <f t="shared" si="57"/>
        <v>0</v>
      </c>
      <c r="S127" s="33">
        <f t="shared" si="58"/>
        <v>0</v>
      </c>
      <c r="T127" s="33">
        <f t="shared" si="44"/>
        <v>0</v>
      </c>
      <c r="U127" s="33">
        <f t="shared" si="52"/>
        <v>0</v>
      </c>
      <c r="V127" s="33">
        <f t="shared" si="45"/>
        <v>0</v>
      </c>
      <c r="W127" s="33">
        <v>0</v>
      </c>
      <c r="X127" s="33">
        <f t="shared" si="46"/>
        <v>0</v>
      </c>
      <c r="Y127" s="38">
        <f t="shared" si="47"/>
        <v>0</v>
      </c>
      <c r="AA127" s="71">
        <v>122</v>
      </c>
      <c r="AB127" s="33">
        <f t="shared" si="48"/>
        <v>0</v>
      </c>
      <c r="AC127" s="304">
        <f t="shared" si="66"/>
        <v>0</v>
      </c>
      <c r="AD127" s="100">
        <f t="shared" si="49"/>
        <v>0</v>
      </c>
      <c r="AE127" s="100">
        <f t="shared" si="50"/>
        <v>0</v>
      </c>
      <c r="AF127" s="193">
        <f t="shared" si="62"/>
        <v>0</v>
      </c>
      <c r="AG127" s="193">
        <f t="shared" si="63"/>
        <v>0</v>
      </c>
      <c r="AH127" s="193">
        <f t="shared" si="64"/>
        <v>0</v>
      </c>
      <c r="AI127" s="198">
        <f t="shared" si="65"/>
        <v>0</v>
      </c>
      <c r="AK127" s="71">
        <v>122</v>
      </c>
      <c r="AL127" s="33"/>
      <c r="AM127" s="33"/>
      <c r="AN127" s="33"/>
      <c r="AO127" s="33"/>
      <c r="AP127" s="33"/>
      <c r="AQ127" s="193"/>
      <c r="AR127" s="193"/>
      <c r="AS127" s="193"/>
      <c r="AT127" s="193"/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53"/>
        <v>0</v>
      </c>
      <c r="K128" s="33">
        <f t="shared" si="54"/>
        <v>0</v>
      </c>
      <c r="L128" s="33">
        <f t="shared" si="55"/>
        <v>0</v>
      </c>
      <c r="M128" s="33">
        <f t="shared" si="56"/>
        <v>0</v>
      </c>
      <c r="N128" s="33">
        <f t="shared" si="42"/>
        <v>0</v>
      </c>
      <c r="O128" s="34">
        <f t="shared" si="43"/>
        <v>0</v>
      </c>
      <c r="P128" s="55">
        <v>123</v>
      </c>
      <c r="Q128" s="33">
        <f t="shared" si="51"/>
        <v>0</v>
      </c>
      <c r="R128" s="33">
        <f t="shared" si="57"/>
        <v>0</v>
      </c>
      <c r="S128" s="33">
        <f t="shared" si="58"/>
        <v>0</v>
      </c>
      <c r="T128" s="33">
        <f t="shared" si="44"/>
        <v>0</v>
      </c>
      <c r="U128" s="33">
        <f t="shared" si="52"/>
        <v>0</v>
      </c>
      <c r="V128" s="33">
        <f t="shared" si="45"/>
        <v>0</v>
      </c>
      <c r="W128" s="33">
        <v>0</v>
      </c>
      <c r="X128" s="33">
        <f t="shared" si="46"/>
        <v>0</v>
      </c>
      <c r="Y128" s="38">
        <f t="shared" si="47"/>
        <v>0</v>
      </c>
      <c r="AA128" s="71">
        <v>123</v>
      </c>
      <c r="AB128" s="33">
        <f t="shared" si="48"/>
        <v>0</v>
      </c>
      <c r="AC128" s="304">
        <f t="shared" si="66"/>
        <v>0</v>
      </c>
      <c r="AD128" s="100">
        <f t="shared" si="49"/>
        <v>0</v>
      </c>
      <c r="AE128" s="100">
        <f t="shared" si="50"/>
        <v>0</v>
      </c>
      <c r="AF128" s="193">
        <f t="shared" si="62"/>
        <v>0</v>
      </c>
      <c r="AG128" s="193">
        <f t="shared" si="63"/>
        <v>0</v>
      </c>
      <c r="AH128" s="193">
        <f t="shared" si="64"/>
        <v>0</v>
      </c>
      <c r="AI128" s="198">
        <f t="shared" si="65"/>
        <v>0</v>
      </c>
      <c r="AK128" s="71">
        <v>123</v>
      </c>
      <c r="AL128" s="33"/>
      <c r="AM128" s="33"/>
      <c r="AN128" s="33"/>
      <c r="AO128" s="33"/>
      <c r="AP128" s="33"/>
      <c r="AQ128" s="193"/>
      <c r="AR128" s="193"/>
      <c r="AS128" s="193"/>
      <c r="AT128" s="193"/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53"/>
        <v>0</v>
      </c>
      <c r="K129" s="33">
        <f t="shared" si="54"/>
        <v>0</v>
      </c>
      <c r="L129" s="33">
        <f t="shared" si="55"/>
        <v>0</v>
      </c>
      <c r="M129" s="33">
        <f t="shared" si="56"/>
        <v>0</v>
      </c>
      <c r="N129" s="33">
        <f t="shared" si="42"/>
        <v>0</v>
      </c>
      <c r="O129" s="34">
        <f t="shared" si="43"/>
        <v>0</v>
      </c>
      <c r="P129" s="55">
        <v>124</v>
      </c>
      <c r="Q129" s="33">
        <f t="shared" si="51"/>
        <v>0</v>
      </c>
      <c r="R129" s="33">
        <f t="shared" si="57"/>
        <v>0</v>
      </c>
      <c r="S129" s="33">
        <f t="shared" si="58"/>
        <v>0</v>
      </c>
      <c r="T129" s="33">
        <f t="shared" si="44"/>
        <v>0</v>
      </c>
      <c r="U129" s="33">
        <f t="shared" si="52"/>
        <v>0</v>
      </c>
      <c r="V129" s="33">
        <f t="shared" si="45"/>
        <v>0</v>
      </c>
      <c r="W129" s="33">
        <v>0</v>
      </c>
      <c r="X129" s="33">
        <f t="shared" si="46"/>
        <v>0</v>
      </c>
      <c r="Y129" s="38">
        <f t="shared" si="47"/>
        <v>0</v>
      </c>
      <c r="AA129" s="71">
        <v>124</v>
      </c>
      <c r="AB129" s="33">
        <f t="shared" si="48"/>
        <v>0</v>
      </c>
      <c r="AC129" s="304">
        <f t="shared" si="66"/>
        <v>0</v>
      </c>
      <c r="AD129" s="100">
        <f t="shared" si="49"/>
        <v>0</v>
      </c>
      <c r="AE129" s="100">
        <f t="shared" si="50"/>
        <v>0</v>
      </c>
      <c r="AF129" s="193">
        <f t="shared" si="62"/>
        <v>0</v>
      </c>
      <c r="AG129" s="193">
        <f t="shared" si="63"/>
        <v>0</v>
      </c>
      <c r="AH129" s="193">
        <f t="shared" si="64"/>
        <v>0</v>
      </c>
      <c r="AI129" s="198">
        <f t="shared" si="65"/>
        <v>0</v>
      </c>
      <c r="AK129" s="71">
        <v>124</v>
      </c>
      <c r="AL129" s="33"/>
      <c r="AM129" s="33"/>
      <c r="AN129" s="33"/>
      <c r="AO129" s="33"/>
      <c r="AP129" s="33"/>
      <c r="AQ129" s="193"/>
      <c r="AR129" s="193"/>
      <c r="AS129" s="193"/>
      <c r="AT129" s="193"/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87" t="s">
        <v>227</v>
      </c>
      <c r="F130" s="342" t="s">
        <v>271</v>
      </c>
      <c r="I130" s="55">
        <v>125</v>
      </c>
      <c r="J130" s="33">
        <f t="shared" si="53"/>
        <v>0</v>
      </c>
      <c r="K130" s="33">
        <f t="shared" si="54"/>
        <v>0</v>
      </c>
      <c r="L130" s="33">
        <f t="shared" si="55"/>
        <v>0</v>
      </c>
      <c r="M130" s="33">
        <f t="shared" si="56"/>
        <v>0</v>
      </c>
      <c r="N130" s="33">
        <f t="shared" si="42"/>
        <v>0</v>
      </c>
      <c r="O130" s="34">
        <f t="shared" si="43"/>
        <v>0</v>
      </c>
      <c r="P130" s="55">
        <v>125</v>
      </c>
      <c r="Q130" s="33">
        <f t="shared" si="51"/>
        <v>0</v>
      </c>
      <c r="R130" s="33">
        <f t="shared" si="57"/>
        <v>0</v>
      </c>
      <c r="S130" s="33">
        <f t="shared" si="58"/>
        <v>0</v>
      </c>
      <c r="T130" s="33">
        <f t="shared" si="44"/>
        <v>0</v>
      </c>
      <c r="U130" s="33">
        <f t="shared" si="52"/>
        <v>0</v>
      </c>
      <c r="V130" s="33">
        <f t="shared" si="45"/>
        <v>0</v>
      </c>
      <c r="W130" s="33">
        <v>0</v>
      </c>
      <c r="X130" s="33">
        <f t="shared" si="46"/>
        <v>0</v>
      </c>
      <c r="Y130" s="38">
        <f t="shared" si="47"/>
        <v>0</v>
      </c>
      <c r="AA130" s="71">
        <v>125</v>
      </c>
      <c r="AB130" s="33">
        <f t="shared" si="48"/>
        <v>0</v>
      </c>
      <c r="AC130" s="304">
        <f t="shared" si="66"/>
        <v>0</v>
      </c>
      <c r="AD130" s="100">
        <f t="shared" si="49"/>
        <v>0</v>
      </c>
      <c r="AE130" s="100">
        <f t="shared" si="50"/>
        <v>0</v>
      </c>
      <c r="AF130" s="193">
        <f t="shared" si="62"/>
        <v>0</v>
      </c>
      <c r="AG130" s="193">
        <f t="shared" si="63"/>
        <v>0</v>
      </c>
      <c r="AH130" s="193">
        <f t="shared" si="64"/>
        <v>0</v>
      </c>
      <c r="AI130" s="198">
        <f t="shared" si="65"/>
        <v>0</v>
      </c>
      <c r="AK130" s="71">
        <v>125</v>
      </c>
      <c r="AL130" s="33"/>
      <c r="AM130" s="33"/>
      <c r="AN130" s="33"/>
      <c r="AO130" s="33"/>
      <c r="AP130" s="33"/>
      <c r="AQ130" s="193"/>
      <c r="AR130" s="193"/>
      <c r="AS130" s="193"/>
      <c r="AT130" s="193"/>
      <c r="AU130" s="33"/>
      <c r="AV130" s="33"/>
      <c r="AW130" s="33"/>
      <c r="AX130" s="33"/>
      <c r="AY130" s="76"/>
    </row>
    <row r="131" spans="3:51">
      <c r="C131" s="165" t="s">
        <v>7</v>
      </c>
      <c r="D131" s="4">
        <v>0.62</v>
      </c>
      <c r="E131" s="187" t="s">
        <v>228</v>
      </c>
      <c r="F131" s="342">
        <f>IF(OR(Tableau145[[#This Row],[Type]]="Feuillus",Tableau145[[#This Row],[Type]]="Peupliers"),1.56,1.3)</f>
        <v>1.56</v>
      </c>
      <c r="I131" s="55">
        <v>126</v>
      </c>
      <c r="J131" s="33">
        <f t="shared" si="53"/>
        <v>0</v>
      </c>
      <c r="K131" s="33">
        <f t="shared" si="54"/>
        <v>0</v>
      </c>
      <c r="L131" s="33">
        <f t="shared" si="55"/>
        <v>0</v>
      </c>
      <c r="M131" s="33">
        <f t="shared" si="56"/>
        <v>0</v>
      </c>
      <c r="N131" s="33">
        <f t="shared" si="42"/>
        <v>0</v>
      </c>
      <c r="O131" s="34">
        <f t="shared" si="43"/>
        <v>0</v>
      </c>
      <c r="P131" s="55">
        <v>126</v>
      </c>
      <c r="Q131" s="33">
        <f t="shared" si="51"/>
        <v>0</v>
      </c>
      <c r="R131" s="33">
        <f t="shared" si="57"/>
        <v>0</v>
      </c>
      <c r="S131" s="33">
        <f t="shared" si="58"/>
        <v>0</v>
      </c>
      <c r="T131" s="33">
        <f t="shared" si="44"/>
        <v>0</v>
      </c>
      <c r="U131" s="33">
        <f t="shared" si="52"/>
        <v>0</v>
      </c>
      <c r="V131" s="33">
        <f t="shared" si="45"/>
        <v>0</v>
      </c>
      <c r="W131" s="33">
        <v>0</v>
      </c>
      <c r="X131" s="33">
        <f t="shared" si="46"/>
        <v>0</v>
      </c>
      <c r="Y131" s="38">
        <f t="shared" si="47"/>
        <v>0</v>
      </c>
      <c r="AA131" s="71">
        <v>126</v>
      </c>
      <c r="AB131" s="33">
        <f t="shared" si="48"/>
        <v>0</v>
      </c>
      <c r="AC131" s="304">
        <f t="shared" si="66"/>
        <v>0</v>
      </c>
      <c r="AD131" s="100">
        <f t="shared" si="49"/>
        <v>0</v>
      </c>
      <c r="AE131" s="100">
        <f t="shared" si="50"/>
        <v>0</v>
      </c>
      <c r="AF131" s="193">
        <f t="shared" si="62"/>
        <v>0</v>
      </c>
      <c r="AG131" s="193">
        <f t="shared" si="63"/>
        <v>0</v>
      </c>
      <c r="AH131" s="193">
        <f t="shared" si="64"/>
        <v>0</v>
      </c>
      <c r="AI131" s="198">
        <f t="shared" si="65"/>
        <v>0</v>
      </c>
      <c r="AK131" s="71">
        <v>126</v>
      </c>
      <c r="AL131" s="33"/>
      <c r="AM131" s="33"/>
      <c r="AN131" s="33"/>
      <c r="AO131" s="33"/>
      <c r="AP131" s="33"/>
      <c r="AQ131" s="193"/>
      <c r="AR131" s="193"/>
      <c r="AS131" s="193"/>
      <c r="AT131" s="193"/>
      <c r="AU131" s="33"/>
      <c r="AV131" s="33"/>
      <c r="AW131" s="33"/>
      <c r="AX131" s="33"/>
      <c r="AY131" s="76"/>
    </row>
    <row r="132" spans="3:51">
      <c r="C132" s="165" t="s">
        <v>4</v>
      </c>
      <c r="D132" s="4">
        <v>0.64</v>
      </c>
      <c r="E132" s="187" t="s">
        <v>228</v>
      </c>
      <c r="F132" s="342">
        <f>IF(OR(Tableau145[[#This Row],[Type]]="Feuillus",Tableau145[[#This Row],[Type]]="Peupliers"),1.56,1.3)</f>
        <v>1.56</v>
      </c>
      <c r="I132" s="55">
        <v>127</v>
      </c>
      <c r="J132" s="33">
        <f t="shared" si="53"/>
        <v>0</v>
      </c>
      <c r="K132" s="33">
        <f t="shared" si="54"/>
        <v>0</v>
      </c>
      <c r="L132" s="33">
        <f t="shared" si="55"/>
        <v>0</v>
      </c>
      <c r="M132" s="33">
        <f t="shared" si="56"/>
        <v>0</v>
      </c>
      <c r="N132" s="33">
        <f t="shared" si="42"/>
        <v>0</v>
      </c>
      <c r="O132" s="34">
        <f t="shared" si="43"/>
        <v>0</v>
      </c>
      <c r="P132" s="55">
        <v>127</v>
      </c>
      <c r="Q132" s="33">
        <f t="shared" si="51"/>
        <v>0</v>
      </c>
      <c r="R132" s="33">
        <f t="shared" si="57"/>
        <v>0</v>
      </c>
      <c r="S132" s="33">
        <f t="shared" si="58"/>
        <v>0</v>
      </c>
      <c r="T132" s="33">
        <f t="shared" si="44"/>
        <v>0</v>
      </c>
      <c r="U132" s="33">
        <f t="shared" si="52"/>
        <v>0</v>
      </c>
      <c r="V132" s="33">
        <f t="shared" si="45"/>
        <v>0</v>
      </c>
      <c r="W132" s="33">
        <v>0</v>
      </c>
      <c r="X132" s="33">
        <f t="shared" si="46"/>
        <v>0</v>
      </c>
      <c r="Y132" s="38">
        <f t="shared" si="47"/>
        <v>0</v>
      </c>
      <c r="AA132" s="71">
        <v>127</v>
      </c>
      <c r="AB132" s="33">
        <f t="shared" si="48"/>
        <v>0</v>
      </c>
      <c r="AC132" s="304">
        <f t="shared" si="66"/>
        <v>0</v>
      </c>
      <c r="AD132" s="100">
        <f t="shared" si="49"/>
        <v>0</v>
      </c>
      <c r="AE132" s="100">
        <f t="shared" si="50"/>
        <v>0</v>
      </c>
      <c r="AF132" s="193">
        <f t="shared" si="62"/>
        <v>0</v>
      </c>
      <c r="AG132" s="193">
        <f t="shared" si="63"/>
        <v>0</v>
      </c>
      <c r="AH132" s="193">
        <f t="shared" si="64"/>
        <v>0</v>
      </c>
      <c r="AI132" s="198">
        <f t="shared" si="65"/>
        <v>0</v>
      </c>
      <c r="AK132" s="71">
        <v>127</v>
      </c>
      <c r="AL132" s="33"/>
      <c r="AM132" s="33"/>
      <c r="AN132" s="33"/>
      <c r="AO132" s="33"/>
      <c r="AP132" s="33"/>
      <c r="AQ132" s="193"/>
      <c r="AR132" s="193"/>
      <c r="AS132" s="193"/>
      <c r="AT132" s="193"/>
      <c r="AU132" s="33"/>
      <c r="AV132" s="33"/>
      <c r="AW132" s="33"/>
      <c r="AX132" s="33"/>
      <c r="AY132" s="76"/>
    </row>
    <row r="133" spans="3:51">
      <c r="C133" s="165" t="s">
        <v>8</v>
      </c>
      <c r="D133" s="4">
        <v>0.42</v>
      </c>
      <c r="E133" s="187" t="s">
        <v>228</v>
      </c>
      <c r="F133" s="342">
        <f>IF(OR(Tableau145[[#This Row],[Type]]="Feuillus",Tableau145[[#This Row],[Type]]="Peupliers"),1.56,1.3)</f>
        <v>1.56</v>
      </c>
      <c r="I133" s="55">
        <v>128</v>
      </c>
      <c r="J133" s="33">
        <f t="shared" si="53"/>
        <v>0</v>
      </c>
      <c r="K133" s="33">
        <f t="shared" si="54"/>
        <v>0</v>
      </c>
      <c r="L133" s="33">
        <f t="shared" si="55"/>
        <v>0</v>
      </c>
      <c r="M133" s="33">
        <f t="shared" si="56"/>
        <v>0</v>
      </c>
      <c r="N133" s="33">
        <f t="shared" ref="N133:N196" si="67">IF(P134&lt;=$F$18,0,)</f>
        <v>0</v>
      </c>
      <c r="O133" s="34">
        <f t="shared" ref="O133:O196" si="68">((J133+K133)*0.475+L133+M133+N133)*44/12</f>
        <v>0</v>
      </c>
      <c r="P133" s="55">
        <v>128</v>
      </c>
      <c r="Q133" s="33">
        <f t="shared" si="51"/>
        <v>0</v>
      </c>
      <c r="R133" s="33">
        <f t="shared" si="57"/>
        <v>0</v>
      </c>
      <c r="S133" s="33">
        <f t="shared" si="58"/>
        <v>0</v>
      </c>
      <c r="T133" s="33">
        <f t="shared" ref="T133:T196" si="69">IF(S133=0,0,EXP(-1.0587+0.8836*LN(S133)+0.284))</f>
        <v>0</v>
      </c>
      <c r="U133" s="33">
        <f t="shared" si="52"/>
        <v>0</v>
      </c>
      <c r="V133" s="33">
        <f t="shared" ref="V133:V196" si="70">IF(P133&lt;=$F$18,IF(P133&lt;=30,P133*($F$16-$F$6)/30,$F$16-$F$6),)</f>
        <v>0</v>
      </c>
      <c r="W133" s="33">
        <v>0</v>
      </c>
      <c r="X133" s="33">
        <f t="shared" ref="X133:X196" si="71">((S133+T133)*0.475+U133+V133+W133)*44/12</f>
        <v>0</v>
      </c>
      <c r="Y133" s="38">
        <f t="shared" ref="Y133:Y196" si="72">IF(P133&lt;=$F$18,X133-O133,)</f>
        <v>0</v>
      </c>
      <c r="AA133" s="71">
        <v>128</v>
      </c>
      <c r="AB133" s="33">
        <f t="shared" ref="AB133:AB196" si="73">IF(AA133&lt;=$F$18,IFERROR(VLOOKUP($AA133,$B$82:$G$94,2,FALSE),0),)</f>
        <v>0</v>
      </c>
      <c r="AC133" s="304">
        <f t="shared" si="66"/>
        <v>0</v>
      </c>
      <c r="AD133" s="100">
        <f t="shared" ref="AD133:AD196" si="74">IF(AA133&lt;=$F$18,IFERROR(VLOOKUP($AA133,$B$82:$G$94,4,FALSE),0),)</f>
        <v>0</v>
      </c>
      <c r="AE133" s="100">
        <f t="shared" ref="AE133:AE196" si="75">IF(AA133&lt;=$F$18,IFERROR(VLOOKUP($AA133,$B$82:$G$94,5,FALSE),0),)</f>
        <v>0</v>
      </c>
      <c r="AF133" s="193">
        <f t="shared" si="62"/>
        <v>0</v>
      </c>
      <c r="AG133" s="193">
        <f t="shared" si="63"/>
        <v>0</v>
      </c>
      <c r="AH133" s="193">
        <f t="shared" si="64"/>
        <v>0</v>
      </c>
      <c r="AI133" s="198">
        <f t="shared" si="65"/>
        <v>0</v>
      </c>
      <c r="AK133" s="71">
        <v>128</v>
      </c>
      <c r="AL133" s="33"/>
      <c r="AM133" s="33"/>
      <c r="AN133" s="33"/>
      <c r="AO133" s="33"/>
      <c r="AP133" s="33"/>
      <c r="AQ133" s="193"/>
      <c r="AR133" s="193"/>
      <c r="AS133" s="193"/>
      <c r="AT133" s="193"/>
      <c r="AU133" s="33"/>
      <c r="AV133" s="33"/>
      <c r="AW133" s="33"/>
      <c r="AX133" s="33"/>
      <c r="AY133" s="76"/>
    </row>
    <row r="134" spans="3:51">
      <c r="C134" s="165" t="s">
        <v>9</v>
      </c>
      <c r="D134" s="4">
        <v>0.42</v>
      </c>
      <c r="E134" s="187" t="s">
        <v>228</v>
      </c>
      <c r="F134" s="342">
        <f>IF(OR(Tableau145[[#This Row],[Type]]="Feuillus",Tableau145[[#This Row],[Type]]="Peupliers"),1.56,1.3)</f>
        <v>1.56</v>
      </c>
      <c r="I134" s="55">
        <v>129</v>
      </c>
      <c r="J134" s="33">
        <f t="shared" si="53"/>
        <v>0</v>
      </c>
      <c r="K134" s="33">
        <f t="shared" si="54"/>
        <v>0</v>
      </c>
      <c r="L134" s="33">
        <f t="shared" si="55"/>
        <v>0</v>
      </c>
      <c r="M134" s="33">
        <f t="shared" si="56"/>
        <v>0</v>
      </c>
      <c r="N134" s="33">
        <f t="shared" si="67"/>
        <v>0</v>
      </c>
      <c r="O134" s="34">
        <f t="shared" si="68"/>
        <v>0</v>
      </c>
      <c r="P134" s="55">
        <v>129</v>
      </c>
      <c r="Q134" s="33">
        <f t="shared" ref="Q134:Q197" si="76">IF(P134&lt;=$F$18,LOOKUP(P134-1,$B$25:$B$78,$G$25:$G$78),)</f>
        <v>0</v>
      </c>
      <c r="R134" s="33">
        <f t="shared" si="57"/>
        <v>0</v>
      </c>
      <c r="S134" s="33">
        <f t="shared" si="58"/>
        <v>0</v>
      </c>
      <c r="T134" s="33">
        <f t="shared" si="69"/>
        <v>0</v>
      </c>
      <c r="U134" s="33">
        <f t="shared" ref="U134:U197" si="77">IF(P134&lt;=$F$18,$F$5+($F$15-$F$5)*(1-EXP(-0.0175*P134)),)</f>
        <v>0</v>
      </c>
      <c r="V134" s="33">
        <f t="shared" si="70"/>
        <v>0</v>
      </c>
      <c r="W134" s="33">
        <v>0</v>
      </c>
      <c r="X134" s="33">
        <f t="shared" si="71"/>
        <v>0</v>
      </c>
      <c r="Y134" s="38">
        <f t="shared" si="72"/>
        <v>0</v>
      </c>
      <c r="AA134" s="71">
        <v>129</v>
      </c>
      <c r="AB134" s="33">
        <f t="shared" si="73"/>
        <v>0</v>
      </c>
      <c r="AC134" s="304">
        <f t="shared" si="66"/>
        <v>0</v>
      </c>
      <c r="AD134" s="100">
        <f t="shared" si="74"/>
        <v>0</v>
      </c>
      <c r="AE134" s="100">
        <f t="shared" si="75"/>
        <v>0</v>
      </c>
      <c r="AF134" s="193">
        <f t="shared" si="62"/>
        <v>0</v>
      </c>
      <c r="AG134" s="193">
        <f t="shared" si="63"/>
        <v>0</v>
      </c>
      <c r="AH134" s="193">
        <f t="shared" si="64"/>
        <v>0</v>
      </c>
      <c r="AI134" s="198">
        <f t="shared" si="65"/>
        <v>0</v>
      </c>
      <c r="AK134" s="71">
        <v>129</v>
      </c>
      <c r="AL134" s="33"/>
      <c r="AM134" s="33"/>
      <c r="AN134" s="33"/>
      <c r="AO134" s="33"/>
      <c r="AP134" s="33"/>
      <c r="AQ134" s="193"/>
      <c r="AR134" s="193"/>
      <c r="AS134" s="193"/>
      <c r="AT134" s="193"/>
      <c r="AU134" s="33"/>
      <c r="AV134" s="33"/>
      <c r="AW134" s="33"/>
      <c r="AX134" s="33"/>
      <c r="AY134" s="76"/>
    </row>
    <row r="135" spans="3:51">
      <c r="C135" s="165" t="s">
        <v>10</v>
      </c>
      <c r="D135" s="4">
        <v>0.52</v>
      </c>
      <c r="E135" s="187" t="s">
        <v>228</v>
      </c>
      <c r="F135" s="342">
        <f>IF(OR(Tableau145[[#This Row],[Type]]="Feuillus",Tableau145[[#This Row],[Type]]="Peupliers"),1.56,1.3)</f>
        <v>1.56</v>
      </c>
      <c r="I135" s="55">
        <v>130</v>
      </c>
      <c r="J135" s="33">
        <f t="shared" ref="J135:J198" si="78">IF($I135&lt;=$F$10,$F$11*$F$13+J134,)</f>
        <v>0</v>
      </c>
      <c r="K135" s="33">
        <f t="shared" ref="K135:K198" si="79">IF(J135=0,0,EXP(-1.0587+0.8836*LN(J135)+0.284))</f>
        <v>0</v>
      </c>
      <c r="L135" s="33">
        <f t="shared" ref="L135:L198" si="80">IF(I135&lt;=$F$10,$F$5+($F$8-$F$5)*(1-EXP(-0.0175*I135)),)</f>
        <v>0</v>
      </c>
      <c r="M135" s="33">
        <f t="shared" ref="M135:M198" si="81">IF(I135&lt;=$F$10,IF(I135&lt;=30,I135*($F$9-$F$6)/30,$F$9-$F$6),)</f>
        <v>0</v>
      </c>
      <c r="N135" s="33">
        <f t="shared" si="67"/>
        <v>0</v>
      </c>
      <c r="O135" s="34">
        <f t="shared" si="68"/>
        <v>0</v>
      </c>
      <c r="P135" s="55">
        <v>130</v>
      </c>
      <c r="Q135" s="33">
        <f t="shared" si="76"/>
        <v>0</v>
      </c>
      <c r="R135" s="33">
        <f t="shared" ref="R135:R198" si="82">IF(P135&lt;=$F$18,Q135+R134,)</f>
        <v>0</v>
      </c>
      <c r="S135" s="33">
        <f t="shared" ref="S135:S198" si="83">$F$19*R135</f>
        <v>0</v>
      </c>
      <c r="T135" s="33">
        <f t="shared" si="69"/>
        <v>0</v>
      </c>
      <c r="U135" s="33">
        <f t="shared" si="77"/>
        <v>0</v>
      </c>
      <c r="V135" s="33">
        <f t="shared" si="70"/>
        <v>0</v>
      </c>
      <c r="W135" s="33">
        <v>0</v>
      </c>
      <c r="X135" s="33">
        <f t="shared" si="71"/>
        <v>0</v>
      </c>
      <c r="Y135" s="38">
        <f t="shared" si="72"/>
        <v>0</v>
      </c>
      <c r="AA135" s="71">
        <v>130</v>
      </c>
      <c r="AB135" s="33">
        <f t="shared" si="73"/>
        <v>0</v>
      </c>
      <c r="AC135" s="304">
        <f t="shared" si="66"/>
        <v>0</v>
      </c>
      <c r="AD135" s="100">
        <f t="shared" si="74"/>
        <v>0</v>
      </c>
      <c r="AE135" s="100">
        <f t="shared" si="75"/>
        <v>0</v>
      </c>
      <c r="AF135" s="193">
        <f t="shared" si="62"/>
        <v>0</v>
      </c>
      <c r="AG135" s="193">
        <f t="shared" si="63"/>
        <v>0</v>
      </c>
      <c r="AH135" s="193">
        <f t="shared" si="64"/>
        <v>0</v>
      </c>
      <c r="AI135" s="198">
        <f t="shared" si="65"/>
        <v>0</v>
      </c>
      <c r="AK135" s="71">
        <v>130</v>
      </c>
      <c r="AL135" s="33"/>
      <c r="AM135" s="33"/>
      <c r="AN135" s="33"/>
      <c r="AO135" s="33"/>
      <c r="AP135" s="33"/>
      <c r="AQ135" s="193"/>
      <c r="AR135" s="193"/>
      <c r="AS135" s="193"/>
      <c r="AT135" s="193"/>
      <c r="AU135" s="33"/>
      <c r="AV135" s="33"/>
      <c r="AW135" s="33"/>
      <c r="AX135" s="33"/>
      <c r="AY135" s="76"/>
    </row>
    <row r="136" spans="3:51">
      <c r="C136" s="165" t="s">
        <v>11</v>
      </c>
      <c r="D136" s="4">
        <v>0.36</v>
      </c>
      <c r="E136" s="187" t="s">
        <v>229</v>
      </c>
      <c r="F136" s="342">
        <f>IF(OR(Tableau145[[#This Row],[Type]]="Feuillus",Tableau145[[#This Row],[Type]]="Peupliers"),1.56,1.3)</f>
        <v>1.3</v>
      </c>
      <c r="I136" s="55">
        <v>131</v>
      </c>
      <c r="J136" s="33">
        <f t="shared" si="78"/>
        <v>0</v>
      </c>
      <c r="K136" s="33">
        <f t="shared" si="79"/>
        <v>0</v>
      </c>
      <c r="L136" s="33">
        <f t="shared" si="80"/>
        <v>0</v>
      </c>
      <c r="M136" s="33">
        <f t="shared" si="81"/>
        <v>0</v>
      </c>
      <c r="N136" s="33">
        <f t="shared" si="67"/>
        <v>0</v>
      </c>
      <c r="O136" s="34">
        <f t="shared" si="68"/>
        <v>0</v>
      </c>
      <c r="P136" s="55">
        <v>131</v>
      </c>
      <c r="Q136" s="33">
        <f t="shared" si="76"/>
        <v>0</v>
      </c>
      <c r="R136" s="33">
        <f t="shared" si="82"/>
        <v>0</v>
      </c>
      <c r="S136" s="33">
        <f t="shared" si="83"/>
        <v>0</v>
      </c>
      <c r="T136" s="33">
        <f t="shared" si="69"/>
        <v>0</v>
      </c>
      <c r="U136" s="33">
        <f t="shared" si="77"/>
        <v>0</v>
      </c>
      <c r="V136" s="33">
        <f t="shared" si="70"/>
        <v>0</v>
      </c>
      <c r="W136" s="33">
        <v>0</v>
      </c>
      <c r="X136" s="33">
        <f t="shared" si="71"/>
        <v>0</v>
      </c>
      <c r="Y136" s="38">
        <f t="shared" si="72"/>
        <v>0</v>
      </c>
      <c r="AA136" s="71">
        <v>131</v>
      </c>
      <c r="AB136" s="33">
        <f t="shared" si="73"/>
        <v>0</v>
      </c>
      <c r="AC136" s="304">
        <f t="shared" si="66"/>
        <v>0</v>
      </c>
      <c r="AD136" s="100">
        <f t="shared" si="74"/>
        <v>0</v>
      </c>
      <c r="AE136" s="100">
        <f t="shared" si="75"/>
        <v>0</v>
      </c>
      <c r="AF136" s="193">
        <f t="shared" si="62"/>
        <v>0</v>
      </c>
      <c r="AG136" s="193">
        <f t="shared" si="63"/>
        <v>0</v>
      </c>
      <c r="AH136" s="193">
        <f t="shared" si="64"/>
        <v>0</v>
      </c>
      <c r="AI136" s="198">
        <f t="shared" si="65"/>
        <v>0</v>
      </c>
      <c r="AK136" s="71">
        <v>131</v>
      </c>
      <c r="AL136" s="33"/>
      <c r="AM136" s="33"/>
      <c r="AN136" s="33"/>
      <c r="AO136" s="33"/>
      <c r="AP136" s="33"/>
      <c r="AQ136" s="193"/>
      <c r="AR136" s="193"/>
      <c r="AS136" s="193"/>
      <c r="AT136" s="193"/>
      <c r="AU136" s="33"/>
      <c r="AV136" s="33"/>
      <c r="AW136" s="33"/>
      <c r="AX136" s="33"/>
      <c r="AY136" s="76"/>
    </row>
    <row r="137" spans="3:51">
      <c r="C137" s="165" t="s">
        <v>12</v>
      </c>
      <c r="D137" s="4">
        <v>0.61</v>
      </c>
      <c r="E137" s="187" t="s">
        <v>228</v>
      </c>
      <c r="F137" s="342">
        <f>IF(OR(Tableau145[[#This Row],[Type]]="Feuillus",Tableau145[[#This Row],[Type]]="Peupliers"),1.56,1.3)</f>
        <v>1.56</v>
      </c>
      <c r="I137" s="55">
        <v>132</v>
      </c>
      <c r="J137" s="33">
        <f t="shared" si="78"/>
        <v>0</v>
      </c>
      <c r="K137" s="33">
        <f t="shared" si="79"/>
        <v>0</v>
      </c>
      <c r="L137" s="33">
        <f t="shared" si="80"/>
        <v>0</v>
      </c>
      <c r="M137" s="33">
        <f t="shared" si="81"/>
        <v>0</v>
      </c>
      <c r="N137" s="33">
        <f t="shared" si="67"/>
        <v>0</v>
      </c>
      <c r="O137" s="34">
        <f t="shared" si="68"/>
        <v>0</v>
      </c>
      <c r="P137" s="55">
        <v>132</v>
      </c>
      <c r="Q137" s="33">
        <f t="shared" si="76"/>
        <v>0</v>
      </c>
      <c r="R137" s="33">
        <f t="shared" si="82"/>
        <v>0</v>
      </c>
      <c r="S137" s="33">
        <f t="shared" si="83"/>
        <v>0</v>
      </c>
      <c r="T137" s="33">
        <f t="shared" si="69"/>
        <v>0</v>
      </c>
      <c r="U137" s="33">
        <f t="shared" si="77"/>
        <v>0</v>
      </c>
      <c r="V137" s="33">
        <f t="shared" si="70"/>
        <v>0</v>
      </c>
      <c r="W137" s="33">
        <v>0</v>
      </c>
      <c r="X137" s="33">
        <f t="shared" si="71"/>
        <v>0</v>
      </c>
      <c r="Y137" s="38">
        <f t="shared" si="72"/>
        <v>0</v>
      </c>
      <c r="AA137" s="71">
        <v>132</v>
      </c>
      <c r="AB137" s="33">
        <f t="shared" si="73"/>
        <v>0</v>
      </c>
      <c r="AC137" s="304">
        <f t="shared" si="66"/>
        <v>0</v>
      </c>
      <c r="AD137" s="100">
        <f t="shared" si="74"/>
        <v>0</v>
      </c>
      <c r="AE137" s="100">
        <f t="shared" si="75"/>
        <v>0</v>
      </c>
      <c r="AF137" s="193">
        <f t="shared" si="62"/>
        <v>0</v>
      </c>
      <c r="AG137" s="193">
        <f t="shared" si="63"/>
        <v>0</v>
      </c>
      <c r="AH137" s="193">
        <f t="shared" si="64"/>
        <v>0</v>
      </c>
      <c r="AI137" s="198">
        <f t="shared" si="65"/>
        <v>0</v>
      </c>
      <c r="AK137" s="71">
        <v>132</v>
      </c>
      <c r="AL137" s="33"/>
      <c r="AM137" s="33"/>
      <c r="AN137" s="33"/>
      <c r="AO137" s="33"/>
      <c r="AP137" s="33"/>
      <c r="AQ137" s="193"/>
      <c r="AR137" s="193"/>
      <c r="AS137" s="193"/>
      <c r="AT137" s="193"/>
      <c r="AU137" s="33"/>
      <c r="AV137" s="33"/>
      <c r="AW137" s="33"/>
      <c r="AX137" s="33"/>
      <c r="AY137" s="76"/>
    </row>
    <row r="138" spans="3:51">
      <c r="C138" s="165" t="s">
        <v>13</v>
      </c>
      <c r="D138" s="4">
        <v>0.66</v>
      </c>
      <c r="E138" s="187" t="s">
        <v>228</v>
      </c>
      <c r="F138" s="342">
        <f>IF(OR(Tableau145[[#This Row],[Type]]="Feuillus",Tableau145[[#This Row],[Type]]="Peupliers"),1.56,1.3)</f>
        <v>1.56</v>
      </c>
      <c r="I138" s="55">
        <v>133</v>
      </c>
      <c r="J138" s="33">
        <f t="shared" si="78"/>
        <v>0</v>
      </c>
      <c r="K138" s="33">
        <f t="shared" si="79"/>
        <v>0</v>
      </c>
      <c r="L138" s="33">
        <f t="shared" si="80"/>
        <v>0</v>
      </c>
      <c r="M138" s="33">
        <f t="shared" si="81"/>
        <v>0</v>
      </c>
      <c r="N138" s="33">
        <f t="shared" si="67"/>
        <v>0</v>
      </c>
      <c r="O138" s="34">
        <f t="shared" si="68"/>
        <v>0</v>
      </c>
      <c r="P138" s="55">
        <v>133</v>
      </c>
      <c r="Q138" s="33">
        <f t="shared" si="76"/>
        <v>0</v>
      </c>
      <c r="R138" s="33">
        <f t="shared" si="82"/>
        <v>0</v>
      </c>
      <c r="S138" s="33">
        <f t="shared" si="83"/>
        <v>0</v>
      </c>
      <c r="T138" s="33">
        <f t="shared" si="69"/>
        <v>0</v>
      </c>
      <c r="U138" s="33">
        <f t="shared" si="77"/>
        <v>0</v>
      </c>
      <c r="V138" s="33">
        <f t="shared" si="70"/>
        <v>0</v>
      </c>
      <c r="W138" s="33">
        <v>0</v>
      </c>
      <c r="X138" s="33">
        <f t="shared" si="71"/>
        <v>0</v>
      </c>
      <c r="Y138" s="38">
        <f t="shared" si="72"/>
        <v>0</v>
      </c>
      <c r="AA138" s="71">
        <v>133</v>
      </c>
      <c r="AB138" s="33">
        <f t="shared" si="73"/>
        <v>0</v>
      </c>
      <c r="AC138" s="304">
        <f t="shared" si="66"/>
        <v>0</v>
      </c>
      <c r="AD138" s="100">
        <f t="shared" si="74"/>
        <v>0</v>
      </c>
      <c r="AE138" s="100">
        <f t="shared" si="75"/>
        <v>0</v>
      </c>
      <c r="AF138" s="193">
        <f t="shared" si="62"/>
        <v>0</v>
      </c>
      <c r="AG138" s="193">
        <f t="shared" si="63"/>
        <v>0</v>
      </c>
      <c r="AH138" s="193">
        <f t="shared" si="64"/>
        <v>0</v>
      </c>
      <c r="AI138" s="198">
        <f t="shared" si="65"/>
        <v>0</v>
      </c>
      <c r="AK138" s="71">
        <v>133</v>
      </c>
      <c r="AL138" s="33"/>
      <c r="AM138" s="33"/>
      <c r="AN138" s="33"/>
      <c r="AO138" s="33"/>
      <c r="AP138" s="33"/>
      <c r="AQ138" s="193"/>
      <c r="AR138" s="193"/>
      <c r="AS138" s="193"/>
      <c r="AT138" s="193"/>
      <c r="AU138" s="33"/>
      <c r="AV138" s="33"/>
      <c r="AW138" s="33"/>
      <c r="AX138" s="33"/>
      <c r="AY138" s="76"/>
    </row>
    <row r="139" spans="3:51">
      <c r="C139" s="166" t="s">
        <v>14</v>
      </c>
      <c r="D139" s="133">
        <v>0.47</v>
      </c>
      <c r="E139" s="187" t="s">
        <v>228</v>
      </c>
      <c r="F139" s="342">
        <f>IF(OR(Tableau145[[#This Row],[Type]]="Feuillus",Tableau145[[#This Row],[Type]]="Peupliers"),1.56,1.3)</f>
        <v>1.56</v>
      </c>
      <c r="I139" s="55">
        <v>134</v>
      </c>
      <c r="J139" s="33">
        <f t="shared" si="78"/>
        <v>0</v>
      </c>
      <c r="K139" s="33">
        <f t="shared" si="79"/>
        <v>0</v>
      </c>
      <c r="L139" s="33">
        <f t="shared" si="80"/>
        <v>0</v>
      </c>
      <c r="M139" s="33">
        <f t="shared" si="81"/>
        <v>0</v>
      </c>
      <c r="N139" s="33">
        <f t="shared" si="67"/>
        <v>0</v>
      </c>
      <c r="O139" s="34">
        <f t="shared" si="68"/>
        <v>0</v>
      </c>
      <c r="P139" s="55">
        <v>134</v>
      </c>
      <c r="Q139" s="33">
        <f t="shared" si="76"/>
        <v>0</v>
      </c>
      <c r="R139" s="33">
        <f t="shared" si="82"/>
        <v>0</v>
      </c>
      <c r="S139" s="33">
        <f t="shared" si="83"/>
        <v>0</v>
      </c>
      <c r="T139" s="33">
        <f t="shared" si="69"/>
        <v>0</v>
      </c>
      <c r="U139" s="33">
        <f t="shared" si="77"/>
        <v>0</v>
      </c>
      <c r="V139" s="33">
        <f t="shared" si="70"/>
        <v>0</v>
      </c>
      <c r="W139" s="33">
        <v>0</v>
      </c>
      <c r="X139" s="33">
        <f t="shared" si="71"/>
        <v>0</v>
      </c>
      <c r="Y139" s="38">
        <f t="shared" si="72"/>
        <v>0</v>
      </c>
      <c r="AA139" s="71">
        <v>134</v>
      </c>
      <c r="AB139" s="33">
        <f t="shared" si="73"/>
        <v>0</v>
      </c>
      <c r="AC139" s="304">
        <f t="shared" si="66"/>
        <v>0</v>
      </c>
      <c r="AD139" s="100">
        <f t="shared" si="74"/>
        <v>0</v>
      </c>
      <c r="AE139" s="100">
        <f t="shared" si="75"/>
        <v>0</v>
      </c>
      <c r="AF139" s="193">
        <f t="shared" si="62"/>
        <v>0</v>
      </c>
      <c r="AG139" s="193">
        <f t="shared" si="63"/>
        <v>0</v>
      </c>
      <c r="AH139" s="193">
        <f t="shared" si="64"/>
        <v>0</v>
      </c>
      <c r="AI139" s="198">
        <f t="shared" si="65"/>
        <v>0</v>
      </c>
      <c r="AK139" s="71">
        <v>134</v>
      </c>
      <c r="AL139" s="33"/>
      <c r="AM139" s="33"/>
      <c r="AN139" s="33"/>
      <c r="AO139" s="33"/>
      <c r="AP139" s="33"/>
      <c r="AQ139" s="193"/>
      <c r="AR139" s="193"/>
      <c r="AS139" s="193"/>
      <c r="AT139" s="193"/>
      <c r="AU139" s="33"/>
      <c r="AV139" s="33"/>
      <c r="AW139" s="33"/>
      <c r="AX139" s="33"/>
      <c r="AY139" s="76"/>
    </row>
    <row r="140" spans="3:51">
      <c r="C140" s="165" t="s">
        <v>15</v>
      </c>
      <c r="D140" s="4">
        <v>0.67</v>
      </c>
      <c r="E140" s="187" t="s">
        <v>228</v>
      </c>
      <c r="F140" s="342">
        <f>IF(OR(Tableau145[[#This Row],[Type]]="Feuillus",Tableau145[[#This Row],[Type]]="Peupliers"),1.56,1.3)</f>
        <v>1.56</v>
      </c>
      <c r="I140" s="55">
        <v>135</v>
      </c>
      <c r="J140" s="33">
        <f t="shared" si="78"/>
        <v>0</v>
      </c>
      <c r="K140" s="33">
        <f t="shared" si="79"/>
        <v>0</v>
      </c>
      <c r="L140" s="33">
        <f t="shared" si="80"/>
        <v>0</v>
      </c>
      <c r="M140" s="33">
        <f t="shared" si="81"/>
        <v>0</v>
      </c>
      <c r="N140" s="33">
        <f t="shared" si="67"/>
        <v>0</v>
      </c>
      <c r="O140" s="34">
        <f t="shared" si="68"/>
        <v>0</v>
      </c>
      <c r="P140" s="55">
        <v>135</v>
      </c>
      <c r="Q140" s="33">
        <f t="shared" si="76"/>
        <v>0</v>
      </c>
      <c r="R140" s="33">
        <f t="shared" si="82"/>
        <v>0</v>
      </c>
      <c r="S140" s="33">
        <f t="shared" si="83"/>
        <v>0</v>
      </c>
      <c r="T140" s="33">
        <f t="shared" si="69"/>
        <v>0</v>
      </c>
      <c r="U140" s="33">
        <f t="shared" si="77"/>
        <v>0</v>
      </c>
      <c r="V140" s="33">
        <f t="shared" si="70"/>
        <v>0</v>
      </c>
      <c r="W140" s="33">
        <v>0</v>
      </c>
      <c r="X140" s="33">
        <f t="shared" si="71"/>
        <v>0</v>
      </c>
      <c r="Y140" s="38">
        <f t="shared" si="72"/>
        <v>0</v>
      </c>
      <c r="AA140" s="71">
        <v>135</v>
      </c>
      <c r="AB140" s="33">
        <f t="shared" si="73"/>
        <v>0</v>
      </c>
      <c r="AC140" s="304">
        <f t="shared" si="66"/>
        <v>0</v>
      </c>
      <c r="AD140" s="100">
        <f t="shared" si="74"/>
        <v>0</v>
      </c>
      <c r="AE140" s="100">
        <f t="shared" si="75"/>
        <v>0</v>
      </c>
      <c r="AF140" s="193">
        <f t="shared" si="62"/>
        <v>0</v>
      </c>
      <c r="AG140" s="193">
        <f t="shared" si="63"/>
        <v>0</v>
      </c>
      <c r="AH140" s="193">
        <f t="shared" si="64"/>
        <v>0</v>
      </c>
      <c r="AI140" s="198">
        <f t="shared" si="65"/>
        <v>0</v>
      </c>
      <c r="AK140" s="71">
        <v>135</v>
      </c>
      <c r="AL140" s="33"/>
      <c r="AM140" s="33"/>
      <c r="AN140" s="33"/>
      <c r="AO140" s="33"/>
      <c r="AP140" s="33"/>
      <c r="AQ140" s="193"/>
      <c r="AR140" s="193"/>
      <c r="AS140" s="193"/>
      <c r="AT140" s="193"/>
      <c r="AU140" s="33"/>
      <c r="AV140" s="33"/>
      <c r="AW140" s="33"/>
      <c r="AX140" s="33"/>
      <c r="AY140" s="76"/>
    </row>
    <row r="141" spans="3:51">
      <c r="C141" s="165" t="s">
        <v>16</v>
      </c>
      <c r="D141" s="4">
        <v>0.7</v>
      </c>
      <c r="E141" s="187" t="s">
        <v>228</v>
      </c>
      <c r="F141" s="342">
        <f>IF(OR(Tableau145[[#This Row],[Type]]="Feuillus",Tableau145[[#This Row],[Type]]="Peupliers"),1.56,1.3)</f>
        <v>1.56</v>
      </c>
      <c r="I141" s="55">
        <v>136</v>
      </c>
      <c r="J141" s="33">
        <f t="shared" si="78"/>
        <v>0</v>
      </c>
      <c r="K141" s="33">
        <f t="shared" si="79"/>
        <v>0</v>
      </c>
      <c r="L141" s="33">
        <f t="shared" si="80"/>
        <v>0</v>
      </c>
      <c r="M141" s="33">
        <f t="shared" si="81"/>
        <v>0</v>
      </c>
      <c r="N141" s="33">
        <f t="shared" si="67"/>
        <v>0</v>
      </c>
      <c r="O141" s="34">
        <f t="shared" si="68"/>
        <v>0</v>
      </c>
      <c r="P141" s="55">
        <v>136</v>
      </c>
      <c r="Q141" s="33">
        <f t="shared" si="76"/>
        <v>0</v>
      </c>
      <c r="R141" s="33">
        <f t="shared" si="82"/>
        <v>0</v>
      </c>
      <c r="S141" s="33">
        <f t="shared" si="83"/>
        <v>0</v>
      </c>
      <c r="T141" s="33">
        <f t="shared" si="69"/>
        <v>0</v>
      </c>
      <c r="U141" s="33">
        <f t="shared" si="77"/>
        <v>0</v>
      </c>
      <c r="V141" s="33">
        <f t="shared" si="70"/>
        <v>0</v>
      </c>
      <c r="W141" s="33">
        <v>0</v>
      </c>
      <c r="X141" s="33">
        <f t="shared" si="71"/>
        <v>0</v>
      </c>
      <c r="Y141" s="38">
        <f t="shared" si="72"/>
        <v>0</v>
      </c>
      <c r="AA141" s="71">
        <v>136</v>
      </c>
      <c r="AB141" s="33">
        <f t="shared" si="73"/>
        <v>0</v>
      </c>
      <c r="AC141" s="304">
        <f t="shared" si="66"/>
        <v>0</v>
      </c>
      <c r="AD141" s="100">
        <f t="shared" si="74"/>
        <v>0</v>
      </c>
      <c r="AE141" s="100">
        <f t="shared" si="75"/>
        <v>0</v>
      </c>
      <c r="AF141" s="193">
        <f t="shared" si="62"/>
        <v>0</v>
      </c>
      <c r="AG141" s="193">
        <f t="shared" si="63"/>
        <v>0</v>
      </c>
      <c r="AH141" s="193">
        <f t="shared" si="64"/>
        <v>0</v>
      </c>
      <c r="AI141" s="198">
        <f t="shared" si="65"/>
        <v>0</v>
      </c>
      <c r="AK141" s="71">
        <v>136</v>
      </c>
      <c r="AL141" s="33"/>
      <c r="AM141" s="33"/>
      <c r="AN141" s="33"/>
      <c r="AO141" s="33"/>
      <c r="AP141" s="33"/>
      <c r="AQ141" s="193"/>
      <c r="AR141" s="193"/>
      <c r="AS141" s="193"/>
      <c r="AT141" s="193"/>
      <c r="AU141" s="33"/>
      <c r="AV141" s="33"/>
      <c r="AW141" s="33"/>
      <c r="AX141" s="33"/>
      <c r="AY141" s="76"/>
    </row>
    <row r="142" spans="3:51">
      <c r="C142" s="165" t="s">
        <v>17</v>
      </c>
      <c r="D142" s="4">
        <v>0.54</v>
      </c>
      <c r="E142" s="187" t="s">
        <v>228</v>
      </c>
      <c r="F142" s="342">
        <f>IF(OR(Tableau145[[#This Row],[Type]]="Feuillus",Tableau145[[#This Row],[Type]]="Peupliers"),1.56,1.3)</f>
        <v>1.56</v>
      </c>
      <c r="I142" s="55">
        <v>137</v>
      </c>
      <c r="J142" s="33">
        <f t="shared" si="78"/>
        <v>0</v>
      </c>
      <c r="K142" s="33">
        <f t="shared" si="79"/>
        <v>0</v>
      </c>
      <c r="L142" s="33">
        <f t="shared" si="80"/>
        <v>0</v>
      </c>
      <c r="M142" s="33">
        <f t="shared" si="81"/>
        <v>0</v>
      </c>
      <c r="N142" s="33">
        <f t="shared" si="67"/>
        <v>0</v>
      </c>
      <c r="O142" s="34">
        <f t="shared" si="68"/>
        <v>0</v>
      </c>
      <c r="P142" s="55">
        <v>137</v>
      </c>
      <c r="Q142" s="33">
        <f t="shared" si="76"/>
        <v>0</v>
      </c>
      <c r="R142" s="33">
        <f t="shared" si="82"/>
        <v>0</v>
      </c>
      <c r="S142" s="33">
        <f t="shared" si="83"/>
        <v>0</v>
      </c>
      <c r="T142" s="33">
        <f t="shared" si="69"/>
        <v>0</v>
      </c>
      <c r="U142" s="33">
        <f t="shared" si="77"/>
        <v>0</v>
      </c>
      <c r="V142" s="33">
        <f t="shared" si="70"/>
        <v>0</v>
      </c>
      <c r="W142" s="33">
        <v>0</v>
      </c>
      <c r="X142" s="33">
        <f t="shared" si="71"/>
        <v>0</v>
      </c>
      <c r="Y142" s="38">
        <f t="shared" si="72"/>
        <v>0</v>
      </c>
      <c r="AA142" s="71">
        <v>137</v>
      </c>
      <c r="AB142" s="33">
        <f t="shared" si="73"/>
        <v>0</v>
      </c>
      <c r="AC142" s="304">
        <f t="shared" si="66"/>
        <v>0</v>
      </c>
      <c r="AD142" s="100">
        <f t="shared" si="74"/>
        <v>0</v>
      </c>
      <c r="AE142" s="100">
        <f t="shared" si="75"/>
        <v>0</v>
      </c>
      <c r="AF142" s="193">
        <f t="shared" si="62"/>
        <v>0</v>
      </c>
      <c r="AG142" s="193">
        <f t="shared" si="63"/>
        <v>0</v>
      </c>
      <c r="AH142" s="193">
        <f t="shared" si="64"/>
        <v>0</v>
      </c>
      <c r="AI142" s="198">
        <f t="shared" si="65"/>
        <v>0</v>
      </c>
      <c r="AK142" s="71">
        <v>137</v>
      </c>
      <c r="AL142" s="33"/>
      <c r="AM142" s="33"/>
      <c r="AN142" s="33"/>
      <c r="AO142" s="33"/>
      <c r="AP142" s="33"/>
      <c r="AQ142" s="193"/>
      <c r="AR142" s="193"/>
      <c r="AS142" s="193"/>
      <c r="AT142" s="193"/>
      <c r="AU142" s="33"/>
      <c r="AV142" s="33"/>
      <c r="AW142" s="33"/>
      <c r="AX142" s="33"/>
      <c r="AY142" s="76"/>
    </row>
    <row r="143" spans="3:51">
      <c r="C143" s="165" t="s">
        <v>18</v>
      </c>
      <c r="D143" s="4">
        <v>0.65</v>
      </c>
      <c r="E143" s="187" t="s">
        <v>228</v>
      </c>
      <c r="F143" s="342">
        <f>IF(OR(Tableau145[[#This Row],[Type]]="Feuillus",Tableau145[[#This Row],[Type]]="Peupliers"),1.56,1.3)</f>
        <v>1.56</v>
      </c>
      <c r="I143" s="55">
        <v>138</v>
      </c>
      <c r="J143" s="33">
        <f t="shared" si="78"/>
        <v>0</v>
      </c>
      <c r="K143" s="33">
        <f t="shared" si="79"/>
        <v>0</v>
      </c>
      <c r="L143" s="33">
        <f t="shared" si="80"/>
        <v>0</v>
      </c>
      <c r="M143" s="33">
        <f t="shared" si="81"/>
        <v>0</v>
      </c>
      <c r="N143" s="33">
        <f t="shared" si="67"/>
        <v>0</v>
      </c>
      <c r="O143" s="34">
        <f t="shared" si="68"/>
        <v>0</v>
      </c>
      <c r="P143" s="55">
        <v>138</v>
      </c>
      <c r="Q143" s="33">
        <f t="shared" si="76"/>
        <v>0</v>
      </c>
      <c r="R143" s="33">
        <f t="shared" si="82"/>
        <v>0</v>
      </c>
      <c r="S143" s="33">
        <f t="shared" si="83"/>
        <v>0</v>
      </c>
      <c r="T143" s="33">
        <f t="shared" si="69"/>
        <v>0</v>
      </c>
      <c r="U143" s="33">
        <f t="shared" si="77"/>
        <v>0</v>
      </c>
      <c r="V143" s="33">
        <f t="shared" si="70"/>
        <v>0</v>
      </c>
      <c r="W143" s="33">
        <v>0</v>
      </c>
      <c r="X143" s="33">
        <f t="shared" si="71"/>
        <v>0</v>
      </c>
      <c r="Y143" s="38">
        <f t="shared" si="72"/>
        <v>0</v>
      </c>
      <c r="AA143" s="71">
        <v>138</v>
      </c>
      <c r="AB143" s="33">
        <f t="shared" si="73"/>
        <v>0</v>
      </c>
      <c r="AC143" s="304">
        <f t="shared" si="66"/>
        <v>0</v>
      </c>
      <c r="AD143" s="100">
        <f t="shared" si="74"/>
        <v>0</v>
      </c>
      <c r="AE143" s="100">
        <f t="shared" si="75"/>
        <v>0</v>
      </c>
      <c r="AF143" s="193">
        <f t="shared" si="62"/>
        <v>0</v>
      </c>
      <c r="AG143" s="193">
        <f t="shared" si="63"/>
        <v>0</v>
      </c>
      <c r="AH143" s="193">
        <f t="shared" si="64"/>
        <v>0</v>
      </c>
      <c r="AI143" s="198">
        <f t="shared" si="65"/>
        <v>0</v>
      </c>
      <c r="AK143" s="71">
        <v>138</v>
      </c>
      <c r="AL143" s="33"/>
      <c r="AM143" s="33"/>
      <c r="AN143" s="33"/>
      <c r="AO143" s="33"/>
      <c r="AP143" s="33"/>
      <c r="AQ143" s="193"/>
      <c r="AR143" s="193"/>
      <c r="AS143" s="193"/>
      <c r="AT143" s="193"/>
      <c r="AU143" s="33"/>
      <c r="AV143" s="33"/>
      <c r="AW143" s="33"/>
      <c r="AX143" s="33"/>
      <c r="AY143" s="76"/>
    </row>
    <row r="144" spans="3:51">
      <c r="C144" s="165" t="s">
        <v>19</v>
      </c>
      <c r="D144" s="4">
        <v>0.56000000000000005</v>
      </c>
      <c r="E144" s="187" t="s">
        <v>228</v>
      </c>
      <c r="F144" s="342">
        <f>IF(OR(Tableau145[[#This Row],[Type]]="Feuillus",Tableau145[[#This Row],[Type]]="Peupliers"),1.56,1.3)</f>
        <v>1.56</v>
      </c>
      <c r="I144" s="55">
        <v>139</v>
      </c>
      <c r="J144" s="33">
        <f t="shared" si="78"/>
        <v>0</v>
      </c>
      <c r="K144" s="33">
        <f t="shared" si="79"/>
        <v>0</v>
      </c>
      <c r="L144" s="33">
        <f t="shared" si="80"/>
        <v>0</v>
      </c>
      <c r="M144" s="33">
        <f t="shared" si="81"/>
        <v>0</v>
      </c>
      <c r="N144" s="33">
        <f t="shared" si="67"/>
        <v>0</v>
      </c>
      <c r="O144" s="34">
        <f t="shared" si="68"/>
        <v>0</v>
      </c>
      <c r="P144" s="55">
        <v>139</v>
      </c>
      <c r="Q144" s="33">
        <f t="shared" si="76"/>
        <v>0</v>
      </c>
      <c r="R144" s="33">
        <f t="shared" si="82"/>
        <v>0</v>
      </c>
      <c r="S144" s="33">
        <f t="shared" si="83"/>
        <v>0</v>
      </c>
      <c r="T144" s="33">
        <f t="shared" si="69"/>
        <v>0</v>
      </c>
      <c r="U144" s="33">
        <f t="shared" si="77"/>
        <v>0</v>
      </c>
      <c r="V144" s="33">
        <f t="shared" si="70"/>
        <v>0</v>
      </c>
      <c r="W144" s="33">
        <v>0</v>
      </c>
      <c r="X144" s="33">
        <f t="shared" si="71"/>
        <v>0</v>
      </c>
      <c r="Y144" s="38">
        <f t="shared" si="72"/>
        <v>0</v>
      </c>
      <c r="AA144" s="71">
        <v>139</v>
      </c>
      <c r="AB144" s="33">
        <f t="shared" si="73"/>
        <v>0</v>
      </c>
      <c r="AC144" s="304">
        <f t="shared" si="66"/>
        <v>0</v>
      </c>
      <c r="AD144" s="100">
        <f t="shared" si="74"/>
        <v>0</v>
      </c>
      <c r="AE144" s="100">
        <f t="shared" si="75"/>
        <v>0</v>
      </c>
      <c r="AF144" s="193">
        <f t="shared" si="62"/>
        <v>0</v>
      </c>
      <c r="AG144" s="193">
        <f t="shared" si="63"/>
        <v>0</v>
      </c>
      <c r="AH144" s="193">
        <f t="shared" si="64"/>
        <v>0</v>
      </c>
      <c r="AI144" s="198">
        <f t="shared" si="65"/>
        <v>0</v>
      </c>
      <c r="AK144" s="71">
        <v>139</v>
      </c>
      <c r="AL144" s="33"/>
      <c r="AM144" s="33"/>
      <c r="AN144" s="33"/>
      <c r="AO144" s="33"/>
      <c r="AP144" s="33"/>
      <c r="AQ144" s="193"/>
      <c r="AR144" s="193"/>
      <c r="AS144" s="193"/>
      <c r="AT144" s="193"/>
      <c r="AU144" s="33"/>
      <c r="AV144" s="33"/>
      <c r="AW144" s="33"/>
      <c r="AX144" s="33"/>
      <c r="AY144" s="76"/>
    </row>
    <row r="145" spans="3:51">
      <c r="C145" s="165" t="s">
        <v>20</v>
      </c>
      <c r="D145" s="4">
        <v>0.57999999999999996</v>
      </c>
      <c r="E145" s="187" t="s">
        <v>228</v>
      </c>
      <c r="F145" s="342">
        <f>IF(OR(Tableau145[[#This Row],[Type]]="Feuillus",Tableau145[[#This Row],[Type]]="Peupliers"),1.56,1.3)</f>
        <v>1.56</v>
      </c>
      <c r="I145" s="55">
        <v>140</v>
      </c>
      <c r="J145" s="33">
        <f t="shared" si="78"/>
        <v>0</v>
      </c>
      <c r="K145" s="33">
        <f t="shared" si="79"/>
        <v>0</v>
      </c>
      <c r="L145" s="33">
        <f t="shared" si="80"/>
        <v>0</v>
      </c>
      <c r="M145" s="33">
        <f t="shared" si="81"/>
        <v>0</v>
      </c>
      <c r="N145" s="33">
        <f t="shared" si="67"/>
        <v>0</v>
      </c>
      <c r="O145" s="34">
        <f t="shared" si="68"/>
        <v>0</v>
      </c>
      <c r="P145" s="55">
        <v>140</v>
      </c>
      <c r="Q145" s="33">
        <f t="shared" si="76"/>
        <v>0</v>
      </c>
      <c r="R145" s="33">
        <f t="shared" si="82"/>
        <v>0</v>
      </c>
      <c r="S145" s="33">
        <f t="shared" si="83"/>
        <v>0</v>
      </c>
      <c r="T145" s="33">
        <f t="shared" si="69"/>
        <v>0</v>
      </c>
      <c r="U145" s="33">
        <f t="shared" si="77"/>
        <v>0</v>
      </c>
      <c r="V145" s="33">
        <f t="shared" si="70"/>
        <v>0</v>
      </c>
      <c r="W145" s="33">
        <v>0</v>
      </c>
      <c r="X145" s="33">
        <f t="shared" si="71"/>
        <v>0</v>
      </c>
      <c r="Y145" s="38">
        <f t="shared" si="72"/>
        <v>0</v>
      </c>
      <c r="AA145" s="71">
        <v>140</v>
      </c>
      <c r="AB145" s="33">
        <f t="shared" si="73"/>
        <v>0</v>
      </c>
      <c r="AC145" s="304">
        <f t="shared" si="66"/>
        <v>0</v>
      </c>
      <c r="AD145" s="100">
        <f t="shared" si="74"/>
        <v>0</v>
      </c>
      <c r="AE145" s="100">
        <f t="shared" si="75"/>
        <v>0</v>
      </c>
      <c r="AF145" s="193">
        <f t="shared" si="62"/>
        <v>0</v>
      </c>
      <c r="AG145" s="193">
        <f t="shared" si="63"/>
        <v>0</v>
      </c>
      <c r="AH145" s="193">
        <f t="shared" si="64"/>
        <v>0</v>
      </c>
      <c r="AI145" s="198">
        <f t="shared" si="65"/>
        <v>0</v>
      </c>
      <c r="AK145" s="71">
        <v>140</v>
      </c>
      <c r="AL145" s="33"/>
      <c r="AM145" s="33"/>
      <c r="AN145" s="33"/>
      <c r="AO145" s="33"/>
      <c r="AP145" s="33"/>
      <c r="AQ145" s="193"/>
      <c r="AR145" s="193"/>
      <c r="AS145" s="193"/>
      <c r="AT145" s="193"/>
      <c r="AU145" s="33"/>
      <c r="AV145" s="33"/>
      <c r="AW145" s="33"/>
      <c r="AX145" s="33"/>
      <c r="AY145" s="76"/>
    </row>
    <row r="146" spans="3:51">
      <c r="C146" s="165" t="s">
        <v>21</v>
      </c>
      <c r="D146" s="4">
        <v>0.64</v>
      </c>
      <c r="E146" s="187" t="s">
        <v>228</v>
      </c>
      <c r="F146" s="342">
        <f>IF(OR(Tableau145[[#This Row],[Type]]="Feuillus",Tableau145[[#This Row],[Type]]="Peupliers"),1.56,1.3)</f>
        <v>1.56</v>
      </c>
      <c r="I146" s="55">
        <v>141</v>
      </c>
      <c r="J146" s="33">
        <f t="shared" si="78"/>
        <v>0</v>
      </c>
      <c r="K146" s="33">
        <f t="shared" si="79"/>
        <v>0</v>
      </c>
      <c r="L146" s="33">
        <f t="shared" si="80"/>
        <v>0</v>
      </c>
      <c r="M146" s="33">
        <f t="shared" si="81"/>
        <v>0</v>
      </c>
      <c r="N146" s="33">
        <f t="shared" si="67"/>
        <v>0</v>
      </c>
      <c r="O146" s="34">
        <f t="shared" si="68"/>
        <v>0</v>
      </c>
      <c r="P146" s="55">
        <v>141</v>
      </c>
      <c r="Q146" s="33">
        <f t="shared" si="76"/>
        <v>0</v>
      </c>
      <c r="R146" s="33">
        <f t="shared" si="82"/>
        <v>0</v>
      </c>
      <c r="S146" s="33">
        <f t="shared" si="83"/>
        <v>0</v>
      </c>
      <c r="T146" s="33">
        <f t="shared" si="69"/>
        <v>0</v>
      </c>
      <c r="U146" s="33">
        <f t="shared" si="77"/>
        <v>0</v>
      </c>
      <c r="V146" s="33">
        <f t="shared" si="70"/>
        <v>0</v>
      </c>
      <c r="W146" s="33">
        <v>0</v>
      </c>
      <c r="X146" s="33">
        <f t="shared" si="71"/>
        <v>0</v>
      </c>
      <c r="Y146" s="38">
        <f t="shared" si="72"/>
        <v>0</v>
      </c>
      <c r="AA146" s="71">
        <v>141</v>
      </c>
      <c r="AB146" s="33">
        <f t="shared" si="73"/>
        <v>0</v>
      </c>
      <c r="AC146" s="304">
        <f t="shared" si="66"/>
        <v>0</v>
      </c>
      <c r="AD146" s="100">
        <f t="shared" si="74"/>
        <v>0</v>
      </c>
      <c r="AE146" s="100">
        <f t="shared" si="75"/>
        <v>0</v>
      </c>
      <c r="AF146" s="193">
        <f t="shared" si="62"/>
        <v>0</v>
      </c>
      <c r="AG146" s="193">
        <f t="shared" si="63"/>
        <v>0</v>
      </c>
      <c r="AH146" s="193">
        <f t="shared" si="64"/>
        <v>0</v>
      </c>
      <c r="AI146" s="198">
        <f t="shared" si="65"/>
        <v>0</v>
      </c>
      <c r="AK146" s="71">
        <v>141</v>
      </c>
      <c r="AL146" s="33"/>
      <c r="AM146" s="33"/>
      <c r="AN146" s="33"/>
      <c r="AO146" s="33"/>
      <c r="AP146" s="33"/>
      <c r="AQ146" s="193"/>
      <c r="AR146" s="193"/>
      <c r="AS146" s="193"/>
      <c r="AT146" s="193"/>
      <c r="AU146" s="33"/>
      <c r="AV146" s="33"/>
      <c r="AW146" s="33"/>
      <c r="AX146" s="33"/>
      <c r="AY146" s="76"/>
    </row>
    <row r="147" spans="3:51">
      <c r="C147" s="165" t="s">
        <v>22</v>
      </c>
      <c r="D147" s="4">
        <v>0.73</v>
      </c>
      <c r="E147" s="187" t="s">
        <v>228</v>
      </c>
      <c r="F147" s="342">
        <f>IF(OR(Tableau145[[#This Row],[Type]]="Feuillus",Tableau145[[#This Row],[Type]]="Peupliers"),1.56,1.3)</f>
        <v>1.56</v>
      </c>
      <c r="I147" s="55">
        <v>142</v>
      </c>
      <c r="J147" s="33">
        <f t="shared" si="78"/>
        <v>0</v>
      </c>
      <c r="K147" s="33">
        <f t="shared" si="79"/>
        <v>0</v>
      </c>
      <c r="L147" s="33">
        <f t="shared" si="80"/>
        <v>0</v>
      </c>
      <c r="M147" s="33">
        <f t="shared" si="81"/>
        <v>0</v>
      </c>
      <c r="N147" s="33">
        <f t="shared" si="67"/>
        <v>0</v>
      </c>
      <c r="O147" s="34">
        <f t="shared" si="68"/>
        <v>0</v>
      </c>
      <c r="P147" s="55">
        <v>142</v>
      </c>
      <c r="Q147" s="33">
        <f t="shared" si="76"/>
        <v>0</v>
      </c>
      <c r="R147" s="33">
        <f t="shared" si="82"/>
        <v>0</v>
      </c>
      <c r="S147" s="33">
        <f t="shared" si="83"/>
        <v>0</v>
      </c>
      <c r="T147" s="33">
        <f t="shared" si="69"/>
        <v>0</v>
      </c>
      <c r="U147" s="33">
        <f t="shared" si="77"/>
        <v>0</v>
      </c>
      <c r="V147" s="33">
        <f t="shared" si="70"/>
        <v>0</v>
      </c>
      <c r="W147" s="33">
        <v>0</v>
      </c>
      <c r="X147" s="33">
        <f t="shared" si="71"/>
        <v>0</v>
      </c>
      <c r="Y147" s="38">
        <f t="shared" si="72"/>
        <v>0</v>
      </c>
      <c r="AA147" s="71">
        <v>142</v>
      </c>
      <c r="AB147" s="33">
        <f t="shared" si="73"/>
        <v>0</v>
      </c>
      <c r="AC147" s="304">
        <f t="shared" si="66"/>
        <v>0</v>
      </c>
      <c r="AD147" s="100">
        <f t="shared" si="74"/>
        <v>0</v>
      </c>
      <c r="AE147" s="100">
        <f t="shared" si="75"/>
        <v>0</v>
      </c>
      <c r="AF147" s="193">
        <f t="shared" si="62"/>
        <v>0</v>
      </c>
      <c r="AG147" s="193">
        <f t="shared" si="63"/>
        <v>0</v>
      </c>
      <c r="AH147" s="193">
        <f t="shared" si="64"/>
        <v>0</v>
      </c>
      <c r="AI147" s="198">
        <f t="shared" si="65"/>
        <v>0</v>
      </c>
      <c r="AK147" s="71">
        <v>142</v>
      </c>
      <c r="AL147" s="33"/>
      <c r="AM147" s="33"/>
      <c r="AN147" s="33"/>
      <c r="AO147" s="33"/>
      <c r="AP147" s="33"/>
      <c r="AQ147" s="193"/>
      <c r="AR147" s="193"/>
      <c r="AS147" s="193"/>
      <c r="AT147" s="193"/>
      <c r="AU147" s="33"/>
      <c r="AV147" s="33"/>
      <c r="AW147" s="33"/>
      <c r="AX147" s="33"/>
      <c r="AY147" s="76"/>
    </row>
    <row r="148" spans="3:51">
      <c r="C148" s="165" t="s">
        <v>23</v>
      </c>
      <c r="D148" s="4">
        <v>0.56000000000000005</v>
      </c>
      <c r="E148" s="187" t="s">
        <v>228</v>
      </c>
      <c r="F148" s="342">
        <f>IF(OR(Tableau145[[#This Row],[Type]]="Feuillus",Tableau145[[#This Row],[Type]]="Peupliers"),1.56,1.3)</f>
        <v>1.56</v>
      </c>
      <c r="I148" s="55">
        <v>143</v>
      </c>
      <c r="J148" s="33">
        <f t="shared" si="78"/>
        <v>0</v>
      </c>
      <c r="K148" s="33">
        <f t="shared" si="79"/>
        <v>0</v>
      </c>
      <c r="L148" s="33">
        <f t="shared" si="80"/>
        <v>0</v>
      </c>
      <c r="M148" s="33">
        <f t="shared" si="81"/>
        <v>0</v>
      </c>
      <c r="N148" s="33">
        <f t="shared" si="67"/>
        <v>0</v>
      </c>
      <c r="O148" s="34">
        <f t="shared" si="68"/>
        <v>0</v>
      </c>
      <c r="P148" s="55">
        <v>143</v>
      </c>
      <c r="Q148" s="33">
        <f t="shared" si="76"/>
        <v>0</v>
      </c>
      <c r="R148" s="33">
        <f t="shared" si="82"/>
        <v>0</v>
      </c>
      <c r="S148" s="33">
        <f t="shared" si="83"/>
        <v>0</v>
      </c>
      <c r="T148" s="33">
        <f t="shared" si="69"/>
        <v>0</v>
      </c>
      <c r="U148" s="33">
        <f t="shared" si="77"/>
        <v>0</v>
      </c>
      <c r="V148" s="33">
        <f t="shared" si="70"/>
        <v>0</v>
      </c>
      <c r="W148" s="33">
        <v>0</v>
      </c>
      <c r="X148" s="33">
        <f t="shared" si="71"/>
        <v>0</v>
      </c>
      <c r="Y148" s="38">
        <f t="shared" si="72"/>
        <v>0</v>
      </c>
      <c r="AA148" s="71">
        <v>143</v>
      </c>
      <c r="AB148" s="33">
        <f t="shared" si="73"/>
        <v>0</v>
      </c>
      <c r="AC148" s="304">
        <f t="shared" si="66"/>
        <v>0</v>
      </c>
      <c r="AD148" s="100">
        <f t="shared" si="74"/>
        <v>0</v>
      </c>
      <c r="AE148" s="100">
        <f t="shared" si="75"/>
        <v>0</v>
      </c>
      <c r="AF148" s="193">
        <f t="shared" si="62"/>
        <v>0</v>
      </c>
      <c r="AG148" s="193">
        <f t="shared" si="63"/>
        <v>0</v>
      </c>
      <c r="AH148" s="193">
        <f t="shared" si="64"/>
        <v>0</v>
      </c>
      <c r="AI148" s="198">
        <f t="shared" si="65"/>
        <v>0</v>
      </c>
      <c r="AK148" s="71">
        <v>143</v>
      </c>
      <c r="AL148" s="33"/>
      <c r="AM148" s="33"/>
      <c r="AN148" s="33"/>
      <c r="AO148" s="33"/>
      <c r="AP148" s="33"/>
      <c r="AQ148" s="193"/>
      <c r="AR148" s="193"/>
      <c r="AS148" s="193"/>
      <c r="AT148" s="193"/>
      <c r="AU148" s="33"/>
      <c r="AV148" s="33"/>
      <c r="AW148" s="33"/>
      <c r="AX148" s="33"/>
      <c r="AY148" s="76"/>
    </row>
    <row r="149" spans="3:51">
      <c r="C149" s="165" t="s">
        <v>24</v>
      </c>
      <c r="D149" s="4">
        <v>0.74</v>
      </c>
      <c r="E149" s="187" t="s">
        <v>228</v>
      </c>
      <c r="F149" s="342">
        <f>IF(OR(Tableau145[[#This Row],[Type]]="Feuillus",Tableau145[[#This Row],[Type]]="Peupliers"),1.56,1.3)</f>
        <v>1.56</v>
      </c>
      <c r="I149" s="55">
        <v>144</v>
      </c>
      <c r="J149" s="33">
        <f t="shared" si="78"/>
        <v>0</v>
      </c>
      <c r="K149" s="33">
        <f t="shared" si="79"/>
        <v>0</v>
      </c>
      <c r="L149" s="33">
        <f t="shared" si="80"/>
        <v>0</v>
      </c>
      <c r="M149" s="33">
        <f t="shared" si="81"/>
        <v>0</v>
      </c>
      <c r="N149" s="33">
        <f t="shared" si="67"/>
        <v>0</v>
      </c>
      <c r="O149" s="34">
        <f t="shared" si="68"/>
        <v>0</v>
      </c>
      <c r="P149" s="55">
        <v>144</v>
      </c>
      <c r="Q149" s="33">
        <f t="shared" si="76"/>
        <v>0</v>
      </c>
      <c r="R149" s="33">
        <f t="shared" si="82"/>
        <v>0</v>
      </c>
      <c r="S149" s="33">
        <f t="shared" si="83"/>
        <v>0</v>
      </c>
      <c r="T149" s="33">
        <f t="shared" si="69"/>
        <v>0</v>
      </c>
      <c r="U149" s="33">
        <f t="shared" si="77"/>
        <v>0</v>
      </c>
      <c r="V149" s="33">
        <f t="shared" si="70"/>
        <v>0</v>
      </c>
      <c r="W149" s="33">
        <v>0</v>
      </c>
      <c r="X149" s="33">
        <f t="shared" si="71"/>
        <v>0</v>
      </c>
      <c r="Y149" s="38">
        <f t="shared" si="72"/>
        <v>0</v>
      </c>
      <c r="AA149" s="71">
        <v>144</v>
      </c>
      <c r="AB149" s="33">
        <f t="shared" si="73"/>
        <v>0</v>
      </c>
      <c r="AC149" s="304">
        <f t="shared" si="66"/>
        <v>0</v>
      </c>
      <c r="AD149" s="100">
        <f t="shared" si="74"/>
        <v>0</v>
      </c>
      <c r="AE149" s="100">
        <f t="shared" si="75"/>
        <v>0</v>
      </c>
      <c r="AF149" s="193">
        <f t="shared" si="62"/>
        <v>0</v>
      </c>
      <c r="AG149" s="193">
        <f t="shared" si="63"/>
        <v>0</v>
      </c>
      <c r="AH149" s="193">
        <f t="shared" si="64"/>
        <v>0</v>
      </c>
      <c r="AI149" s="198">
        <f t="shared" si="65"/>
        <v>0</v>
      </c>
      <c r="AK149" s="71">
        <v>144</v>
      </c>
      <c r="AL149" s="33"/>
      <c r="AM149" s="33"/>
      <c r="AN149" s="33"/>
      <c r="AO149" s="33"/>
      <c r="AP149" s="33"/>
      <c r="AQ149" s="193"/>
      <c r="AR149" s="193"/>
      <c r="AS149" s="193"/>
      <c r="AT149" s="193"/>
      <c r="AU149" s="33"/>
      <c r="AV149" s="33"/>
      <c r="AW149" s="33"/>
      <c r="AX149" s="33"/>
      <c r="AY149" s="76"/>
    </row>
    <row r="150" spans="3:51">
      <c r="C150" s="165" t="s">
        <v>25</v>
      </c>
      <c r="D150" s="4">
        <v>0.4</v>
      </c>
      <c r="E150" s="187" t="s">
        <v>229</v>
      </c>
      <c r="F150" s="342">
        <f>IF(OR(Tableau145[[#This Row],[Type]]="Feuillus",Tableau145[[#This Row],[Type]]="Peupliers"),1.56,1.3)</f>
        <v>1.3</v>
      </c>
      <c r="I150" s="55">
        <v>145</v>
      </c>
      <c r="J150" s="33">
        <f t="shared" si="78"/>
        <v>0</v>
      </c>
      <c r="K150" s="33">
        <f t="shared" si="79"/>
        <v>0</v>
      </c>
      <c r="L150" s="33">
        <f t="shared" si="80"/>
        <v>0</v>
      </c>
      <c r="M150" s="33">
        <f t="shared" si="81"/>
        <v>0</v>
      </c>
      <c r="N150" s="33">
        <f t="shared" si="67"/>
        <v>0</v>
      </c>
      <c r="O150" s="34">
        <f t="shared" si="68"/>
        <v>0</v>
      </c>
      <c r="P150" s="55">
        <v>145</v>
      </c>
      <c r="Q150" s="33">
        <f t="shared" si="76"/>
        <v>0</v>
      </c>
      <c r="R150" s="33">
        <f t="shared" si="82"/>
        <v>0</v>
      </c>
      <c r="S150" s="33">
        <f t="shared" si="83"/>
        <v>0</v>
      </c>
      <c r="T150" s="33">
        <f t="shared" si="69"/>
        <v>0</v>
      </c>
      <c r="U150" s="33">
        <f t="shared" si="77"/>
        <v>0</v>
      </c>
      <c r="V150" s="33">
        <f t="shared" si="70"/>
        <v>0</v>
      </c>
      <c r="W150" s="33">
        <v>0</v>
      </c>
      <c r="X150" s="33">
        <f t="shared" si="71"/>
        <v>0</v>
      </c>
      <c r="Y150" s="38">
        <f t="shared" si="72"/>
        <v>0</v>
      </c>
      <c r="AA150" s="71">
        <v>145</v>
      </c>
      <c r="AB150" s="33">
        <f t="shared" si="73"/>
        <v>0</v>
      </c>
      <c r="AC150" s="304">
        <f t="shared" si="66"/>
        <v>0</v>
      </c>
      <c r="AD150" s="100">
        <f t="shared" si="74"/>
        <v>0</v>
      </c>
      <c r="AE150" s="100">
        <f t="shared" si="75"/>
        <v>0</v>
      </c>
      <c r="AF150" s="193">
        <f t="shared" si="62"/>
        <v>0</v>
      </c>
      <c r="AG150" s="193">
        <f t="shared" si="63"/>
        <v>0</v>
      </c>
      <c r="AH150" s="193">
        <f t="shared" si="64"/>
        <v>0</v>
      </c>
      <c r="AI150" s="198">
        <f t="shared" si="65"/>
        <v>0</v>
      </c>
      <c r="AK150" s="71">
        <v>145</v>
      </c>
      <c r="AL150" s="33"/>
      <c r="AM150" s="33"/>
      <c r="AN150" s="33"/>
      <c r="AO150" s="33"/>
      <c r="AP150" s="33"/>
      <c r="AQ150" s="193"/>
      <c r="AR150" s="193"/>
      <c r="AS150" s="193"/>
      <c r="AT150" s="193"/>
      <c r="AU150" s="33"/>
      <c r="AV150" s="33"/>
      <c r="AW150" s="33"/>
      <c r="AX150" s="33"/>
      <c r="AY150" s="76"/>
    </row>
    <row r="151" spans="3:51">
      <c r="C151" s="165" t="s">
        <v>26</v>
      </c>
      <c r="D151" s="4">
        <v>0.6</v>
      </c>
      <c r="E151" s="187" t="s">
        <v>228</v>
      </c>
      <c r="F151" s="342">
        <f>IF(OR(Tableau145[[#This Row],[Type]]="Feuillus",Tableau145[[#This Row],[Type]]="Peupliers"),1.56,1.3)</f>
        <v>1.56</v>
      </c>
      <c r="I151" s="55">
        <v>146</v>
      </c>
      <c r="J151" s="33">
        <f t="shared" si="78"/>
        <v>0</v>
      </c>
      <c r="K151" s="33">
        <f t="shared" si="79"/>
        <v>0</v>
      </c>
      <c r="L151" s="33">
        <f t="shared" si="80"/>
        <v>0</v>
      </c>
      <c r="M151" s="33">
        <f t="shared" si="81"/>
        <v>0</v>
      </c>
      <c r="N151" s="33">
        <f t="shared" si="67"/>
        <v>0</v>
      </c>
      <c r="O151" s="34">
        <f t="shared" si="68"/>
        <v>0</v>
      </c>
      <c r="P151" s="55">
        <v>146</v>
      </c>
      <c r="Q151" s="33">
        <f t="shared" si="76"/>
        <v>0</v>
      </c>
      <c r="R151" s="33">
        <f t="shared" si="82"/>
        <v>0</v>
      </c>
      <c r="S151" s="33">
        <f t="shared" si="83"/>
        <v>0</v>
      </c>
      <c r="T151" s="33">
        <f t="shared" si="69"/>
        <v>0</v>
      </c>
      <c r="U151" s="33">
        <f t="shared" si="77"/>
        <v>0</v>
      </c>
      <c r="V151" s="33">
        <f t="shared" si="70"/>
        <v>0</v>
      </c>
      <c r="W151" s="33">
        <v>0</v>
      </c>
      <c r="X151" s="33">
        <f t="shared" si="71"/>
        <v>0</v>
      </c>
      <c r="Y151" s="38">
        <f t="shared" si="72"/>
        <v>0</v>
      </c>
      <c r="AA151" s="71">
        <v>146</v>
      </c>
      <c r="AB151" s="33">
        <f t="shared" si="73"/>
        <v>0</v>
      </c>
      <c r="AC151" s="304">
        <f t="shared" si="66"/>
        <v>0</v>
      </c>
      <c r="AD151" s="100">
        <f t="shared" si="74"/>
        <v>0</v>
      </c>
      <c r="AE151" s="100">
        <f t="shared" si="75"/>
        <v>0</v>
      </c>
      <c r="AF151" s="193">
        <f t="shared" si="62"/>
        <v>0</v>
      </c>
      <c r="AG151" s="193">
        <f t="shared" si="63"/>
        <v>0</v>
      </c>
      <c r="AH151" s="193">
        <f t="shared" si="64"/>
        <v>0</v>
      </c>
      <c r="AI151" s="198">
        <f t="shared" si="65"/>
        <v>0</v>
      </c>
      <c r="AK151" s="71">
        <v>146</v>
      </c>
      <c r="AL151" s="33"/>
      <c r="AM151" s="33"/>
      <c r="AN151" s="33"/>
      <c r="AO151" s="33"/>
      <c r="AP151" s="33"/>
      <c r="AQ151" s="193"/>
      <c r="AR151" s="193"/>
      <c r="AS151" s="193"/>
      <c r="AT151" s="193"/>
      <c r="AU151" s="33"/>
      <c r="AV151" s="33"/>
      <c r="AW151" s="33"/>
      <c r="AX151" s="33"/>
      <c r="AY151" s="76"/>
    </row>
    <row r="152" spans="3:51">
      <c r="C152" s="165" t="s">
        <v>27</v>
      </c>
      <c r="D152" s="4">
        <v>0.43</v>
      </c>
      <c r="E152" s="187" t="s">
        <v>229</v>
      </c>
      <c r="F152" s="342">
        <f>IF(OR(Tableau145[[#This Row],[Type]]="Feuillus",Tableau145[[#This Row],[Type]]="Peupliers"),1.56,1.3)</f>
        <v>1.3</v>
      </c>
      <c r="I152" s="55">
        <v>147</v>
      </c>
      <c r="J152" s="33">
        <f t="shared" si="78"/>
        <v>0</v>
      </c>
      <c r="K152" s="33">
        <f t="shared" si="79"/>
        <v>0</v>
      </c>
      <c r="L152" s="33">
        <f t="shared" si="80"/>
        <v>0</v>
      </c>
      <c r="M152" s="33">
        <f t="shared" si="81"/>
        <v>0</v>
      </c>
      <c r="N152" s="33">
        <f t="shared" si="67"/>
        <v>0</v>
      </c>
      <c r="O152" s="34">
        <f t="shared" si="68"/>
        <v>0</v>
      </c>
      <c r="P152" s="55">
        <v>147</v>
      </c>
      <c r="Q152" s="33">
        <f t="shared" si="76"/>
        <v>0</v>
      </c>
      <c r="R152" s="33">
        <f t="shared" si="82"/>
        <v>0</v>
      </c>
      <c r="S152" s="33">
        <f t="shared" si="83"/>
        <v>0</v>
      </c>
      <c r="T152" s="33">
        <f t="shared" si="69"/>
        <v>0</v>
      </c>
      <c r="U152" s="33">
        <f t="shared" si="77"/>
        <v>0</v>
      </c>
      <c r="V152" s="33">
        <f t="shared" si="70"/>
        <v>0</v>
      </c>
      <c r="W152" s="33">
        <v>0</v>
      </c>
      <c r="X152" s="33">
        <f t="shared" si="71"/>
        <v>0</v>
      </c>
      <c r="Y152" s="38">
        <f t="shared" si="72"/>
        <v>0</v>
      </c>
      <c r="AA152" s="71">
        <v>147</v>
      </c>
      <c r="AB152" s="33">
        <f t="shared" si="73"/>
        <v>0</v>
      </c>
      <c r="AC152" s="304">
        <f t="shared" si="66"/>
        <v>0</v>
      </c>
      <c r="AD152" s="100">
        <f t="shared" si="74"/>
        <v>0</v>
      </c>
      <c r="AE152" s="100">
        <f t="shared" si="75"/>
        <v>0</v>
      </c>
      <c r="AF152" s="193">
        <f t="shared" si="62"/>
        <v>0</v>
      </c>
      <c r="AG152" s="193">
        <f t="shared" si="63"/>
        <v>0</v>
      </c>
      <c r="AH152" s="193">
        <f t="shared" si="64"/>
        <v>0</v>
      </c>
      <c r="AI152" s="198">
        <f t="shared" si="65"/>
        <v>0</v>
      </c>
      <c r="AK152" s="71">
        <v>147</v>
      </c>
      <c r="AL152" s="33"/>
      <c r="AM152" s="33"/>
      <c r="AN152" s="33"/>
      <c r="AO152" s="33"/>
      <c r="AP152" s="33"/>
      <c r="AQ152" s="193"/>
      <c r="AR152" s="193"/>
      <c r="AS152" s="193"/>
      <c r="AT152" s="193"/>
      <c r="AU152" s="33"/>
      <c r="AV152" s="33"/>
      <c r="AW152" s="33"/>
      <c r="AX152" s="33"/>
      <c r="AY152" s="76"/>
    </row>
    <row r="153" spans="3:51">
      <c r="C153" s="165" t="s">
        <v>28</v>
      </c>
      <c r="D153" s="4">
        <v>0.37</v>
      </c>
      <c r="E153" s="187" t="s">
        <v>229</v>
      </c>
      <c r="F153" s="342">
        <f>IF(OR(Tableau145[[#This Row],[Type]]="Feuillus",Tableau145[[#This Row],[Type]]="Peupliers"),1.56,1.3)</f>
        <v>1.3</v>
      </c>
      <c r="I153" s="55">
        <v>148</v>
      </c>
      <c r="J153" s="33">
        <f t="shared" si="78"/>
        <v>0</v>
      </c>
      <c r="K153" s="33">
        <f t="shared" si="79"/>
        <v>0</v>
      </c>
      <c r="L153" s="33">
        <f t="shared" si="80"/>
        <v>0</v>
      </c>
      <c r="M153" s="33">
        <f t="shared" si="81"/>
        <v>0</v>
      </c>
      <c r="N153" s="33">
        <f t="shared" si="67"/>
        <v>0</v>
      </c>
      <c r="O153" s="34">
        <f t="shared" si="68"/>
        <v>0</v>
      </c>
      <c r="P153" s="55">
        <v>148</v>
      </c>
      <c r="Q153" s="33">
        <f t="shared" si="76"/>
        <v>0</v>
      </c>
      <c r="R153" s="33">
        <f t="shared" si="82"/>
        <v>0</v>
      </c>
      <c r="S153" s="33">
        <f t="shared" si="83"/>
        <v>0</v>
      </c>
      <c r="T153" s="33">
        <f t="shared" si="69"/>
        <v>0</v>
      </c>
      <c r="U153" s="33">
        <f t="shared" si="77"/>
        <v>0</v>
      </c>
      <c r="V153" s="33">
        <f t="shared" si="70"/>
        <v>0</v>
      </c>
      <c r="W153" s="33">
        <v>0</v>
      </c>
      <c r="X153" s="33">
        <f t="shared" si="71"/>
        <v>0</v>
      </c>
      <c r="Y153" s="38">
        <f t="shared" si="72"/>
        <v>0</v>
      </c>
      <c r="AA153" s="71">
        <v>148</v>
      </c>
      <c r="AB153" s="33">
        <f t="shared" si="73"/>
        <v>0</v>
      </c>
      <c r="AC153" s="304">
        <f t="shared" si="66"/>
        <v>0</v>
      </c>
      <c r="AD153" s="100">
        <f t="shared" si="74"/>
        <v>0</v>
      </c>
      <c r="AE153" s="100">
        <f t="shared" si="75"/>
        <v>0</v>
      </c>
      <c r="AF153" s="193">
        <f t="shared" si="62"/>
        <v>0</v>
      </c>
      <c r="AG153" s="193">
        <f t="shared" si="63"/>
        <v>0</v>
      </c>
      <c r="AH153" s="193">
        <f t="shared" si="64"/>
        <v>0</v>
      </c>
      <c r="AI153" s="198">
        <f t="shared" si="65"/>
        <v>0</v>
      </c>
      <c r="AK153" s="71">
        <v>148</v>
      </c>
      <c r="AL153" s="33"/>
      <c r="AM153" s="33"/>
      <c r="AN153" s="33"/>
      <c r="AO153" s="33"/>
      <c r="AP153" s="33"/>
      <c r="AQ153" s="193"/>
      <c r="AR153" s="193"/>
      <c r="AS153" s="193"/>
      <c r="AT153" s="193"/>
      <c r="AU153" s="33"/>
      <c r="AV153" s="33"/>
      <c r="AW153" s="33"/>
      <c r="AX153" s="33"/>
      <c r="AY153" s="76"/>
    </row>
    <row r="154" spans="3:51">
      <c r="C154" s="165" t="s">
        <v>29</v>
      </c>
      <c r="D154" s="4">
        <v>0.36</v>
      </c>
      <c r="E154" s="187" t="s">
        <v>229</v>
      </c>
      <c r="F154" s="342">
        <f>IF(OR(Tableau145[[#This Row],[Type]]="Feuillus",Tableau145[[#This Row],[Type]]="Peupliers"),1.56,1.3)</f>
        <v>1.3</v>
      </c>
      <c r="I154" s="55">
        <v>149</v>
      </c>
      <c r="J154" s="33">
        <f t="shared" si="78"/>
        <v>0</v>
      </c>
      <c r="K154" s="33">
        <f t="shared" si="79"/>
        <v>0</v>
      </c>
      <c r="L154" s="33">
        <f t="shared" si="80"/>
        <v>0</v>
      </c>
      <c r="M154" s="33">
        <f t="shared" si="81"/>
        <v>0</v>
      </c>
      <c r="N154" s="33">
        <f t="shared" si="67"/>
        <v>0</v>
      </c>
      <c r="O154" s="34">
        <f t="shared" si="68"/>
        <v>0</v>
      </c>
      <c r="P154" s="55">
        <v>149</v>
      </c>
      <c r="Q154" s="33">
        <f t="shared" si="76"/>
        <v>0</v>
      </c>
      <c r="R154" s="33">
        <f t="shared" si="82"/>
        <v>0</v>
      </c>
      <c r="S154" s="33">
        <f t="shared" si="83"/>
        <v>0</v>
      </c>
      <c r="T154" s="33">
        <f t="shared" si="69"/>
        <v>0</v>
      </c>
      <c r="U154" s="33">
        <f t="shared" si="77"/>
        <v>0</v>
      </c>
      <c r="V154" s="33">
        <f t="shared" si="70"/>
        <v>0</v>
      </c>
      <c r="W154" s="33">
        <v>0</v>
      </c>
      <c r="X154" s="33">
        <f t="shared" si="71"/>
        <v>0</v>
      </c>
      <c r="Y154" s="38">
        <f t="shared" si="72"/>
        <v>0</v>
      </c>
      <c r="AA154" s="71">
        <v>149</v>
      </c>
      <c r="AB154" s="33">
        <f t="shared" si="73"/>
        <v>0</v>
      </c>
      <c r="AC154" s="304">
        <f t="shared" si="66"/>
        <v>0</v>
      </c>
      <c r="AD154" s="100">
        <f t="shared" si="74"/>
        <v>0</v>
      </c>
      <c r="AE154" s="100">
        <f t="shared" si="75"/>
        <v>0</v>
      </c>
      <c r="AF154" s="193">
        <f t="shared" si="62"/>
        <v>0</v>
      </c>
      <c r="AG154" s="193">
        <f t="shared" si="63"/>
        <v>0</v>
      </c>
      <c r="AH154" s="193">
        <f t="shared" si="64"/>
        <v>0</v>
      </c>
      <c r="AI154" s="198">
        <f t="shared" si="65"/>
        <v>0</v>
      </c>
      <c r="AK154" s="71">
        <v>149</v>
      </c>
      <c r="AL154" s="33"/>
      <c r="AM154" s="33"/>
      <c r="AN154" s="33"/>
      <c r="AO154" s="33"/>
      <c r="AP154" s="33"/>
      <c r="AQ154" s="193"/>
      <c r="AR154" s="193"/>
      <c r="AS154" s="193"/>
      <c r="AT154" s="193"/>
      <c r="AU154" s="33"/>
      <c r="AV154" s="33"/>
      <c r="AW154" s="33"/>
      <c r="AX154" s="33"/>
      <c r="AY154" s="76"/>
    </row>
    <row r="155" spans="3:51">
      <c r="C155" s="165" t="s">
        <v>30</v>
      </c>
      <c r="D155" s="4">
        <v>0.51</v>
      </c>
      <c r="E155" s="187" t="s">
        <v>228</v>
      </c>
      <c r="F155" s="342">
        <f>IF(OR(Tableau145[[#This Row],[Type]]="Feuillus",Tableau145[[#This Row],[Type]]="Peupliers"),1.56,1.3)</f>
        <v>1.56</v>
      </c>
      <c r="I155" s="55">
        <v>150</v>
      </c>
      <c r="J155" s="33">
        <f t="shared" si="78"/>
        <v>0</v>
      </c>
      <c r="K155" s="33">
        <f t="shared" si="79"/>
        <v>0</v>
      </c>
      <c r="L155" s="33">
        <f t="shared" si="80"/>
        <v>0</v>
      </c>
      <c r="M155" s="33">
        <f t="shared" si="81"/>
        <v>0</v>
      </c>
      <c r="N155" s="33">
        <f t="shared" si="67"/>
        <v>0</v>
      </c>
      <c r="O155" s="34">
        <f t="shared" si="68"/>
        <v>0</v>
      </c>
      <c r="P155" s="55">
        <v>150</v>
      </c>
      <c r="Q155" s="33">
        <f t="shared" si="76"/>
        <v>0</v>
      </c>
      <c r="R155" s="33">
        <f t="shared" si="82"/>
        <v>0</v>
      </c>
      <c r="S155" s="33">
        <f t="shared" si="83"/>
        <v>0</v>
      </c>
      <c r="T155" s="33">
        <f t="shared" si="69"/>
        <v>0</v>
      </c>
      <c r="U155" s="33">
        <f t="shared" si="77"/>
        <v>0</v>
      </c>
      <c r="V155" s="33">
        <f t="shared" si="70"/>
        <v>0</v>
      </c>
      <c r="W155" s="33">
        <v>0</v>
      </c>
      <c r="X155" s="33">
        <f t="shared" si="71"/>
        <v>0</v>
      </c>
      <c r="Y155" s="38">
        <f t="shared" si="72"/>
        <v>0</v>
      </c>
      <c r="AA155" s="71">
        <v>150</v>
      </c>
      <c r="AB155" s="33">
        <f t="shared" si="73"/>
        <v>0</v>
      </c>
      <c r="AC155" s="304">
        <f t="shared" si="66"/>
        <v>0</v>
      </c>
      <c r="AD155" s="100">
        <f t="shared" si="74"/>
        <v>0</v>
      </c>
      <c r="AE155" s="100">
        <f t="shared" si="75"/>
        <v>0</v>
      </c>
      <c r="AF155" s="193">
        <f t="shared" ref="AF155:AF205" si="84">IF(OR(AA155&lt;=$F$18,AA155&lt;=30),EXP(-LN(2)/$D$104)*AF154+((1-EXP(-LN(2)/$D$104))/(LN(2)/$D$104))*$AB155*AC155*0.475*$F$19*44/12,)</f>
        <v>0</v>
      </c>
      <c r="AG155" s="193">
        <f t="shared" ref="AG155:AG205" si="85">IF(OR(AA155&lt;=$F$18,AA155&lt;=30),EXP(-LN(2)/$D$106)*AG154+((1-EXP(-LN(2)/$D$106))/(LN(2)/$D$106))*$AB155*AD155*0.475*$F$19*44/12,)</f>
        <v>0</v>
      </c>
      <c r="AH155" s="193">
        <f t="shared" ref="AH155:AH205" si="86">IF(OR(AA155&lt;=$F$18,AA155&lt;=30),EXP(-LN(2)/$D$105)*AH154+((1-EXP(-LN(2)/$D$105))/(LN(2)/$D$105))*$AB155*AE155*0.475*$F$19*44/12,)</f>
        <v>0</v>
      </c>
      <c r="AI155" s="198">
        <f t="shared" ref="AI155:AI205" si="87">IF(OR(AA155&lt;=$F$18,AA155&lt;=30),SUM(AF155:AH155),)</f>
        <v>0</v>
      </c>
      <c r="AK155" s="71">
        <v>150</v>
      </c>
      <c r="AL155" s="33"/>
      <c r="AM155" s="33"/>
      <c r="AN155" s="33"/>
      <c r="AO155" s="33"/>
      <c r="AP155" s="33"/>
      <c r="AQ155" s="193"/>
      <c r="AR155" s="193"/>
      <c r="AS155" s="193"/>
      <c r="AT155" s="193"/>
      <c r="AU155" s="33"/>
      <c r="AV155" s="33"/>
      <c r="AW155" s="33"/>
      <c r="AX155" s="33"/>
      <c r="AY155" s="76"/>
    </row>
    <row r="156" spans="3:51">
      <c r="C156" s="165" t="s">
        <v>31</v>
      </c>
      <c r="D156" s="4">
        <v>0.56000000000000005</v>
      </c>
      <c r="E156" s="187" t="s">
        <v>228</v>
      </c>
      <c r="F156" s="342">
        <f>IF(OR(Tableau145[[#This Row],[Type]]="Feuillus",Tableau145[[#This Row],[Type]]="Peupliers"),1.56,1.3)</f>
        <v>1.56</v>
      </c>
      <c r="I156" s="55">
        <v>151</v>
      </c>
      <c r="J156" s="33">
        <f t="shared" si="78"/>
        <v>0</v>
      </c>
      <c r="K156" s="33">
        <f t="shared" si="79"/>
        <v>0</v>
      </c>
      <c r="L156" s="33">
        <f t="shared" si="80"/>
        <v>0</v>
      </c>
      <c r="M156" s="33">
        <f t="shared" si="81"/>
        <v>0</v>
      </c>
      <c r="N156" s="33">
        <f t="shared" si="67"/>
        <v>0</v>
      </c>
      <c r="O156" s="34">
        <f t="shared" si="68"/>
        <v>0</v>
      </c>
      <c r="P156" s="55">
        <v>151</v>
      </c>
      <c r="Q156" s="33">
        <f t="shared" si="76"/>
        <v>0</v>
      </c>
      <c r="R156" s="33">
        <f t="shared" si="82"/>
        <v>0</v>
      </c>
      <c r="S156" s="33">
        <f t="shared" si="83"/>
        <v>0</v>
      </c>
      <c r="T156" s="33">
        <f t="shared" si="69"/>
        <v>0</v>
      </c>
      <c r="U156" s="33">
        <f t="shared" si="77"/>
        <v>0</v>
      </c>
      <c r="V156" s="33">
        <f t="shared" si="70"/>
        <v>0</v>
      </c>
      <c r="W156" s="33">
        <v>0</v>
      </c>
      <c r="X156" s="33">
        <f t="shared" si="71"/>
        <v>0</v>
      </c>
      <c r="Y156" s="38">
        <f t="shared" si="72"/>
        <v>0</v>
      </c>
      <c r="AA156" s="71">
        <v>151</v>
      </c>
      <c r="AB156" s="33">
        <f t="shared" si="73"/>
        <v>0</v>
      </c>
      <c r="AC156" s="304">
        <f t="shared" si="66"/>
        <v>0</v>
      </c>
      <c r="AD156" s="100">
        <f t="shared" si="74"/>
        <v>0</v>
      </c>
      <c r="AE156" s="100">
        <f t="shared" si="75"/>
        <v>0</v>
      </c>
      <c r="AF156" s="193">
        <f t="shared" si="84"/>
        <v>0</v>
      </c>
      <c r="AG156" s="193">
        <f t="shared" si="85"/>
        <v>0</v>
      </c>
      <c r="AH156" s="193">
        <f t="shared" si="86"/>
        <v>0</v>
      </c>
      <c r="AI156" s="198">
        <f t="shared" si="87"/>
        <v>0</v>
      </c>
      <c r="AK156" s="71">
        <v>151</v>
      </c>
      <c r="AL156" s="33"/>
      <c r="AM156" s="33"/>
      <c r="AN156" s="33"/>
      <c r="AO156" s="33"/>
      <c r="AP156" s="33"/>
      <c r="AQ156" s="193"/>
      <c r="AR156" s="193"/>
      <c r="AS156" s="193"/>
      <c r="AT156" s="193"/>
      <c r="AU156" s="33"/>
      <c r="AV156" s="33"/>
      <c r="AW156" s="33"/>
      <c r="AX156" s="33"/>
      <c r="AY156" s="76"/>
    </row>
    <row r="157" spans="3:51">
      <c r="C157" s="165" t="s">
        <v>32</v>
      </c>
      <c r="D157" s="4">
        <v>0.56000000000000005</v>
      </c>
      <c r="E157" s="187" t="s">
        <v>228</v>
      </c>
      <c r="F157" s="342">
        <f>IF(OR(Tableau145[[#This Row],[Type]]="Feuillus",Tableau145[[#This Row],[Type]]="Peupliers"),1.56,1.3)</f>
        <v>1.56</v>
      </c>
      <c r="I157" s="55">
        <v>152</v>
      </c>
      <c r="J157" s="33">
        <f t="shared" si="78"/>
        <v>0</v>
      </c>
      <c r="K157" s="33">
        <f t="shared" si="79"/>
        <v>0</v>
      </c>
      <c r="L157" s="33">
        <f t="shared" si="80"/>
        <v>0</v>
      </c>
      <c r="M157" s="33">
        <f t="shared" si="81"/>
        <v>0</v>
      </c>
      <c r="N157" s="33">
        <f t="shared" si="67"/>
        <v>0</v>
      </c>
      <c r="O157" s="34">
        <f t="shared" si="68"/>
        <v>0</v>
      </c>
      <c r="P157" s="55">
        <v>152</v>
      </c>
      <c r="Q157" s="33">
        <f t="shared" si="76"/>
        <v>0</v>
      </c>
      <c r="R157" s="33">
        <f t="shared" si="82"/>
        <v>0</v>
      </c>
      <c r="S157" s="33">
        <f t="shared" si="83"/>
        <v>0</v>
      </c>
      <c r="T157" s="33">
        <f t="shared" si="69"/>
        <v>0</v>
      </c>
      <c r="U157" s="33">
        <f t="shared" si="77"/>
        <v>0</v>
      </c>
      <c r="V157" s="33">
        <f t="shared" si="70"/>
        <v>0</v>
      </c>
      <c r="W157" s="33">
        <v>0</v>
      </c>
      <c r="X157" s="33">
        <f t="shared" si="71"/>
        <v>0</v>
      </c>
      <c r="Y157" s="38">
        <f t="shared" si="72"/>
        <v>0</v>
      </c>
      <c r="AA157" s="71">
        <v>152</v>
      </c>
      <c r="AB157" s="33">
        <f t="shared" si="73"/>
        <v>0</v>
      </c>
      <c r="AC157" s="304">
        <f t="shared" si="66"/>
        <v>0</v>
      </c>
      <c r="AD157" s="100">
        <f t="shared" si="74"/>
        <v>0</v>
      </c>
      <c r="AE157" s="100">
        <f t="shared" si="75"/>
        <v>0</v>
      </c>
      <c r="AF157" s="193">
        <f t="shared" si="84"/>
        <v>0</v>
      </c>
      <c r="AG157" s="193">
        <f t="shared" si="85"/>
        <v>0</v>
      </c>
      <c r="AH157" s="193">
        <f t="shared" si="86"/>
        <v>0</v>
      </c>
      <c r="AI157" s="198">
        <f t="shared" si="87"/>
        <v>0</v>
      </c>
      <c r="AK157" s="71">
        <v>152</v>
      </c>
      <c r="AL157" s="33"/>
      <c r="AM157" s="33"/>
      <c r="AN157" s="33"/>
      <c r="AO157" s="33"/>
      <c r="AP157" s="33"/>
      <c r="AQ157" s="193"/>
      <c r="AR157" s="193"/>
      <c r="AS157" s="193"/>
      <c r="AT157" s="193"/>
      <c r="AU157" s="33"/>
      <c r="AV157" s="33"/>
      <c r="AW157" s="33"/>
      <c r="AX157" s="33"/>
      <c r="AY157" s="76"/>
    </row>
    <row r="158" spans="3:51">
      <c r="C158" s="165" t="s">
        <v>33</v>
      </c>
      <c r="D158" s="4">
        <v>0.48</v>
      </c>
      <c r="E158" s="187" t="s">
        <v>228</v>
      </c>
      <c r="F158" s="342">
        <f>IF(OR(Tableau145[[#This Row],[Type]]="Feuillus",Tableau145[[#This Row],[Type]]="Peupliers"),1.56,1.3)</f>
        <v>1.56</v>
      </c>
      <c r="I158" s="55">
        <v>153</v>
      </c>
      <c r="J158" s="33">
        <f t="shared" si="78"/>
        <v>0</v>
      </c>
      <c r="K158" s="33">
        <f t="shared" si="79"/>
        <v>0</v>
      </c>
      <c r="L158" s="33">
        <f t="shared" si="80"/>
        <v>0</v>
      </c>
      <c r="M158" s="33">
        <f t="shared" si="81"/>
        <v>0</v>
      </c>
      <c r="N158" s="33">
        <f t="shared" si="67"/>
        <v>0</v>
      </c>
      <c r="O158" s="34">
        <f t="shared" si="68"/>
        <v>0</v>
      </c>
      <c r="P158" s="55">
        <v>153</v>
      </c>
      <c r="Q158" s="33">
        <f t="shared" si="76"/>
        <v>0</v>
      </c>
      <c r="R158" s="33">
        <f t="shared" si="82"/>
        <v>0</v>
      </c>
      <c r="S158" s="33">
        <f t="shared" si="83"/>
        <v>0</v>
      </c>
      <c r="T158" s="33">
        <f t="shared" si="69"/>
        <v>0</v>
      </c>
      <c r="U158" s="33">
        <f t="shared" si="77"/>
        <v>0</v>
      </c>
      <c r="V158" s="33">
        <f t="shared" si="70"/>
        <v>0</v>
      </c>
      <c r="W158" s="33">
        <v>0</v>
      </c>
      <c r="X158" s="33">
        <f t="shared" si="71"/>
        <v>0</v>
      </c>
      <c r="Y158" s="38">
        <f t="shared" si="72"/>
        <v>0</v>
      </c>
      <c r="AA158" s="71">
        <v>153</v>
      </c>
      <c r="AB158" s="33">
        <f t="shared" si="73"/>
        <v>0</v>
      </c>
      <c r="AC158" s="304">
        <f t="shared" si="66"/>
        <v>0</v>
      </c>
      <c r="AD158" s="100">
        <f t="shared" si="74"/>
        <v>0</v>
      </c>
      <c r="AE158" s="100">
        <f t="shared" si="75"/>
        <v>0</v>
      </c>
      <c r="AF158" s="193">
        <f t="shared" si="84"/>
        <v>0</v>
      </c>
      <c r="AG158" s="193">
        <f t="shared" si="85"/>
        <v>0</v>
      </c>
      <c r="AH158" s="193">
        <f t="shared" si="86"/>
        <v>0</v>
      </c>
      <c r="AI158" s="198">
        <f t="shared" si="87"/>
        <v>0</v>
      </c>
      <c r="AK158" s="71">
        <v>153</v>
      </c>
      <c r="AL158" s="33"/>
      <c r="AM158" s="33"/>
      <c r="AN158" s="33"/>
      <c r="AO158" s="33"/>
      <c r="AP158" s="33"/>
      <c r="AQ158" s="193"/>
      <c r="AR158" s="193"/>
      <c r="AS158" s="193"/>
      <c r="AT158" s="193"/>
      <c r="AU158" s="33"/>
      <c r="AV158" s="33"/>
      <c r="AW158" s="33"/>
      <c r="AX158" s="33"/>
      <c r="AY158" s="76"/>
    </row>
    <row r="159" spans="3:51">
      <c r="C159" s="165" t="s">
        <v>34</v>
      </c>
      <c r="D159" s="4">
        <v>0.55000000000000004</v>
      </c>
      <c r="E159" s="187" t="s">
        <v>228</v>
      </c>
      <c r="F159" s="342">
        <f>IF(OR(Tableau145[[#This Row],[Type]]="Feuillus",Tableau145[[#This Row],[Type]]="Peupliers"),1.56,1.3)</f>
        <v>1.56</v>
      </c>
      <c r="I159" s="55">
        <v>154</v>
      </c>
      <c r="J159" s="33">
        <f t="shared" si="78"/>
        <v>0</v>
      </c>
      <c r="K159" s="33">
        <f t="shared" si="79"/>
        <v>0</v>
      </c>
      <c r="L159" s="33">
        <f t="shared" si="80"/>
        <v>0</v>
      </c>
      <c r="M159" s="33">
        <f t="shared" si="81"/>
        <v>0</v>
      </c>
      <c r="N159" s="33">
        <f t="shared" si="67"/>
        <v>0</v>
      </c>
      <c r="O159" s="34">
        <f t="shared" si="68"/>
        <v>0</v>
      </c>
      <c r="P159" s="55">
        <v>154</v>
      </c>
      <c r="Q159" s="33">
        <f t="shared" si="76"/>
        <v>0</v>
      </c>
      <c r="R159" s="33">
        <f t="shared" si="82"/>
        <v>0</v>
      </c>
      <c r="S159" s="33">
        <f t="shared" si="83"/>
        <v>0</v>
      </c>
      <c r="T159" s="33">
        <f t="shared" si="69"/>
        <v>0</v>
      </c>
      <c r="U159" s="33">
        <f t="shared" si="77"/>
        <v>0</v>
      </c>
      <c r="V159" s="33">
        <f t="shared" si="70"/>
        <v>0</v>
      </c>
      <c r="W159" s="33">
        <v>0</v>
      </c>
      <c r="X159" s="33">
        <f t="shared" si="71"/>
        <v>0</v>
      </c>
      <c r="Y159" s="38">
        <f t="shared" si="72"/>
        <v>0</v>
      </c>
      <c r="AA159" s="71">
        <v>154</v>
      </c>
      <c r="AB159" s="33">
        <f t="shared" si="73"/>
        <v>0</v>
      </c>
      <c r="AC159" s="304">
        <f t="shared" ref="AC159:AC205" si="88">IF(AA159&lt;=$F$18,IFERROR(VLOOKUP($AA159,$B$82:$G$94,3,FALSE),0),)*50%</f>
        <v>0</v>
      </c>
      <c r="AD159" s="100">
        <f t="shared" si="74"/>
        <v>0</v>
      </c>
      <c r="AE159" s="100">
        <f t="shared" si="75"/>
        <v>0</v>
      </c>
      <c r="AF159" s="193">
        <f t="shared" si="84"/>
        <v>0</v>
      </c>
      <c r="AG159" s="193">
        <f t="shared" si="85"/>
        <v>0</v>
      </c>
      <c r="AH159" s="193">
        <f t="shared" si="86"/>
        <v>0</v>
      </c>
      <c r="AI159" s="198">
        <f t="shared" si="87"/>
        <v>0</v>
      </c>
      <c r="AK159" s="71">
        <v>154</v>
      </c>
      <c r="AL159" s="33"/>
      <c r="AM159" s="33"/>
      <c r="AN159" s="33"/>
      <c r="AO159" s="33"/>
      <c r="AP159" s="33"/>
      <c r="AQ159" s="193"/>
      <c r="AR159" s="193"/>
      <c r="AS159" s="193"/>
      <c r="AT159" s="193"/>
      <c r="AU159" s="33"/>
      <c r="AV159" s="33"/>
      <c r="AW159" s="33"/>
      <c r="AX159" s="33"/>
      <c r="AY159" s="76"/>
    </row>
    <row r="160" spans="3:51">
      <c r="C160" s="165" t="s">
        <v>35</v>
      </c>
      <c r="D160" s="4">
        <v>0.56000000000000005</v>
      </c>
      <c r="E160" s="187" t="s">
        <v>228</v>
      </c>
      <c r="F160" s="342">
        <f>IF(OR(Tableau145[[#This Row],[Type]]="Feuillus",Tableau145[[#This Row],[Type]]="Peupliers"),1.56,1.3)</f>
        <v>1.56</v>
      </c>
      <c r="I160" s="55">
        <v>155</v>
      </c>
      <c r="J160" s="33">
        <f t="shared" si="78"/>
        <v>0</v>
      </c>
      <c r="K160" s="33">
        <f t="shared" si="79"/>
        <v>0</v>
      </c>
      <c r="L160" s="33">
        <f t="shared" si="80"/>
        <v>0</v>
      </c>
      <c r="M160" s="33">
        <f t="shared" si="81"/>
        <v>0</v>
      </c>
      <c r="N160" s="33">
        <f t="shared" si="67"/>
        <v>0</v>
      </c>
      <c r="O160" s="34">
        <f t="shared" si="68"/>
        <v>0</v>
      </c>
      <c r="P160" s="55">
        <v>155</v>
      </c>
      <c r="Q160" s="33">
        <f t="shared" si="76"/>
        <v>0</v>
      </c>
      <c r="R160" s="33">
        <f t="shared" si="82"/>
        <v>0</v>
      </c>
      <c r="S160" s="33">
        <f t="shared" si="83"/>
        <v>0</v>
      </c>
      <c r="T160" s="33">
        <f t="shared" si="69"/>
        <v>0</v>
      </c>
      <c r="U160" s="33">
        <f t="shared" si="77"/>
        <v>0</v>
      </c>
      <c r="V160" s="33">
        <f t="shared" si="70"/>
        <v>0</v>
      </c>
      <c r="W160" s="33">
        <v>0</v>
      </c>
      <c r="X160" s="33">
        <f t="shared" si="71"/>
        <v>0</v>
      </c>
      <c r="Y160" s="38">
        <f t="shared" si="72"/>
        <v>0</v>
      </c>
      <c r="AA160" s="71">
        <v>155</v>
      </c>
      <c r="AB160" s="33">
        <f t="shared" si="73"/>
        <v>0</v>
      </c>
      <c r="AC160" s="304">
        <f t="shared" si="88"/>
        <v>0</v>
      </c>
      <c r="AD160" s="100">
        <f t="shared" si="74"/>
        <v>0</v>
      </c>
      <c r="AE160" s="100">
        <f t="shared" si="75"/>
        <v>0</v>
      </c>
      <c r="AF160" s="193">
        <f t="shared" si="84"/>
        <v>0</v>
      </c>
      <c r="AG160" s="193">
        <f t="shared" si="85"/>
        <v>0</v>
      </c>
      <c r="AH160" s="193">
        <f t="shared" si="86"/>
        <v>0</v>
      </c>
      <c r="AI160" s="198">
        <f t="shared" si="87"/>
        <v>0</v>
      </c>
      <c r="AK160" s="71">
        <v>155</v>
      </c>
      <c r="AL160" s="33"/>
      <c r="AM160" s="33"/>
      <c r="AN160" s="33"/>
      <c r="AO160" s="33"/>
      <c r="AP160" s="33"/>
      <c r="AQ160" s="193"/>
      <c r="AR160" s="193"/>
      <c r="AS160" s="193"/>
      <c r="AT160" s="193"/>
      <c r="AU160" s="33"/>
      <c r="AV160" s="33"/>
      <c r="AW160" s="33"/>
      <c r="AX160" s="33"/>
      <c r="AY160" s="76"/>
    </row>
    <row r="161" spans="3:51">
      <c r="C161" s="165" t="s">
        <v>36</v>
      </c>
      <c r="D161" s="4">
        <v>0.57999999999999996</v>
      </c>
      <c r="E161" s="187" t="s">
        <v>228</v>
      </c>
      <c r="F161" s="342">
        <f>IF(OR(Tableau145[[#This Row],[Type]]="Feuillus",Tableau145[[#This Row],[Type]]="Peupliers"),1.56,1.3)</f>
        <v>1.56</v>
      </c>
      <c r="I161" s="55">
        <v>156</v>
      </c>
      <c r="J161" s="33">
        <f t="shared" si="78"/>
        <v>0</v>
      </c>
      <c r="K161" s="33">
        <f t="shared" si="79"/>
        <v>0</v>
      </c>
      <c r="L161" s="33">
        <f t="shared" si="80"/>
        <v>0</v>
      </c>
      <c r="M161" s="33">
        <f t="shared" si="81"/>
        <v>0</v>
      </c>
      <c r="N161" s="33">
        <f t="shared" si="67"/>
        <v>0</v>
      </c>
      <c r="O161" s="34">
        <f t="shared" si="68"/>
        <v>0</v>
      </c>
      <c r="P161" s="55">
        <v>156</v>
      </c>
      <c r="Q161" s="33">
        <f t="shared" si="76"/>
        <v>0</v>
      </c>
      <c r="R161" s="33">
        <f t="shared" si="82"/>
        <v>0</v>
      </c>
      <c r="S161" s="33">
        <f t="shared" si="83"/>
        <v>0</v>
      </c>
      <c r="T161" s="33">
        <f t="shared" si="69"/>
        <v>0</v>
      </c>
      <c r="U161" s="33">
        <f t="shared" si="77"/>
        <v>0</v>
      </c>
      <c r="V161" s="33">
        <f t="shared" si="70"/>
        <v>0</v>
      </c>
      <c r="W161" s="33">
        <v>0</v>
      </c>
      <c r="X161" s="33">
        <f t="shared" si="71"/>
        <v>0</v>
      </c>
      <c r="Y161" s="38">
        <f t="shared" si="72"/>
        <v>0</v>
      </c>
      <c r="AA161" s="71">
        <v>156</v>
      </c>
      <c r="AB161" s="33">
        <f t="shared" si="73"/>
        <v>0</v>
      </c>
      <c r="AC161" s="304">
        <f t="shared" si="88"/>
        <v>0</v>
      </c>
      <c r="AD161" s="100">
        <f t="shared" si="74"/>
        <v>0</v>
      </c>
      <c r="AE161" s="100">
        <f t="shared" si="75"/>
        <v>0</v>
      </c>
      <c r="AF161" s="193">
        <f t="shared" si="84"/>
        <v>0</v>
      </c>
      <c r="AG161" s="193">
        <f t="shared" si="85"/>
        <v>0</v>
      </c>
      <c r="AH161" s="193">
        <f t="shared" si="86"/>
        <v>0</v>
      </c>
      <c r="AI161" s="198">
        <f t="shared" si="87"/>
        <v>0</v>
      </c>
      <c r="AK161" s="71">
        <v>156</v>
      </c>
      <c r="AL161" s="33"/>
      <c r="AM161" s="33"/>
      <c r="AN161" s="33"/>
      <c r="AO161" s="33"/>
      <c r="AP161" s="33"/>
      <c r="AQ161" s="193"/>
      <c r="AR161" s="193"/>
      <c r="AS161" s="193"/>
      <c r="AT161" s="193"/>
      <c r="AU161" s="33"/>
      <c r="AV161" s="33"/>
      <c r="AW161" s="33"/>
      <c r="AX161" s="33"/>
      <c r="AY161" s="76"/>
    </row>
    <row r="162" spans="3:51">
      <c r="C162" s="165" t="s">
        <v>37</v>
      </c>
      <c r="D162" s="4">
        <v>0.57999999999999996</v>
      </c>
      <c r="E162" s="187" t="s">
        <v>229</v>
      </c>
      <c r="F162" s="342">
        <f>IF(OR(Tableau145[[#This Row],[Type]]="Feuillus",Tableau145[[#This Row],[Type]]="Peupliers"),1.56,1.3)</f>
        <v>1.3</v>
      </c>
      <c r="I162" s="55">
        <v>157</v>
      </c>
      <c r="J162" s="33">
        <f t="shared" si="78"/>
        <v>0</v>
      </c>
      <c r="K162" s="33">
        <f t="shared" si="79"/>
        <v>0</v>
      </c>
      <c r="L162" s="33">
        <f t="shared" si="80"/>
        <v>0</v>
      </c>
      <c r="M162" s="33">
        <f t="shared" si="81"/>
        <v>0</v>
      </c>
      <c r="N162" s="33">
        <f t="shared" si="67"/>
        <v>0</v>
      </c>
      <c r="O162" s="34">
        <f t="shared" si="68"/>
        <v>0</v>
      </c>
      <c r="P162" s="55">
        <v>157</v>
      </c>
      <c r="Q162" s="33">
        <f t="shared" si="76"/>
        <v>0</v>
      </c>
      <c r="R162" s="33">
        <f t="shared" si="82"/>
        <v>0</v>
      </c>
      <c r="S162" s="33">
        <f t="shared" si="83"/>
        <v>0</v>
      </c>
      <c r="T162" s="33">
        <f t="shared" si="69"/>
        <v>0</v>
      </c>
      <c r="U162" s="33">
        <f t="shared" si="77"/>
        <v>0</v>
      </c>
      <c r="V162" s="33">
        <f t="shared" si="70"/>
        <v>0</v>
      </c>
      <c r="W162" s="33">
        <v>0</v>
      </c>
      <c r="X162" s="33">
        <f t="shared" si="71"/>
        <v>0</v>
      </c>
      <c r="Y162" s="38">
        <f t="shared" si="72"/>
        <v>0</v>
      </c>
      <c r="AA162" s="71">
        <v>157</v>
      </c>
      <c r="AB162" s="33">
        <f t="shared" si="73"/>
        <v>0</v>
      </c>
      <c r="AC162" s="304">
        <f t="shared" si="88"/>
        <v>0</v>
      </c>
      <c r="AD162" s="100">
        <f t="shared" si="74"/>
        <v>0</v>
      </c>
      <c r="AE162" s="100">
        <f t="shared" si="75"/>
        <v>0</v>
      </c>
      <c r="AF162" s="193">
        <f t="shared" si="84"/>
        <v>0</v>
      </c>
      <c r="AG162" s="193">
        <f t="shared" si="85"/>
        <v>0</v>
      </c>
      <c r="AH162" s="193">
        <f t="shared" si="86"/>
        <v>0</v>
      </c>
      <c r="AI162" s="198">
        <f t="shared" si="87"/>
        <v>0</v>
      </c>
      <c r="AK162" s="71">
        <v>157</v>
      </c>
      <c r="AL162" s="33"/>
      <c r="AM162" s="33"/>
      <c r="AN162" s="33"/>
      <c r="AO162" s="33"/>
      <c r="AP162" s="33"/>
      <c r="AQ162" s="193"/>
      <c r="AR162" s="193"/>
      <c r="AS162" s="193"/>
      <c r="AT162" s="193"/>
      <c r="AU162" s="33"/>
      <c r="AV162" s="33"/>
      <c r="AW162" s="33"/>
      <c r="AX162" s="33"/>
      <c r="AY162" s="76"/>
    </row>
    <row r="163" spans="3:51">
      <c r="C163" s="165" t="s">
        <v>38</v>
      </c>
      <c r="D163" s="4">
        <v>0.48</v>
      </c>
      <c r="E163" s="187" t="s">
        <v>229</v>
      </c>
      <c r="F163" s="342">
        <f>IF(OR(Tableau145[[#This Row],[Type]]="Feuillus",Tableau145[[#This Row],[Type]]="Peupliers"),1.56,1.3)</f>
        <v>1.3</v>
      </c>
      <c r="I163" s="55">
        <v>158</v>
      </c>
      <c r="J163" s="33">
        <f t="shared" si="78"/>
        <v>0</v>
      </c>
      <c r="K163" s="33">
        <f t="shared" si="79"/>
        <v>0</v>
      </c>
      <c r="L163" s="33">
        <f t="shared" si="80"/>
        <v>0</v>
      </c>
      <c r="M163" s="33">
        <f t="shared" si="81"/>
        <v>0</v>
      </c>
      <c r="N163" s="33">
        <f t="shared" si="67"/>
        <v>0</v>
      </c>
      <c r="O163" s="34">
        <f t="shared" si="68"/>
        <v>0</v>
      </c>
      <c r="P163" s="55">
        <v>158</v>
      </c>
      <c r="Q163" s="33">
        <f t="shared" si="76"/>
        <v>0</v>
      </c>
      <c r="R163" s="33">
        <f t="shared" si="82"/>
        <v>0</v>
      </c>
      <c r="S163" s="33">
        <f t="shared" si="83"/>
        <v>0</v>
      </c>
      <c r="T163" s="33">
        <f t="shared" si="69"/>
        <v>0</v>
      </c>
      <c r="U163" s="33">
        <f t="shared" si="77"/>
        <v>0</v>
      </c>
      <c r="V163" s="33">
        <f t="shared" si="70"/>
        <v>0</v>
      </c>
      <c r="W163" s="33">
        <v>0</v>
      </c>
      <c r="X163" s="33">
        <f t="shared" si="71"/>
        <v>0</v>
      </c>
      <c r="Y163" s="38">
        <f t="shared" si="72"/>
        <v>0</v>
      </c>
      <c r="AA163" s="71">
        <v>158</v>
      </c>
      <c r="AB163" s="33">
        <f t="shared" si="73"/>
        <v>0</v>
      </c>
      <c r="AC163" s="304">
        <f t="shared" si="88"/>
        <v>0</v>
      </c>
      <c r="AD163" s="100">
        <f t="shared" si="74"/>
        <v>0</v>
      </c>
      <c r="AE163" s="100">
        <f t="shared" si="75"/>
        <v>0</v>
      </c>
      <c r="AF163" s="193">
        <f t="shared" si="84"/>
        <v>0</v>
      </c>
      <c r="AG163" s="193">
        <f t="shared" si="85"/>
        <v>0</v>
      </c>
      <c r="AH163" s="193">
        <f t="shared" si="86"/>
        <v>0</v>
      </c>
      <c r="AI163" s="198">
        <f t="shared" si="87"/>
        <v>0</v>
      </c>
      <c r="AK163" s="71">
        <v>158</v>
      </c>
      <c r="AL163" s="33"/>
      <c r="AM163" s="33"/>
      <c r="AN163" s="33"/>
      <c r="AO163" s="33"/>
      <c r="AP163" s="33"/>
      <c r="AQ163" s="193"/>
      <c r="AR163" s="193"/>
      <c r="AS163" s="193"/>
      <c r="AT163" s="193"/>
      <c r="AU163" s="33"/>
      <c r="AV163" s="33"/>
      <c r="AW163" s="33"/>
      <c r="AX163" s="33"/>
      <c r="AY163" s="76"/>
    </row>
    <row r="164" spans="3:51">
      <c r="C164" s="165" t="s">
        <v>39</v>
      </c>
      <c r="D164" s="4">
        <v>0.42</v>
      </c>
      <c r="E164" s="187" t="s">
        <v>229</v>
      </c>
      <c r="F164" s="342">
        <f>IF(OR(Tableau145[[#This Row],[Type]]="Feuillus",Tableau145[[#This Row],[Type]]="Peupliers"),1.56,1.3)</f>
        <v>1.3</v>
      </c>
      <c r="I164" s="55">
        <v>159</v>
      </c>
      <c r="J164" s="33">
        <f t="shared" si="78"/>
        <v>0</v>
      </c>
      <c r="K164" s="33">
        <f t="shared" si="79"/>
        <v>0</v>
      </c>
      <c r="L164" s="33">
        <f t="shared" si="80"/>
        <v>0</v>
      </c>
      <c r="M164" s="33">
        <f t="shared" si="81"/>
        <v>0</v>
      </c>
      <c r="N164" s="33">
        <f t="shared" si="67"/>
        <v>0</v>
      </c>
      <c r="O164" s="34">
        <f t="shared" si="68"/>
        <v>0</v>
      </c>
      <c r="P164" s="55">
        <v>159</v>
      </c>
      <c r="Q164" s="33">
        <f t="shared" si="76"/>
        <v>0</v>
      </c>
      <c r="R164" s="33">
        <f t="shared" si="82"/>
        <v>0</v>
      </c>
      <c r="S164" s="33">
        <f t="shared" si="83"/>
        <v>0</v>
      </c>
      <c r="T164" s="33">
        <f t="shared" si="69"/>
        <v>0</v>
      </c>
      <c r="U164" s="33">
        <f t="shared" si="77"/>
        <v>0</v>
      </c>
      <c r="V164" s="33">
        <f t="shared" si="70"/>
        <v>0</v>
      </c>
      <c r="W164" s="33">
        <v>0</v>
      </c>
      <c r="X164" s="33">
        <f t="shared" si="71"/>
        <v>0</v>
      </c>
      <c r="Y164" s="38">
        <f t="shared" si="72"/>
        <v>0</v>
      </c>
      <c r="AA164" s="71">
        <v>159</v>
      </c>
      <c r="AB164" s="33">
        <f t="shared" si="73"/>
        <v>0</v>
      </c>
      <c r="AC164" s="304">
        <f t="shared" si="88"/>
        <v>0</v>
      </c>
      <c r="AD164" s="100">
        <f t="shared" si="74"/>
        <v>0</v>
      </c>
      <c r="AE164" s="100">
        <f t="shared" si="75"/>
        <v>0</v>
      </c>
      <c r="AF164" s="193">
        <f t="shared" si="84"/>
        <v>0</v>
      </c>
      <c r="AG164" s="193">
        <f t="shared" si="85"/>
        <v>0</v>
      </c>
      <c r="AH164" s="193">
        <f t="shared" si="86"/>
        <v>0</v>
      </c>
      <c r="AI164" s="198">
        <f t="shared" si="87"/>
        <v>0</v>
      </c>
      <c r="AK164" s="71">
        <v>159</v>
      </c>
      <c r="AL164" s="33"/>
      <c r="AM164" s="33"/>
      <c r="AN164" s="33"/>
      <c r="AO164" s="33"/>
      <c r="AP164" s="33"/>
      <c r="AQ164" s="193"/>
      <c r="AR164" s="193"/>
      <c r="AS164" s="193"/>
      <c r="AT164" s="193"/>
      <c r="AU164" s="33"/>
      <c r="AV164" s="33"/>
      <c r="AW164" s="33"/>
      <c r="AX164" s="33"/>
      <c r="AY164" s="76"/>
    </row>
    <row r="165" spans="3:51">
      <c r="C165" s="165" t="s">
        <v>40</v>
      </c>
      <c r="D165" s="4">
        <v>0.5</v>
      </c>
      <c r="E165" s="187" t="s">
        <v>228</v>
      </c>
      <c r="F165" s="342">
        <f>IF(OR(Tableau145[[#This Row],[Type]]="Feuillus",Tableau145[[#This Row],[Type]]="Peupliers"),1.56,1.3)</f>
        <v>1.56</v>
      </c>
      <c r="I165" s="55">
        <v>160</v>
      </c>
      <c r="J165" s="33">
        <f t="shared" si="78"/>
        <v>0</v>
      </c>
      <c r="K165" s="33">
        <f t="shared" si="79"/>
        <v>0</v>
      </c>
      <c r="L165" s="33">
        <f t="shared" si="80"/>
        <v>0</v>
      </c>
      <c r="M165" s="33">
        <f t="shared" si="81"/>
        <v>0</v>
      </c>
      <c r="N165" s="33">
        <f t="shared" si="67"/>
        <v>0</v>
      </c>
      <c r="O165" s="34">
        <f t="shared" si="68"/>
        <v>0</v>
      </c>
      <c r="P165" s="55">
        <v>160</v>
      </c>
      <c r="Q165" s="33">
        <f t="shared" si="76"/>
        <v>0</v>
      </c>
      <c r="R165" s="33">
        <f t="shared" si="82"/>
        <v>0</v>
      </c>
      <c r="S165" s="33">
        <f t="shared" si="83"/>
        <v>0</v>
      </c>
      <c r="T165" s="33">
        <f t="shared" si="69"/>
        <v>0</v>
      </c>
      <c r="U165" s="33">
        <f t="shared" si="77"/>
        <v>0</v>
      </c>
      <c r="V165" s="33">
        <f t="shared" si="70"/>
        <v>0</v>
      </c>
      <c r="W165" s="33">
        <v>0</v>
      </c>
      <c r="X165" s="33">
        <f t="shared" si="71"/>
        <v>0</v>
      </c>
      <c r="Y165" s="38">
        <f t="shared" si="72"/>
        <v>0</v>
      </c>
      <c r="AA165" s="71">
        <v>160</v>
      </c>
      <c r="AB165" s="33">
        <f t="shared" si="73"/>
        <v>0</v>
      </c>
      <c r="AC165" s="304">
        <f t="shared" si="88"/>
        <v>0</v>
      </c>
      <c r="AD165" s="100">
        <f t="shared" si="74"/>
        <v>0</v>
      </c>
      <c r="AE165" s="100">
        <f t="shared" si="75"/>
        <v>0</v>
      </c>
      <c r="AF165" s="193">
        <f t="shared" si="84"/>
        <v>0</v>
      </c>
      <c r="AG165" s="193">
        <f t="shared" si="85"/>
        <v>0</v>
      </c>
      <c r="AH165" s="193">
        <f t="shared" si="86"/>
        <v>0</v>
      </c>
      <c r="AI165" s="198">
        <f t="shared" si="87"/>
        <v>0</v>
      </c>
      <c r="AK165" s="71">
        <v>160</v>
      </c>
      <c r="AL165" s="33"/>
      <c r="AM165" s="33"/>
      <c r="AN165" s="33"/>
      <c r="AO165" s="33"/>
      <c r="AP165" s="33"/>
      <c r="AQ165" s="193"/>
      <c r="AR165" s="193"/>
      <c r="AS165" s="193"/>
      <c r="AT165" s="193"/>
      <c r="AU165" s="33"/>
      <c r="AV165" s="33"/>
      <c r="AW165" s="33"/>
      <c r="AX165" s="33"/>
      <c r="AY165" s="76"/>
    </row>
    <row r="166" spans="3:51">
      <c r="C166" s="165" t="s">
        <v>41</v>
      </c>
      <c r="D166" s="4">
        <v>0.55000000000000004</v>
      </c>
      <c r="E166" s="187" t="s">
        <v>228</v>
      </c>
      <c r="F166" s="342">
        <f>IF(OR(Tableau145[[#This Row],[Type]]="Feuillus",Tableau145[[#This Row],[Type]]="Peupliers"),1.56,1.3)</f>
        <v>1.56</v>
      </c>
      <c r="I166" s="55">
        <v>161</v>
      </c>
      <c r="J166" s="33">
        <f t="shared" si="78"/>
        <v>0</v>
      </c>
      <c r="K166" s="33">
        <f t="shared" si="79"/>
        <v>0</v>
      </c>
      <c r="L166" s="33">
        <f t="shared" si="80"/>
        <v>0</v>
      </c>
      <c r="M166" s="33">
        <f t="shared" si="81"/>
        <v>0</v>
      </c>
      <c r="N166" s="33">
        <f t="shared" si="67"/>
        <v>0</v>
      </c>
      <c r="O166" s="34">
        <f t="shared" si="68"/>
        <v>0</v>
      </c>
      <c r="P166" s="55">
        <v>161</v>
      </c>
      <c r="Q166" s="33">
        <f t="shared" si="76"/>
        <v>0</v>
      </c>
      <c r="R166" s="33">
        <f t="shared" si="82"/>
        <v>0</v>
      </c>
      <c r="S166" s="33">
        <f t="shared" si="83"/>
        <v>0</v>
      </c>
      <c r="T166" s="33">
        <f t="shared" si="69"/>
        <v>0</v>
      </c>
      <c r="U166" s="33">
        <f t="shared" si="77"/>
        <v>0</v>
      </c>
      <c r="V166" s="33">
        <f t="shared" si="70"/>
        <v>0</v>
      </c>
      <c r="W166" s="33">
        <v>0</v>
      </c>
      <c r="X166" s="33">
        <f t="shared" si="71"/>
        <v>0</v>
      </c>
      <c r="Y166" s="38">
        <f t="shared" si="72"/>
        <v>0</v>
      </c>
      <c r="AA166" s="71">
        <v>161</v>
      </c>
      <c r="AB166" s="33">
        <f t="shared" si="73"/>
        <v>0</v>
      </c>
      <c r="AC166" s="304">
        <f t="shared" si="88"/>
        <v>0</v>
      </c>
      <c r="AD166" s="100">
        <f t="shared" si="74"/>
        <v>0</v>
      </c>
      <c r="AE166" s="100">
        <f t="shared" si="75"/>
        <v>0</v>
      </c>
      <c r="AF166" s="193">
        <f t="shared" si="84"/>
        <v>0</v>
      </c>
      <c r="AG166" s="193">
        <f t="shared" si="85"/>
        <v>0</v>
      </c>
      <c r="AH166" s="193">
        <f t="shared" si="86"/>
        <v>0</v>
      </c>
      <c r="AI166" s="198">
        <f t="shared" si="87"/>
        <v>0</v>
      </c>
      <c r="AK166" s="71">
        <v>161</v>
      </c>
      <c r="AL166" s="33"/>
      <c r="AM166" s="33"/>
      <c r="AN166" s="33"/>
      <c r="AO166" s="33"/>
      <c r="AP166" s="33"/>
      <c r="AQ166" s="193"/>
      <c r="AR166" s="193"/>
      <c r="AS166" s="193"/>
      <c r="AT166" s="193"/>
      <c r="AU166" s="33"/>
      <c r="AV166" s="33"/>
      <c r="AW166" s="33"/>
      <c r="AX166" s="33"/>
      <c r="AY166" s="76"/>
    </row>
    <row r="167" spans="3:51">
      <c r="C167" s="165" t="s">
        <v>42</v>
      </c>
      <c r="D167" s="4">
        <v>0.53</v>
      </c>
      <c r="E167" s="187" t="s">
        <v>228</v>
      </c>
      <c r="F167" s="342">
        <f>IF(OR(Tableau145[[#This Row],[Type]]="Feuillus",Tableau145[[#This Row],[Type]]="Peupliers"),1.56,1.3)</f>
        <v>1.56</v>
      </c>
      <c r="I167" s="55">
        <v>162</v>
      </c>
      <c r="J167" s="33">
        <f t="shared" si="78"/>
        <v>0</v>
      </c>
      <c r="K167" s="33">
        <f t="shared" si="79"/>
        <v>0</v>
      </c>
      <c r="L167" s="33">
        <f t="shared" si="80"/>
        <v>0</v>
      </c>
      <c r="M167" s="33">
        <f t="shared" si="81"/>
        <v>0</v>
      </c>
      <c r="N167" s="33">
        <f t="shared" si="67"/>
        <v>0</v>
      </c>
      <c r="O167" s="34">
        <f t="shared" si="68"/>
        <v>0</v>
      </c>
      <c r="P167" s="55">
        <v>162</v>
      </c>
      <c r="Q167" s="33">
        <f t="shared" si="76"/>
        <v>0</v>
      </c>
      <c r="R167" s="33">
        <f t="shared" si="82"/>
        <v>0</v>
      </c>
      <c r="S167" s="33">
        <f t="shared" si="83"/>
        <v>0</v>
      </c>
      <c r="T167" s="33">
        <f t="shared" si="69"/>
        <v>0</v>
      </c>
      <c r="U167" s="33">
        <f t="shared" si="77"/>
        <v>0</v>
      </c>
      <c r="V167" s="33">
        <f t="shared" si="70"/>
        <v>0</v>
      </c>
      <c r="W167" s="33">
        <v>0</v>
      </c>
      <c r="X167" s="33">
        <f t="shared" si="71"/>
        <v>0</v>
      </c>
      <c r="Y167" s="38">
        <f t="shared" si="72"/>
        <v>0</v>
      </c>
      <c r="AA167" s="71">
        <v>162</v>
      </c>
      <c r="AB167" s="33">
        <f t="shared" si="73"/>
        <v>0</v>
      </c>
      <c r="AC167" s="304">
        <f t="shared" si="88"/>
        <v>0</v>
      </c>
      <c r="AD167" s="100">
        <f t="shared" si="74"/>
        <v>0</v>
      </c>
      <c r="AE167" s="100">
        <f t="shared" si="75"/>
        <v>0</v>
      </c>
      <c r="AF167" s="193">
        <f t="shared" si="84"/>
        <v>0</v>
      </c>
      <c r="AG167" s="193">
        <f t="shared" si="85"/>
        <v>0</v>
      </c>
      <c r="AH167" s="193">
        <f t="shared" si="86"/>
        <v>0</v>
      </c>
      <c r="AI167" s="198">
        <f t="shared" si="87"/>
        <v>0</v>
      </c>
      <c r="AK167" s="71">
        <v>162</v>
      </c>
      <c r="AL167" s="33"/>
      <c r="AM167" s="33"/>
      <c r="AN167" s="33"/>
      <c r="AO167" s="33"/>
      <c r="AP167" s="33"/>
      <c r="AQ167" s="193"/>
      <c r="AR167" s="193"/>
      <c r="AS167" s="193"/>
      <c r="AT167" s="193"/>
      <c r="AU167" s="33"/>
      <c r="AV167" s="33"/>
      <c r="AW167" s="33"/>
      <c r="AX167" s="33"/>
      <c r="AY167" s="76"/>
    </row>
    <row r="168" spans="3:51">
      <c r="C168" s="165" t="s">
        <v>43</v>
      </c>
      <c r="D168" s="4">
        <v>0.52</v>
      </c>
      <c r="E168" s="187" t="s">
        <v>228</v>
      </c>
      <c r="F168" s="342">
        <f>IF(OR(Tableau145[[#This Row],[Type]]="Feuillus",Tableau145[[#This Row],[Type]]="Peupliers"),1.56,1.3)</f>
        <v>1.56</v>
      </c>
      <c r="I168" s="55">
        <v>163</v>
      </c>
      <c r="J168" s="33">
        <f t="shared" si="78"/>
        <v>0</v>
      </c>
      <c r="K168" s="33">
        <f t="shared" si="79"/>
        <v>0</v>
      </c>
      <c r="L168" s="33">
        <f t="shared" si="80"/>
        <v>0</v>
      </c>
      <c r="M168" s="33">
        <f t="shared" si="81"/>
        <v>0</v>
      </c>
      <c r="N168" s="33">
        <f t="shared" si="67"/>
        <v>0</v>
      </c>
      <c r="O168" s="34">
        <f t="shared" si="68"/>
        <v>0</v>
      </c>
      <c r="P168" s="55">
        <v>163</v>
      </c>
      <c r="Q168" s="33">
        <f t="shared" si="76"/>
        <v>0</v>
      </c>
      <c r="R168" s="33">
        <f t="shared" si="82"/>
        <v>0</v>
      </c>
      <c r="S168" s="33">
        <f t="shared" si="83"/>
        <v>0</v>
      </c>
      <c r="T168" s="33">
        <f t="shared" si="69"/>
        <v>0</v>
      </c>
      <c r="U168" s="33">
        <f t="shared" si="77"/>
        <v>0</v>
      </c>
      <c r="V168" s="33">
        <f t="shared" si="70"/>
        <v>0</v>
      </c>
      <c r="W168" s="33">
        <v>0</v>
      </c>
      <c r="X168" s="33">
        <f t="shared" si="71"/>
        <v>0</v>
      </c>
      <c r="Y168" s="38">
        <f t="shared" si="72"/>
        <v>0</v>
      </c>
      <c r="AA168" s="71">
        <v>163</v>
      </c>
      <c r="AB168" s="33">
        <f t="shared" si="73"/>
        <v>0</v>
      </c>
      <c r="AC168" s="304">
        <f t="shared" si="88"/>
        <v>0</v>
      </c>
      <c r="AD168" s="100">
        <f t="shared" si="74"/>
        <v>0</v>
      </c>
      <c r="AE168" s="100">
        <f t="shared" si="75"/>
        <v>0</v>
      </c>
      <c r="AF168" s="193">
        <f t="shared" si="84"/>
        <v>0</v>
      </c>
      <c r="AG168" s="193">
        <f t="shared" si="85"/>
        <v>0</v>
      </c>
      <c r="AH168" s="193">
        <f t="shared" si="86"/>
        <v>0</v>
      </c>
      <c r="AI168" s="198">
        <f t="shared" si="87"/>
        <v>0</v>
      </c>
      <c r="AK168" s="71">
        <v>163</v>
      </c>
      <c r="AL168" s="33"/>
      <c r="AM168" s="33"/>
      <c r="AN168" s="33"/>
      <c r="AO168" s="33"/>
      <c r="AP168" s="33"/>
      <c r="AQ168" s="193"/>
      <c r="AR168" s="193"/>
      <c r="AS168" s="193"/>
      <c r="AT168" s="193"/>
      <c r="AU168" s="33"/>
      <c r="AV168" s="33"/>
      <c r="AW168" s="33"/>
      <c r="AX168" s="33"/>
      <c r="AY168" s="76"/>
    </row>
    <row r="169" spans="3:51">
      <c r="C169" s="165" t="s">
        <v>44</v>
      </c>
      <c r="D169" s="4">
        <v>0.52</v>
      </c>
      <c r="E169" s="187" t="s">
        <v>228</v>
      </c>
      <c r="F169" s="342">
        <f>IF(OR(Tableau145[[#This Row],[Type]]="Feuillus",Tableau145[[#This Row],[Type]]="Peupliers"),1.56,1.3)</f>
        <v>1.56</v>
      </c>
      <c r="I169" s="55">
        <v>164</v>
      </c>
      <c r="J169" s="33">
        <f t="shared" si="78"/>
        <v>0</v>
      </c>
      <c r="K169" s="33">
        <f t="shared" si="79"/>
        <v>0</v>
      </c>
      <c r="L169" s="33">
        <f t="shared" si="80"/>
        <v>0</v>
      </c>
      <c r="M169" s="33">
        <f t="shared" si="81"/>
        <v>0</v>
      </c>
      <c r="N169" s="33">
        <f t="shared" si="67"/>
        <v>0</v>
      </c>
      <c r="O169" s="34">
        <f t="shared" si="68"/>
        <v>0</v>
      </c>
      <c r="P169" s="55">
        <v>164</v>
      </c>
      <c r="Q169" s="33">
        <f t="shared" si="76"/>
        <v>0</v>
      </c>
      <c r="R169" s="33">
        <f t="shared" si="82"/>
        <v>0</v>
      </c>
      <c r="S169" s="33">
        <f t="shared" si="83"/>
        <v>0</v>
      </c>
      <c r="T169" s="33">
        <f t="shared" si="69"/>
        <v>0</v>
      </c>
      <c r="U169" s="33">
        <f t="shared" si="77"/>
        <v>0</v>
      </c>
      <c r="V169" s="33">
        <f t="shared" si="70"/>
        <v>0</v>
      </c>
      <c r="W169" s="33">
        <v>0</v>
      </c>
      <c r="X169" s="33">
        <f t="shared" si="71"/>
        <v>0</v>
      </c>
      <c r="Y169" s="38">
        <f t="shared" si="72"/>
        <v>0</v>
      </c>
      <c r="AA169" s="71">
        <v>164</v>
      </c>
      <c r="AB169" s="33">
        <f t="shared" si="73"/>
        <v>0</v>
      </c>
      <c r="AC169" s="304">
        <f t="shared" si="88"/>
        <v>0</v>
      </c>
      <c r="AD169" s="100">
        <f t="shared" si="74"/>
        <v>0</v>
      </c>
      <c r="AE169" s="100">
        <f t="shared" si="75"/>
        <v>0</v>
      </c>
      <c r="AF169" s="193">
        <f t="shared" si="84"/>
        <v>0</v>
      </c>
      <c r="AG169" s="193">
        <f t="shared" si="85"/>
        <v>0</v>
      </c>
      <c r="AH169" s="193">
        <f t="shared" si="86"/>
        <v>0</v>
      </c>
      <c r="AI169" s="198">
        <f t="shared" si="87"/>
        <v>0</v>
      </c>
      <c r="AK169" s="71">
        <v>164</v>
      </c>
      <c r="AL169" s="33"/>
      <c r="AM169" s="33"/>
      <c r="AN169" s="33"/>
      <c r="AO169" s="33"/>
      <c r="AP169" s="33"/>
      <c r="AQ169" s="193"/>
      <c r="AR169" s="193"/>
      <c r="AS169" s="193"/>
      <c r="AT169" s="193"/>
      <c r="AU169" s="33"/>
      <c r="AV169" s="33"/>
      <c r="AW169" s="33"/>
      <c r="AX169" s="33"/>
      <c r="AY169" s="76"/>
    </row>
    <row r="170" spans="3:51">
      <c r="C170" s="165" t="s">
        <v>45</v>
      </c>
      <c r="D170" s="4">
        <v>0.75</v>
      </c>
      <c r="E170" s="187" t="s">
        <v>228</v>
      </c>
      <c r="F170" s="342">
        <f>IF(OR(Tableau145[[#This Row],[Type]]="Feuillus",Tableau145[[#This Row],[Type]]="Peupliers"),1.56,1.3)</f>
        <v>1.56</v>
      </c>
      <c r="I170" s="55">
        <v>165</v>
      </c>
      <c r="J170" s="33">
        <f t="shared" si="78"/>
        <v>0</v>
      </c>
      <c r="K170" s="33">
        <f t="shared" si="79"/>
        <v>0</v>
      </c>
      <c r="L170" s="33">
        <f t="shared" si="80"/>
        <v>0</v>
      </c>
      <c r="M170" s="33">
        <f t="shared" si="81"/>
        <v>0</v>
      </c>
      <c r="N170" s="33">
        <f t="shared" si="67"/>
        <v>0</v>
      </c>
      <c r="O170" s="34">
        <f t="shared" si="68"/>
        <v>0</v>
      </c>
      <c r="P170" s="55">
        <v>165</v>
      </c>
      <c r="Q170" s="33">
        <f t="shared" si="76"/>
        <v>0</v>
      </c>
      <c r="R170" s="33">
        <f t="shared" si="82"/>
        <v>0</v>
      </c>
      <c r="S170" s="33">
        <f t="shared" si="83"/>
        <v>0</v>
      </c>
      <c r="T170" s="33">
        <f t="shared" si="69"/>
        <v>0</v>
      </c>
      <c r="U170" s="33">
        <f t="shared" si="77"/>
        <v>0</v>
      </c>
      <c r="V170" s="33">
        <f t="shared" si="70"/>
        <v>0</v>
      </c>
      <c r="W170" s="33">
        <v>0</v>
      </c>
      <c r="X170" s="33">
        <f t="shared" si="71"/>
        <v>0</v>
      </c>
      <c r="Y170" s="38">
        <f t="shared" si="72"/>
        <v>0</v>
      </c>
      <c r="AA170" s="71">
        <v>165</v>
      </c>
      <c r="AB170" s="33">
        <f t="shared" si="73"/>
        <v>0</v>
      </c>
      <c r="AC170" s="304">
        <f t="shared" si="88"/>
        <v>0</v>
      </c>
      <c r="AD170" s="100">
        <f t="shared" si="74"/>
        <v>0</v>
      </c>
      <c r="AE170" s="100">
        <f t="shared" si="75"/>
        <v>0</v>
      </c>
      <c r="AF170" s="193">
        <f t="shared" si="84"/>
        <v>0</v>
      </c>
      <c r="AG170" s="193">
        <f t="shared" si="85"/>
        <v>0</v>
      </c>
      <c r="AH170" s="193">
        <f t="shared" si="86"/>
        <v>0</v>
      </c>
      <c r="AI170" s="198">
        <f t="shared" si="87"/>
        <v>0</v>
      </c>
      <c r="AK170" s="71">
        <v>165</v>
      </c>
      <c r="AL170" s="33"/>
      <c r="AM170" s="33"/>
      <c r="AN170" s="33"/>
      <c r="AO170" s="33"/>
      <c r="AP170" s="33"/>
      <c r="AQ170" s="193"/>
      <c r="AR170" s="193"/>
      <c r="AS170" s="193"/>
      <c r="AT170" s="193"/>
      <c r="AU170" s="33"/>
      <c r="AV170" s="33"/>
      <c r="AW170" s="33"/>
      <c r="AX170" s="33"/>
      <c r="AY170" s="76"/>
    </row>
    <row r="171" spans="3:51">
      <c r="C171" s="165" t="s">
        <v>46</v>
      </c>
      <c r="D171" s="4">
        <v>0.52</v>
      </c>
      <c r="E171" s="187" t="s">
        <v>228</v>
      </c>
      <c r="F171" s="342">
        <f>IF(OR(Tableau145[[#This Row],[Type]]="Feuillus",Tableau145[[#This Row],[Type]]="Peupliers"),1.56,1.3)</f>
        <v>1.56</v>
      </c>
      <c r="I171" s="55">
        <v>166</v>
      </c>
      <c r="J171" s="33">
        <f t="shared" si="78"/>
        <v>0</v>
      </c>
      <c r="K171" s="33">
        <f t="shared" si="79"/>
        <v>0</v>
      </c>
      <c r="L171" s="33">
        <f t="shared" si="80"/>
        <v>0</v>
      </c>
      <c r="M171" s="33">
        <f t="shared" si="81"/>
        <v>0</v>
      </c>
      <c r="N171" s="33">
        <f t="shared" si="67"/>
        <v>0</v>
      </c>
      <c r="O171" s="34">
        <f t="shared" si="68"/>
        <v>0</v>
      </c>
      <c r="P171" s="55">
        <v>166</v>
      </c>
      <c r="Q171" s="33">
        <f t="shared" si="76"/>
        <v>0</v>
      </c>
      <c r="R171" s="33">
        <f t="shared" si="82"/>
        <v>0</v>
      </c>
      <c r="S171" s="33">
        <f t="shared" si="83"/>
        <v>0</v>
      </c>
      <c r="T171" s="33">
        <f t="shared" si="69"/>
        <v>0</v>
      </c>
      <c r="U171" s="33">
        <f t="shared" si="77"/>
        <v>0</v>
      </c>
      <c r="V171" s="33">
        <f t="shared" si="70"/>
        <v>0</v>
      </c>
      <c r="W171" s="33">
        <v>0</v>
      </c>
      <c r="X171" s="33">
        <f t="shared" si="71"/>
        <v>0</v>
      </c>
      <c r="Y171" s="38">
        <f t="shared" si="72"/>
        <v>0</v>
      </c>
      <c r="AA171" s="71">
        <v>166</v>
      </c>
      <c r="AB171" s="33">
        <f t="shared" si="73"/>
        <v>0</v>
      </c>
      <c r="AC171" s="304">
        <f t="shared" si="88"/>
        <v>0</v>
      </c>
      <c r="AD171" s="100">
        <f t="shared" si="74"/>
        <v>0</v>
      </c>
      <c r="AE171" s="100">
        <f t="shared" si="75"/>
        <v>0</v>
      </c>
      <c r="AF171" s="193">
        <f t="shared" si="84"/>
        <v>0</v>
      </c>
      <c r="AG171" s="193">
        <f t="shared" si="85"/>
        <v>0</v>
      </c>
      <c r="AH171" s="193">
        <f t="shared" si="86"/>
        <v>0</v>
      </c>
      <c r="AI171" s="198">
        <f t="shared" si="87"/>
        <v>0</v>
      </c>
      <c r="AK171" s="71">
        <v>166</v>
      </c>
      <c r="AL171" s="33"/>
      <c r="AM171" s="33"/>
      <c r="AN171" s="33"/>
      <c r="AO171" s="33"/>
      <c r="AP171" s="33"/>
      <c r="AQ171" s="193"/>
      <c r="AR171" s="193"/>
      <c r="AS171" s="193"/>
      <c r="AT171" s="193"/>
      <c r="AU171" s="33"/>
      <c r="AV171" s="33"/>
      <c r="AW171" s="33"/>
      <c r="AX171" s="33"/>
      <c r="AY171" s="76"/>
    </row>
    <row r="172" spans="3:51">
      <c r="C172" s="165" t="s">
        <v>47</v>
      </c>
      <c r="D172" s="4">
        <v>0.35</v>
      </c>
      <c r="E172" s="187" t="s">
        <v>230</v>
      </c>
      <c r="F172" s="342">
        <f>IF(OR(Tableau145[[#This Row],[Type]]="Feuillus",Tableau145[[#This Row],[Type]]="Peupliers"),1.56,1.3)</f>
        <v>1.56</v>
      </c>
      <c r="I172" s="55">
        <v>167</v>
      </c>
      <c r="J172" s="33">
        <f t="shared" si="78"/>
        <v>0</v>
      </c>
      <c r="K172" s="33">
        <f t="shared" si="79"/>
        <v>0</v>
      </c>
      <c r="L172" s="33">
        <f t="shared" si="80"/>
        <v>0</v>
      </c>
      <c r="M172" s="33">
        <f t="shared" si="81"/>
        <v>0</v>
      </c>
      <c r="N172" s="33">
        <f t="shared" si="67"/>
        <v>0</v>
      </c>
      <c r="O172" s="34">
        <f t="shared" si="68"/>
        <v>0</v>
      </c>
      <c r="P172" s="55">
        <v>167</v>
      </c>
      <c r="Q172" s="33">
        <f t="shared" si="76"/>
        <v>0</v>
      </c>
      <c r="R172" s="33">
        <f t="shared" si="82"/>
        <v>0</v>
      </c>
      <c r="S172" s="33">
        <f t="shared" si="83"/>
        <v>0</v>
      </c>
      <c r="T172" s="33">
        <f t="shared" si="69"/>
        <v>0</v>
      </c>
      <c r="U172" s="33">
        <f t="shared" si="77"/>
        <v>0</v>
      </c>
      <c r="V172" s="33">
        <f t="shared" si="70"/>
        <v>0</v>
      </c>
      <c r="W172" s="33">
        <v>0</v>
      </c>
      <c r="X172" s="33">
        <f t="shared" si="71"/>
        <v>0</v>
      </c>
      <c r="Y172" s="38">
        <f t="shared" si="72"/>
        <v>0</v>
      </c>
      <c r="AA172" s="71">
        <v>167</v>
      </c>
      <c r="AB172" s="33">
        <f t="shared" si="73"/>
        <v>0</v>
      </c>
      <c r="AC172" s="304">
        <f t="shared" si="88"/>
        <v>0</v>
      </c>
      <c r="AD172" s="100">
        <f t="shared" si="74"/>
        <v>0</v>
      </c>
      <c r="AE172" s="100">
        <f t="shared" si="75"/>
        <v>0</v>
      </c>
      <c r="AF172" s="193">
        <f t="shared" si="84"/>
        <v>0</v>
      </c>
      <c r="AG172" s="193">
        <f t="shared" si="85"/>
        <v>0</v>
      </c>
      <c r="AH172" s="193">
        <f t="shared" si="86"/>
        <v>0</v>
      </c>
      <c r="AI172" s="198">
        <f t="shared" si="87"/>
        <v>0</v>
      </c>
      <c r="AK172" s="71">
        <v>167</v>
      </c>
      <c r="AL172" s="33"/>
      <c r="AM172" s="33"/>
      <c r="AN172" s="33"/>
      <c r="AO172" s="33"/>
      <c r="AP172" s="33"/>
      <c r="AQ172" s="193"/>
      <c r="AR172" s="193"/>
      <c r="AS172" s="193"/>
      <c r="AT172" s="193"/>
      <c r="AU172" s="33"/>
      <c r="AV172" s="33"/>
      <c r="AW172" s="33"/>
      <c r="AX172" s="33"/>
      <c r="AY172" s="76"/>
    </row>
    <row r="173" spans="3:51">
      <c r="C173" s="165" t="s">
        <v>48</v>
      </c>
      <c r="D173" s="4">
        <v>0.37</v>
      </c>
      <c r="E173" s="187" t="s">
        <v>228</v>
      </c>
      <c r="F173" s="342">
        <f>IF(OR(Tableau145[[#This Row],[Type]]="Feuillus",Tableau145[[#This Row],[Type]]="Peupliers"),1.56,1.3)</f>
        <v>1.56</v>
      </c>
      <c r="I173" s="55">
        <v>168</v>
      </c>
      <c r="J173" s="33">
        <f t="shared" si="78"/>
        <v>0</v>
      </c>
      <c r="K173" s="33">
        <f t="shared" si="79"/>
        <v>0</v>
      </c>
      <c r="L173" s="33">
        <f t="shared" si="80"/>
        <v>0</v>
      </c>
      <c r="M173" s="33">
        <f t="shared" si="81"/>
        <v>0</v>
      </c>
      <c r="N173" s="33">
        <f t="shared" si="67"/>
        <v>0</v>
      </c>
      <c r="O173" s="34">
        <f t="shared" si="68"/>
        <v>0</v>
      </c>
      <c r="P173" s="55">
        <v>168</v>
      </c>
      <c r="Q173" s="33">
        <f t="shared" si="76"/>
        <v>0</v>
      </c>
      <c r="R173" s="33">
        <f t="shared" si="82"/>
        <v>0</v>
      </c>
      <c r="S173" s="33">
        <f t="shared" si="83"/>
        <v>0</v>
      </c>
      <c r="T173" s="33">
        <f t="shared" si="69"/>
        <v>0</v>
      </c>
      <c r="U173" s="33">
        <f t="shared" si="77"/>
        <v>0</v>
      </c>
      <c r="V173" s="33">
        <f t="shared" si="70"/>
        <v>0</v>
      </c>
      <c r="W173" s="33">
        <v>0</v>
      </c>
      <c r="X173" s="33">
        <f t="shared" si="71"/>
        <v>0</v>
      </c>
      <c r="Y173" s="38">
        <f t="shared" si="72"/>
        <v>0</v>
      </c>
      <c r="AA173" s="71">
        <v>168</v>
      </c>
      <c r="AB173" s="33">
        <f t="shared" si="73"/>
        <v>0</v>
      </c>
      <c r="AC173" s="304">
        <f t="shared" si="88"/>
        <v>0</v>
      </c>
      <c r="AD173" s="100">
        <f t="shared" si="74"/>
        <v>0</v>
      </c>
      <c r="AE173" s="100">
        <f t="shared" si="75"/>
        <v>0</v>
      </c>
      <c r="AF173" s="193">
        <f t="shared" si="84"/>
        <v>0</v>
      </c>
      <c r="AG173" s="193">
        <f t="shared" si="85"/>
        <v>0</v>
      </c>
      <c r="AH173" s="193">
        <f t="shared" si="86"/>
        <v>0</v>
      </c>
      <c r="AI173" s="198">
        <f t="shared" si="87"/>
        <v>0</v>
      </c>
      <c r="AK173" s="71">
        <v>168</v>
      </c>
      <c r="AL173" s="33"/>
      <c r="AM173" s="33"/>
      <c r="AN173" s="33"/>
      <c r="AO173" s="33"/>
      <c r="AP173" s="33"/>
      <c r="AQ173" s="193"/>
      <c r="AR173" s="193"/>
      <c r="AS173" s="193"/>
      <c r="AT173" s="193"/>
      <c r="AU173" s="33"/>
      <c r="AV173" s="33"/>
      <c r="AW173" s="33"/>
      <c r="AX173" s="33"/>
      <c r="AY173" s="76"/>
    </row>
    <row r="174" spans="3:51">
      <c r="C174" s="165" t="s">
        <v>49</v>
      </c>
      <c r="D174" s="4">
        <v>0.45</v>
      </c>
      <c r="E174" s="187" t="s">
        <v>229</v>
      </c>
      <c r="F174" s="342">
        <f>IF(OR(Tableau145[[#This Row],[Type]]="Feuillus",Tableau145[[#This Row],[Type]]="Peupliers"),1.56,1.3)</f>
        <v>1.3</v>
      </c>
      <c r="I174" s="55">
        <v>169</v>
      </c>
      <c r="J174" s="33">
        <f t="shared" si="78"/>
        <v>0</v>
      </c>
      <c r="K174" s="33">
        <f t="shared" si="79"/>
        <v>0</v>
      </c>
      <c r="L174" s="33">
        <f t="shared" si="80"/>
        <v>0</v>
      </c>
      <c r="M174" s="33">
        <f t="shared" si="81"/>
        <v>0</v>
      </c>
      <c r="N174" s="33">
        <f t="shared" si="67"/>
        <v>0</v>
      </c>
      <c r="O174" s="34">
        <f t="shared" si="68"/>
        <v>0</v>
      </c>
      <c r="P174" s="55">
        <v>169</v>
      </c>
      <c r="Q174" s="33">
        <f t="shared" si="76"/>
        <v>0</v>
      </c>
      <c r="R174" s="33">
        <f t="shared" si="82"/>
        <v>0</v>
      </c>
      <c r="S174" s="33">
        <f t="shared" si="83"/>
        <v>0</v>
      </c>
      <c r="T174" s="33">
        <f t="shared" si="69"/>
        <v>0</v>
      </c>
      <c r="U174" s="33">
        <f t="shared" si="77"/>
        <v>0</v>
      </c>
      <c r="V174" s="33">
        <f t="shared" si="70"/>
        <v>0</v>
      </c>
      <c r="W174" s="33">
        <v>0</v>
      </c>
      <c r="X174" s="33">
        <f t="shared" si="71"/>
        <v>0</v>
      </c>
      <c r="Y174" s="38">
        <f t="shared" si="72"/>
        <v>0</v>
      </c>
      <c r="AA174" s="71">
        <v>169</v>
      </c>
      <c r="AB174" s="33">
        <f t="shared" si="73"/>
        <v>0</v>
      </c>
      <c r="AC174" s="304">
        <f t="shared" si="88"/>
        <v>0</v>
      </c>
      <c r="AD174" s="100">
        <f t="shared" si="74"/>
        <v>0</v>
      </c>
      <c r="AE174" s="100">
        <f t="shared" si="75"/>
        <v>0</v>
      </c>
      <c r="AF174" s="193">
        <f t="shared" si="84"/>
        <v>0</v>
      </c>
      <c r="AG174" s="193">
        <f t="shared" si="85"/>
        <v>0</v>
      </c>
      <c r="AH174" s="193">
        <f t="shared" si="86"/>
        <v>0</v>
      </c>
      <c r="AI174" s="198">
        <f t="shared" si="87"/>
        <v>0</v>
      </c>
      <c r="AK174" s="71">
        <v>169</v>
      </c>
      <c r="AL174" s="33"/>
      <c r="AM174" s="33"/>
      <c r="AN174" s="33"/>
      <c r="AO174" s="33"/>
      <c r="AP174" s="33"/>
      <c r="AQ174" s="193"/>
      <c r="AR174" s="193"/>
      <c r="AS174" s="193"/>
      <c r="AT174" s="193"/>
      <c r="AU174" s="33"/>
      <c r="AV174" s="33"/>
      <c r="AW174" s="33"/>
      <c r="AX174" s="33"/>
      <c r="AY174" s="76"/>
    </row>
    <row r="175" spans="3:51">
      <c r="C175" s="165" t="s">
        <v>50</v>
      </c>
      <c r="D175" s="4">
        <v>0.39</v>
      </c>
      <c r="E175" s="187" t="s">
        <v>229</v>
      </c>
      <c r="F175" s="342">
        <f>IF(OR(Tableau145[[#This Row],[Type]]="Feuillus",Tableau145[[#This Row],[Type]]="Peupliers"),1.56,1.3)</f>
        <v>1.3</v>
      </c>
      <c r="I175" s="55">
        <v>170</v>
      </c>
      <c r="J175" s="33">
        <f t="shared" si="78"/>
        <v>0</v>
      </c>
      <c r="K175" s="33">
        <f t="shared" si="79"/>
        <v>0</v>
      </c>
      <c r="L175" s="33">
        <f t="shared" si="80"/>
        <v>0</v>
      </c>
      <c r="M175" s="33">
        <f t="shared" si="81"/>
        <v>0</v>
      </c>
      <c r="N175" s="33">
        <f t="shared" si="67"/>
        <v>0</v>
      </c>
      <c r="O175" s="34">
        <f t="shared" si="68"/>
        <v>0</v>
      </c>
      <c r="P175" s="55">
        <v>170</v>
      </c>
      <c r="Q175" s="33">
        <f t="shared" si="76"/>
        <v>0</v>
      </c>
      <c r="R175" s="33">
        <f t="shared" si="82"/>
        <v>0</v>
      </c>
      <c r="S175" s="33">
        <f t="shared" si="83"/>
        <v>0</v>
      </c>
      <c r="T175" s="33">
        <f t="shared" si="69"/>
        <v>0</v>
      </c>
      <c r="U175" s="33">
        <f t="shared" si="77"/>
        <v>0</v>
      </c>
      <c r="V175" s="33">
        <f t="shared" si="70"/>
        <v>0</v>
      </c>
      <c r="W175" s="33">
        <v>0</v>
      </c>
      <c r="X175" s="33">
        <f t="shared" si="71"/>
        <v>0</v>
      </c>
      <c r="Y175" s="38">
        <f t="shared" si="72"/>
        <v>0</v>
      </c>
      <c r="AA175" s="71">
        <v>170</v>
      </c>
      <c r="AB175" s="33">
        <f t="shared" si="73"/>
        <v>0</v>
      </c>
      <c r="AC175" s="304">
        <f t="shared" si="88"/>
        <v>0</v>
      </c>
      <c r="AD175" s="100">
        <f t="shared" si="74"/>
        <v>0</v>
      </c>
      <c r="AE175" s="100">
        <f t="shared" si="75"/>
        <v>0</v>
      </c>
      <c r="AF175" s="193">
        <f t="shared" si="84"/>
        <v>0</v>
      </c>
      <c r="AG175" s="193">
        <f t="shared" si="85"/>
        <v>0</v>
      </c>
      <c r="AH175" s="193">
        <f t="shared" si="86"/>
        <v>0</v>
      </c>
      <c r="AI175" s="198">
        <f t="shared" si="87"/>
        <v>0</v>
      </c>
      <c r="AK175" s="71">
        <v>170</v>
      </c>
      <c r="AL175" s="33"/>
      <c r="AM175" s="33"/>
      <c r="AN175" s="33"/>
      <c r="AO175" s="33"/>
      <c r="AP175" s="33"/>
      <c r="AQ175" s="193"/>
      <c r="AR175" s="193"/>
      <c r="AS175" s="193"/>
      <c r="AT175" s="193"/>
      <c r="AU175" s="33"/>
      <c r="AV175" s="33"/>
      <c r="AW175" s="33"/>
      <c r="AX175" s="33"/>
      <c r="AY175" s="76"/>
    </row>
    <row r="176" spans="3:51">
      <c r="C176" s="165" t="s">
        <v>51</v>
      </c>
      <c r="D176" s="4">
        <v>0.44</v>
      </c>
      <c r="E176" s="187" t="s">
        <v>229</v>
      </c>
      <c r="F176" s="342">
        <f>IF(OR(Tableau145[[#This Row],[Type]]="Feuillus",Tableau145[[#This Row],[Type]]="Peupliers"),1.56,1.3)</f>
        <v>1.3</v>
      </c>
      <c r="I176" s="55">
        <v>171</v>
      </c>
      <c r="J176" s="33">
        <f t="shared" si="78"/>
        <v>0</v>
      </c>
      <c r="K176" s="33">
        <f t="shared" si="79"/>
        <v>0</v>
      </c>
      <c r="L176" s="33">
        <f t="shared" si="80"/>
        <v>0</v>
      </c>
      <c r="M176" s="33">
        <f t="shared" si="81"/>
        <v>0</v>
      </c>
      <c r="N176" s="33">
        <f t="shared" si="67"/>
        <v>0</v>
      </c>
      <c r="O176" s="34">
        <f t="shared" si="68"/>
        <v>0</v>
      </c>
      <c r="P176" s="55">
        <v>171</v>
      </c>
      <c r="Q176" s="33">
        <f t="shared" si="76"/>
        <v>0</v>
      </c>
      <c r="R176" s="33">
        <f t="shared" si="82"/>
        <v>0</v>
      </c>
      <c r="S176" s="33">
        <f t="shared" si="83"/>
        <v>0</v>
      </c>
      <c r="T176" s="33">
        <f t="shared" si="69"/>
        <v>0</v>
      </c>
      <c r="U176" s="33">
        <f t="shared" si="77"/>
        <v>0</v>
      </c>
      <c r="V176" s="33">
        <f t="shared" si="70"/>
        <v>0</v>
      </c>
      <c r="W176" s="33">
        <v>0</v>
      </c>
      <c r="X176" s="33">
        <f t="shared" si="71"/>
        <v>0</v>
      </c>
      <c r="Y176" s="38">
        <f t="shared" si="72"/>
        <v>0</v>
      </c>
      <c r="AA176" s="71">
        <v>171</v>
      </c>
      <c r="AB176" s="33">
        <f t="shared" si="73"/>
        <v>0</v>
      </c>
      <c r="AC176" s="304">
        <f t="shared" si="88"/>
        <v>0</v>
      </c>
      <c r="AD176" s="100">
        <f t="shared" si="74"/>
        <v>0</v>
      </c>
      <c r="AE176" s="100">
        <f t="shared" si="75"/>
        <v>0</v>
      </c>
      <c r="AF176" s="193">
        <f t="shared" si="84"/>
        <v>0</v>
      </c>
      <c r="AG176" s="193">
        <f t="shared" si="85"/>
        <v>0</v>
      </c>
      <c r="AH176" s="193">
        <f t="shared" si="86"/>
        <v>0</v>
      </c>
      <c r="AI176" s="198">
        <f t="shared" si="87"/>
        <v>0</v>
      </c>
      <c r="AK176" s="71">
        <v>171</v>
      </c>
      <c r="AL176" s="33"/>
      <c r="AM176" s="33"/>
      <c r="AN176" s="33"/>
      <c r="AO176" s="33"/>
      <c r="AP176" s="33"/>
      <c r="AQ176" s="193"/>
      <c r="AR176" s="193"/>
      <c r="AS176" s="193"/>
      <c r="AT176" s="193"/>
      <c r="AU176" s="33"/>
      <c r="AV176" s="33"/>
      <c r="AW176" s="33"/>
      <c r="AX176" s="33"/>
      <c r="AY176" s="76"/>
    </row>
    <row r="177" spans="3:51">
      <c r="C177" s="165" t="s">
        <v>52</v>
      </c>
      <c r="D177" s="4">
        <v>0.46</v>
      </c>
      <c r="E177" s="187" t="s">
        <v>229</v>
      </c>
      <c r="F177" s="342">
        <f>IF(OR(Tableau145[[#This Row],[Type]]="Feuillus",Tableau145[[#This Row],[Type]]="Peupliers"),1.56,1.3)</f>
        <v>1.3</v>
      </c>
      <c r="I177" s="55">
        <v>172</v>
      </c>
      <c r="J177" s="33">
        <f t="shared" si="78"/>
        <v>0</v>
      </c>
      <c r="K177" s="33">
        <f t="shared" si="79"/>
        <v>0</v>
      </c>
      <c r="L177" s="33">
        <f t="shared" si="80"/>
        <v>0</v>
      </c>
      <c r="M177" s="33">
        <f t="shared" si="81"/>
        <v>0</v>
      </c>
      <c r="N177" s="33">
        <f t="shared" si="67"/>
        <v>0</v>
      </c>
      <c r="O177" s="34">
        <f t="shared" si="68"/>
        <v>0</v>
      </c>
      <c r="P177" s="55">
        <v>172</v>
      </c>
      <c r="Q177" s="33">
        <f t="shared" si="76"/>
        <v>0</v>
      </c>
      <c r="R177" s="33">
        <f t="shared" si="82"/>
        <v>0</v>
      </c>
      <c r="S177" s="33">
        <f t="shared" si="83"/>
        <v>0</v>
      </c>
      <c r="T177" s="33">
        <f t="shared" si="69"/>
        <v>0</v>
      </c>
      <c r="U177" s="33">
        <f t="shared" si="77"/>
        <v>0</v>
      </c>
      <c r="V177" s="33">
        <f t="shared" si="70"/>
        <v>0</v>
      </c>
      <c r="W177" s="33">
        <v>0</v>
      </c>
      <c r="X177" s="33">
        <f t="shared" si="71"/>
        <v>0</v>
      </c>
      <c r="Y177" s="38">
        <f t="shared" si="72"/>
        <v>0</v>
      </c>
      <c r="AA177" s="71">
        <v>172</v>
      </c>
      <c r="AB177" s="33">
        <f t="shared" si="73"/>
        <v>0</v>
      </c>
      <c r="AC177" s="304">
        <f t="shared" si="88"/>
        <v>0</v>
      </c>
      <c r="AD177" s="100">
        <f t="shared" si="74"/>
        <v>0</v>
      </c>
      <c r="AE177" s="100">
        <f t="shared" si="75"/>
        <v>0</v>
      </c>
      <c r="AF177" s="193">
        <f t="shared" si="84"/>
        <v>0</v>
      </c>
      <c r="AG177" s="193">
        <f t="shared" si="85"/>
        <v>0</v>
      </c>
      <c r="AH177" s="193">
        <f t="shared" si="86"/>
        <v>0</v>
      </c>
      <c r="AI177" s="198">
        <f t="shared" si="87"/>
        <v>0</v>
      </c>
      <c r="AK177" s="71">
        <v>172</v>
      </c>
      <c r="AL177" s="33"/>
      <c r="AM177" s="33"/>
      <c r="AN177" s="33"/>
      <c r="AO177" s="33"/>
      <c r="AP177" s="33"/>
      <c r="AQ177" s="193"/>
      <c r="AR177" s="193"/>
      <c r="AS177" s="193"/>
      <c r="AT177" s="193"/>
      <c r="AU177" s="33"/>
      <c r="AV177" s="33"/>
      <c r="AW177" s="33"/>
      <c r="AX177" s="33"/>
      <c r="AY177" s="76"/>
    </row>
    <row r="178" spans="3:51" ht="30">
      <c r="C178" s="165" t="s">
        <v>53</v>
      </c>
      <c r="D178" s="4">
        <v>0.46</v>
      </c>
      <c r="E178" s="187" t="s">
        <v>231</v>
      </c>
      <c r="F178" s="342">
        <f>IF(OR(Tableau145[[#This Row],[Type]]="Feuillus",Tableau145[[#This Row],[Type]]="Peupliers"),1.56,1.3)</f>
        <v>1.3</v>
      </c>
      <c r="I178" s="55">
        <v>173</v>
      </c>
      <c r="J178" s="33">
        <f t="shared" si="78"/>
        <v>0</v>
      </c>
      <c r="K178" s="33">
        <f t="shared" si="79"/>
        <v>0</v>
      </c>
      <c r="L178" s="33">
        <f t="shared" si="80"/>
        <v>0</v>
      </c>
      <c r="M178" s="33">
        <f t="shared" si="81"/>
        <v>0</v>
      </c>
      <c r="N178" s="33">
        <f t="shared" si="67"/>
        <v>0</v>
      </c>
      <c r="O178" s="34">
        <f t="shared" si="68"/>
        <v>0</v>
      </c>
      <c r="P178" s="55">
        <v>173</v>
      </c>
      <c r="Q178" s="33">
        <f t="shared" si="76"/>
        <v>0</v>
      </c>
      <c r="R178" s="33">
        <f t="shared" si="82"/>
        <v>0</v>
      </c>
      <c r="S178" s="33">
        <f t="shared" si="83"/>
        <v>0</v>
      </c>
      <c r="T178" s="33">
        <f t="shared" si="69"/>
        <v>0</v>
      </c>
      <c r="U178" s="33">
        <f t="shared" si="77"/>
        <v>0</v>
      </c>
      <c r="V178" s="33">
        <f t="shared" si="70"/>
        <v>0</v>
      </c>
      <c r="W178" s="33">
        <v>0</v>
      </c>
      <c r="X178" s="33">
        <f t="shared" si="71"/>
        <v>0</v>
      </c>
      <c r="Y178" s="38">
        <f t="shared" si="72"/>
        <v>0</v>
      </c>
      <c r="AA178" s="71">
        <v>173</v>
      </c>
      <c r="AB178" s="33">
        <f t="shared" si="73"/>
        <v>0</v>
      </c>
      <c r="AC178" s="304">
        <f t="shared" si="88"/>
        <v>0</v>
      </c>
      <c r="AD178" s="100">
        <f t="shared" si="74"/>
        <v>0</v>
      </c>
      <c r="AE178" s="100">
        <f t="shared" si="75"/>
        <v>0</v>
      </c>
      <c r="AF178" s="193">
        <f t="shared" si="84"/>
        <v>0</v>
      </c>
      <c r="AG178" s="193">
        <f t="shared" si="85"/>
        <v>0</v>
      </c>
      <c r="AH178" s="193">
        <f t="shared" si="86"/>
        <v>0</v>
      </c>
      <c r="AI178" s="198">
        <f t="shared" si="87"/>
        <v>0</v>
      </c>
      <c r="AK178" s="71">
        <v>173</v>
      </c>
      <c r="AL178" s="33"/>
      <c r="AM178" s="33"/>
      <c r="AN178" s="33"/>
      <c r="AO178" s="33"/>
      <c r="AP178" s="33"/>
      <c r="AQ178" s="193"/>
      <c r="AR178" s="193"/>
      <c r="AS178" s="193"/>
      <c r="AT178" s="193"/>
      <c r="AU178" s="33"/>
      <c r="AV178" s="33"/>
      <c r="AW178" s="33"/>
      <c r="AX178" s="33"/>
      <c r="AY178" s="76"/>
    </row>
    <row r="179" spans="3:51">
      <c r="C179" s="165" t="s">
        <v>54</v>
      </c>
      <c r="D179" s="4">
        <v>0.44</v>
      </c>
      <c r="E179" s="187" t="s">
        <v>229</v>
      </c>
      <c r="F179" s="342">
        <f>IF(OR(Tableau145[[#This Row],[Type]]="Feuillus",Tableau145[[#This Row],[Type]]="Peupliers"),1.56,1.3)</f>
        <v>1.3</v>
      </c>
      <c r="I179" s="55">
        <v>174</v>
      </c>
      <c r="J179" s="33">
        <f t="shared" si="78"/>
        <v>0</v>
      </c>
      <c r="K179" s="33">
        <f t="shared" si="79"/>
        <v>0</v>
      </c>
      <c r="L179" s="33">
        <f t="shared" si="80"/>
        <v>0</v>
      </c>
      <c r="M179" s="33">
        <f t="shared" si="81"/>
        <v>0</v>
      </c>
      <c r="N179" s="33">
        <f t="shared" si="67"/>
        <v>0</v>
      </c>
      <c r="O179" s="34">
        <f t="shared" si="68"/>
        <v>0</v>
      </c>
      <c r="P179" s="55">
        <v>174</v>
      </c>
      <c r="Q179" s="33">
        <f t="shared" si="76"/>
        <v>0</v>
      </c>
      <c r="R179" s="33">
        <f t="shared" si="82"/>
        <v>0</v>
      </c>
      <c r="S179" s="33">
        <f t="shared" si="83"/>
        <v>0</v>
      </c>
      <c r="T179" s="33">
        <f t="shared" si="69"/>
        <v>0</v>
      </c>
      <c r="U179" s="33">
        <f t="shared" si="77"/>
        <v>0</v>
      </c>
      <c r="V179" s="33">
        <f t="shared" si="70"/>
        <v>0</v>
      </c>
      <c r="W179" s="33">
        <v>0</v>
      </c>
      <c r="X179" s="33">
        <f t="shared" si="71"/>
        <v>0</v>
      </c>
      <c r="Y179" s="38">
        <f t="shared" si="72"/>
        <v>0</v>
      </c>
      <c r="AA179" s="71">
        <v>174</v>
      </c>
      <c r="AB179" s="33">
        <f t="shared" si="73"/>
        <v>0</v>
      </c>
      <c r="AC179" s="304">
        <f t="shared" si="88"/>
        <v>0</v>
      </c>
      <c r="AD179" s="100">
        <f t="shared" si="74"/>
        <v>0</v>
      </c>
      <c r="AE179" s="100">
        <f t="shared" si="75"/>
        <v>0</v>
      </c>
      <c r="AF179" s="193">
        <f t="shared" si="84"/>
        <v>0</v>
      </c>
      <c r="AG179" s="193">
        <f t="shared" si="85"/>
        <v>0</v>
      </c>
      <c r="AH179" s="193">
        <f t="shared" si="86"/>
        <v>0</v>
      </c>
      <c r="AI179" s="198">
        <f t="shared" si="87"/>
        <v>0</v>
      </c>
      <c r="AK179" s="71">
        <v>174</v>
      </c>
      <c r="AL179" s="33"/>
      <c r="AM179" s="33"/>
      <c r="AN179" s="33"/>
      <c r="AO179" s="33"/>
      <c r="AP179" s="33"/>
      <c r="AQ179" s="193"/>
      <c r="AR179" s="193"/>
      <c r="AS179" s="193"/>
      <c r="AT179" s="193"/>
      <c r="AU179" s="33"/>
      <c r="AV179" s="33"/>
      <c r="AW179" s="33"/>
      <c r="AX179" s="33"/>
      <c r="AY179" s="76"/>
    </row>
    <row r="180" spans="3:51">
      <c r="C180" s="165" t="s">
        <v>55</v>
      </c>
      <c r="D180" s="4">
        <v>0.46</v>
      </c>
      <c r="E180" s="187" t="s">
        <v>229</v>
      </c>
      <c r="F180" s="342">
        <f>IF(OR(Tableau145[[#This Row],[Type]]="Feuillus",Tableau145[[#This Row],[Type]]="Peupliers"),1.56,1.3)</f>
        <v>1.3</v>
      </c>
      <c r="I180" s="55">
        <v>175</v>
      </c>
      <c r="J180" s="33">
        <f t="shared" si="78"/>
        <v>0</v>
      </c>
      <c r="K180" s="33">
        <f t="shared" si="79"/>
        <v>0</v>
      </c>
      <c r="L180" s="33">
        <f t="shared" si="80"/>
        <v>0</v>
      </c>
      <c r="M180" s="33">
        <f t="shared" si="81"/>
        <v>0</v>
      </c>
      <c r="N180" s="33">
        <f t="shared" si="67"/>
        <v>0</v>
      </c>
      <c r="O180" s="34">
        <f t="shared" si="68"/>
        <v>0</v>
      </c>
      <c r="P180" s="55">
        <v>175</v>
      </c>
      <c r="Q180" s="33">
        <f t="shared" si="76"/>
        <v>0</v>
      </c>
      <c r="R180" s="33">
        <f t="shared" si="82"/>
        <v>0</v>
      </c>
      <c r="S180" s="33">
        <f t="shared" si="83"/>
        <v>0</v>
      </c>
      <c r="T180" s="33">
        <f t="shared" si="69"/>
        <v>0</v>
      </c>
      <c r="U180" s="33">
        <f t="shared" si="77"/>
        <v>0</v>
      </c>
      <c r="V180" s="33">
        <f t="shared" si="70"/>
        <v>0</v>
      </c>
      <c r="W180" s="33">
        <v>0</v>
      </c>
      <c r="X180" s="33">
        <f t="shared" si="71"/>
        <v>0</v>
      </c>
      <c r="Y180" s="38">
        <f t="shared" si="72"/>
        <v>0</v>
      </c>
      <c r="AA180" s="71">
        <v>175</v>
      </c>
      <c r="AB180" s="33">
        <f t="shared" si="73"/>
        <v>0</v>
      </c>
      <c r="AC180" s="304">
        <f t="shared" si="88"/>
        <v>0</v>
      </c>
      <c r="AD180" s="100">
        <f t="shared" si="74"/>
        <v>0</v>
      </c>
      <c r="AE180" s="100">
        <f t="shared" si="75"/>
        <v>0</v>
      </c>
      <c r="AF180" s="193">
        <f t="shared" si="84"/>
        <v>0</v>
      </c>
      <c r="AG180" s="193">
        <f t="shared" si="85"/>
        <v>0</v>
      </c>
      <c r="AH180" s="193">
        <f t="shared" si="86"/>
        <v>0</v>
      </c>
      <c r="AI180" s="198">
        <f t="shared" si="87"/>
        <v>0</v>
      </c>
      <c r="AK180" s="71">
        <v>175</v>
      </c>
      <c r="AL180" s="33"/>
      <c r="AM180" s="33"/>
      <c r="AN180" s="33"/>
      <c r="AO180" s="33"/>
      <c r="AP180" s="33"/>
      <c r="AQ180" s="193"/>
      <c r="AR180" s="193"/>
      <c r="AS180" s="193"/>
      <c r="AT180" s="193"/>
      <c r="AU180" s="33"/>
      <c r="AV180" s="33"/>
      <c r="AW180" s="33"/>
      <c r="AX180" s="33"/>
      <c r="AY180" s="76"/>
    </row>
    <row r="181" spans="3:51">
      <c r="C181" s="165" t="s">
        <v>56</v>
      </c>
      <c r="D181" s="4">
        <v>0.48</v>
      </c>
      <c r="E181" s="187" t="s">
        <v>229</v>
      </c>
      <c r="F181" s="342">
        <f>IF(OR(Tableau145[[#This Row],[Type]]="Feuillus",Tableau145[[#This Row],[Type]]="Peupliers"),1.56,1.3)</f>
        <v>1.3</v>
      </c>
      <c r="I181" s="55">
        <v>176</v>
      </c>
      <c r="J181" s="33">
        <f t="shared" si="78"/>
        <v>0</v>
      </c>
      <c r="K181" s="33">
        <f t="shared" si="79"/>
        <v>0</v>
      </c>
      <c r="L181" s="33">
        <f t="shared" si="80"/>
        <v>0</v>
      </c>
      <c r="M181" s="33">
        <f t="shared" si="81"/>
        <v>0</v>
      </c>
      <c r="N181" s="33">
        <f t="shared" si="67"/>
        <v>0</v>
      </c>
      <c r="O181" s="34">
        <f t="shared" si="68"/>
        <v>0</v>
      </c>
      <c r="P181" s="55">
        <v>176</v>
      </c>
      <c r="Q181" s="33">
        <f t="shared" si="76"/>
        <v>0</v>
      </c>
      <c r="R181" s="33">
        <f t="shared" si="82"/>
        <v>0</v>
      </c>
      <c r="S181" s="33">
        <f t="shared" si="83"/>
        <v>0</v>
      </c>
      <c r="T181" s="33">
        <f t="shared" si="69"/>
        <v>0</v>
      </c>
      <c r="U181" s="33">
        <f t="shared" si="77"/>
        <v>0</v>
      </c>
      <c r="V181" s="33">
        <f t="shared" si="70"/>
        <v>0</v>
      </c>
      <c r="W181" s="33">
        <v>0</v>
      </c>
      <c r="X181" s="33">
        <f t="shared" si="71"/>
        <v>0</v>
      </c>
      <c r="Y181" s="38">
        <f t="shared" si="72"/>
        <v>0</v>
      </c>
      <c r="AA181" s="71">
        <v>176</v>
      </c>
      <c r="AB181" s="33">
        <f t="shared" si="73"/>
        <v>0</v>
      </c>
      <c r="AC181" s="304">
        <f t="shared" si="88"/>
        <v>0</v>
      </c>
      <c r="AD181" s="100">
        <f t="shared" si="74"/>
        <v>0</v>
      </c>
      <c r="AE181" s="100">
        <f t="shared" si="75"/>
        <v>0</v>
      </c>
      <c r="AF181" s="193">
        <f t="shared" si="84"/>
        <v>0</v>
      </c>
      <c r="AG181" s="193">
        <f t="shared" si="85"/>
        <v>0</v>
      </c>
      <c r="AH181" s="193">
        <f t="shared" si="86"/>
        <v>0</v>
      </c>
      <c r="AI181" s="198">
        <f t="shared" si="87"/>
        <v>0</v>
      </c>
      <c r="AK181" s="71">
        <v>176</v>
      </c>
      <c r="AL181" s="33"/>
      <c r="AM181" s="33"/>
      <c r="AN181" s="33"/>
      <c r="AO181" s="33"/>
      <c r="AP181" s="33"/>
      <c r="AQ181" s="193"/>
      <c r="AR181" s="193"/>
      <c r="AS181" s="193"/>
      <c r="AT181" s="193"/>
      <c r="AU181" s="33"/>
      <c r="AV181" s="33"/>
      <c r="AW181" s="33"/>
      <c r="AX181" s="33"/>
      <c r="AY181" s="76"/>
    </row>
    <row r="182" spans="3:51">
      <c r="C182" s="165" t="s">
        <v>57</v>
      </c>
      <c r="D182" s="4">
        <v>0.44</v>
      </c>
      <c r="E182" s="187" t="s">
        <v>229</v>
      </c>
      <c r="F182" s="342">
        <f>IF(OR(Tableau145[[#This Row],[Type]]="Feuillus",Tableau145[[#This Row],[Type]]="Peupliers"),1.56,1.3)</f>
        <v>1.3</v>
      </c>
      <c r="I182" s="55">
        <v>177</v>
      </c>
      <c r="J182" s="33">
        <f t="shared" si="78"/>
        <v>0</v>
      </c>
      <c r="K182" s="33">
        <f t="shared" si="79"/>
        <v>0</v>
      </c>
      <c r="L182" s="33">
        <f t="shared" si="80"/>
        <v>0</v>
      </c>
      <c r="M182" s="33">
        <f t="shared" si="81"/>
        <v>0</v>
      </c>
      <c r="N182" s="33">
        <f t="shared" si="67"/>
        <v>0</v>
      </c>
      <c r="O182" s="34">
        <f t="shared" si="68"/>
        <v>0</v>
      </c>
      <c r="P182" s="55">
        <v>177</v>
      </c>
      <c r="Q182" s="33">
        <f t="shared" si="76"/>
        <v>0</v>
      </c>
      <c r="R182" s="33">
        <f t="shared" si="82"/>
        <v>0</v>
      </c>
      <c r="S182" s="33">
        <f t="shared" si="83"/>
        <v>0</v>
      </c>
      <c r="T182" s="33">
        <f t="shared" si="69"/>
        <v>0</v>
      </c>
      <c r="U182" s="33">
        <f t="shared" si="77"/>
        <v>0</v>
      </c>
      <c r="V182" s="33">
        <f t="shared" si="70"/>
        <v>0</v>
      </c>
      <c r="W182" s="33">
        <v>0</v>
      </c>
      <c r="X182" s="33">
        <f t="shared" si="71"/>
        <v>0</v>
      </c>
      <c r="Y182" s="38">
        <f t="shared" si="72"/>
        <v>0</v>
      </c>
      <c r="AA182" s="71">
        <v>177</v>
      </c>
      <c r="AB182" s="33">
        <f t="shared" si="73"/>
        <v>0</v>
      </c>
      <c r="AC182" s="304">
        <f t="shared" si="88"/>
        <v>0</v>
      </c>
      <c r="AD182" s="100">
        <f t="shared" si="74"/>
        <v>0</v>
      </c>
      <c r="AE182" s="100">
        <f t="shared" si="75"/>
        <v>0</v>
      </c>
      <c r="AF182" s="193">
        <f t="shared" si="84"/>
        <v>0</v>
      </c>
      <c r="AG182" s="193">
        <f t="shared" si="85"/>
        <v>0</v>
      </c>
      <c r="AH182" s="193">
        <f t="shared" si="86"/>
        <v>0</v>
      </c>
      <c r="AI182" s="198">
        <f t="shared" si="87"/>
        <v>0</v>
      </c>
      <c r="AK182" s="71">
        <v>177</v>
      </c>
      <c r="AL182" s="33"/>
      <c r="AM182" s="33"/>
      <c r="AN182" s="33"/>
      <c r="AO182" s="33"/>
      <c r="AP182" s="33"/>
      <c r="AQ182" s="193"/>
      <c r="AR182" s="193"/>
      <c r="AS182" s="193"/>
      <c r="AT182" s="193"/>
      <c r="AU182" s="33"/>
      <c r="AV182" s="33"/>
      <c r="AW182" s="33"/>
      <c r="AX182" s="33"/>
      <c r="AY182" s="76"/>
    </row>
    <row r="183" spans="3:51">
      <c r="C183" s="165" t="s">
        <v>58</v>
      </c>
      <c r="D183" s="4">
        <v>0.34</v>
      </c>
      <c r="E183" s="187" t="s">
        <v>229</v>
      </c>
      <c r="F183" s="342">
        <f>IF(OR(Tableau145[[#This Row],[Type]]="Feuillus",Tableau145[[#This Row],[Type]]="Peupliers"),1.56,1.3)</f>
        <v>1.3</v>
      </c>
      <c r="I183" s="55">
        <v>178</v>
      </c>
      <c r="J183" s="33">
        <f t="shared" si="78"/>
        <v>0</v>
      </c>
      <c r="K183" s="33">
        <f t="shared" si="79"/>
        <v>0</v>
      </c>
      <c r="L183" s="33">
        <f t="shared" si="80"/>
        <v>0</v>
      </c>
      <c r="M183" s="33">
        <f t="shared" si="81"/>
        <v>0</v>
      </c>
      <c r="N183" s="33">
        <f t="shared" si="67"/>
        <v>0</v>
      </c>
      <c r="O183" s="34">
        <f t="shared" si="68"/>
        <v>0</v>
      </c>
      <c r="P183" s="55">
        <v>178</v>
      </c>
      <c r="Q183" s="33">
        <f t="shared" si="76"/>
        <v>0</v>
      </c>
      <c r="R183" s="33">
        <f t="shared" si="82"/>
        <v>0</v>
      </c>
      <c r="S183" s="33">
        <f t="shared" si="83"/>
        <v>0</v>
      </c>
      <c r="T183" s="33">
        <f t="shared" si="69"/>
        <v>0</v>
      </c>
      <c r="U183" s="33">
        <f t="shared" si="77"/>
        <v>0</v>
      </c>
      <c r="V183" s="33">
        <f t="shared" si="70"/>
        <v>0</v>
      </c>
      <c r="W183" s="33">
        <v>0</v>
      </c>
      <c r="X183" s="33">
        <f t="shared" si="71"/>
        <v>0</v>
      </c>
      <c r="Y183" s="38">
        <f t="shared" si="72"/>
        <v>0</v>
      </c>
      <c r="AA183" s="71">
        <v>178</v>
      </c>
      <c r="AB183" s="33">
        <f t="shared" si="73"/>
        <v>0</v>
      </c>
      <c r="AC183" s="304">
        <f t="shared" si="88"/>
        <v>0</v>
      </c>
      <c r="AD183" s="100">
        <f t="shared" si="74"/>
        <v>0</v>
      </c>
      <c r="AE183" s="100">
        <f t="shared" si="75"/>
        <v>0</v>
      </c>
      <c r="AF183" s="193">
        <f t="shared" si="84"/>
        <v>0</v>
      </c>
      <c r="AG183" s="193">
        <f t="shared" si="85"/>
        <v>0</v>
      </c>
      <c r="AH183" s="193">
        <f t="shared" si="86"/>
        <v>0</v>
      </c>
      <c r="AI183" s="198">
        <f t="shared" si="87"/>
        <v>0</v>
      </c>
      <c r="AK183" s="71">
        <v>178</v>
      </c>
      <c r="AL183" s="33"/>
      <c r="AM183" s="33"/>
      <c r="AN183" s="33"/>
      <c r="AO183" s="33"/>
      <c r="AP183" s="33"/>
      <c r="AQ183" s="193"/>
      <c r="AR183" s="193"/>
      <c r="AS183" s="193"/>
      <c r="AT183" s="193"/>
      <c r="AU183" s="33"/>
      <c r="AV183" s="33"/>
      <c r="AW183" s="33"/>
      <c r="AX183" s="33"/>
      <c r="AY183" s="76"/>
    </row>
    <row r="184" spans="3:51">
      <c r="C184" s="165" t="s">
        <v>59</v>
      </c>
      <c r="D184" s="4">
        <v>0.5</v>
      </c>
      <c r="E184" s="187" t="s">
        <v>228</v>
      </c>
      <c r="F184" s="342">
        <f>IF(OR(Tableau145[[#This Row],[Type]]="Feuillus",Tableau145[[#This Row],[Type]]="Peupliers"),1.56,1.3)</f>
        <v>1.56</v>
      </c>
      <c r="I184" s="55">
        <v>179</v>
      </c>
      <c r="J184" s="33">
        <f t="shared" si="78"/>
        <v>0</v>
      </c>
      <c r="K184" s="33">
        <f t="shared" si="79"/>
        <v>0</v>
      </c>
      <c r="L184" s="33">
        <f t="shared" si="80"/>
        <v>0</v>
      </c>
      <c r="M184" s="33">
        <f t="shared" si="81"/>
        <v>0</v>
      </c>
      <c r="N184" s="33">
        <f t="shared" si="67"/>
        <v>0</v>
      </c>
      <c r="O184" s="34">
        <f t="shared" si="68"/>
        <v>0</v>
      </c>
      <c r="P184" s="55">
        <v>179</v>
      </c>
      <c r="Q184" s="33">
        <f t="shared" si="76"/>
        <v>0</v>
      </c>
      <c r="R184" s="33">
        <f t="shared" si="82"/>
        <v>0</v>
      </c>
      <c r="S184" s="33">
        <f t="shared" si="83"/>
        <v>0</v>
      </c>
      <c r="T184" s="33">
        <f t="shared" si="69"/>
        <v>0</v>
      </c>
      <c r="U184" s="33">
        <f t="shared" si="77"/>
        <v>0</v>
      </c>
      <c r="V184" s="33">
        <f t="shared" si="70"/>
        <v>0</v>
      </c>
      <c r="W184" s="33">
        <v>0</v>
      </c>
      <c r="X184" s="33">
        <f t="shared" si="71"/>
        <v>0</v>
      </c>
      <c r="Y184" s="38">
        <f t="shared" si="72"/>
        <v>0</v>
      </c>
      <c r="AA184" s="71">
        <v>179</v>
      </c>
      <c r="AB184" s="33">
        <f t="shared" si="73"/>
        <v>0</v>
      </c>
      <c r="AC184" s="304">
        <f t="shared" si="88"/>
        <v>0</v>
      </c>
      <c r="AD184" s="100">
        <f t="shared" si="74"/>
        <v>0</v>
      </c>
      <c r="AE184" s="100">
        <f t="shared" si="75"/>
        <v>0</v>
      </c>
      <c r="AF184" s="193">
        <f t="shared" si="84"/>
        <v>0</v>
      </c>
      <c r="AG184" s="193">
        <f t="shared" si="85"/>
        <v>0</v>
      </c>
      <c r="AH184" s="193">
        <f t="shared" si="86"/>
        <v>0</v>
      </c>
      <c r="AI184" s="198">
        <f t="shared" si="87"/>
        <v>0</v>
      </c>
      <c r="AK184" s="71">
        <v>179</v>
      </c>
      <c r="AL184" s="33"/>
      <c r="AM184" s="33"/>
      <c r="AN184" s="33"/>
      <c r="AO184" s="33"/>
      <c r="AP184" s="33"/>
      <c r="AQ184" s="193"/>
      <c r="AR184" s="193"/>
      <c r="AS184" s="193"/>
      <c r="AT184" s="193"/>
      <c r="AU184" s="33"/>
      <c r="AV184" s="33"/>
      <c r="AW184" s="33"/>
      <c r="AX184" s="33"/>
      <c r="AY184" s="76"/>
    </row>
    <row r="185" spans="3:51">
      <c r="C185" s="165" t="s">
        <v>60</v>
      </c>
      <c r="D185" s="4">
        <v>0.57999999999999996</v>
      </c>
      <c r="E185" s="187" t="s">
        <v>228</v>
      </c>
      <c r="F185" s="342">
        <f>IF(OR(Tableau145[[#This Row],[Type]]="Feuillus",Tableau145[[#This Row],[Type]]="Peupliers"),1.56,1.3)</f>
        <v>1.56</v>
      </c>
      <c r="I185" s="55">
        <v>180</v>
      </c>
      <c r="J185" s="33">
        <f t="shared" si="78"/>
        <v>0</v>
      </c>
      <c r="K185" s="33">
        <f t="shared" si="79"/>
        <v>0</v>
      </c>
      <c r="L185" s="33">
        <f t="shared" si="80"/>
        <v>0</v>
      </c>
      <c r="M185" s="33">
        <f t="shared" si="81"/>
        <v>0</v>
      </c>
      <c r="N185" s="33">
        <f t="shared" si="67"/>
        <v>0</v>
      </c>
      <c r="O185" s="34">
        <f t="shared" si="68"/>
        <v>0</v>
      </c>
      <c r="P185" s="55">
        <v>180</v>
      </c>
      <c r="Q185" s="33">
        <f t="shared" si="76"/>
        <v>0</v>
      </c>
      <c r="R185" s="33">
        <f t="shared" si="82"/>
        <v>0</v>
      </c>
      <c r="S185" s="33">
        <f t="shared" si="83"/>
        <v>0</v>
      </c>
      <c r="T185" s="33">
        <f t="shared" si="69"/>
        <v>0</v>
      </c>
      <c r="U185" s="33">
        <f t="shared" si="77"/>
        <v>0</v>
      </c>
      <c r="V185" s="33">
        <f t="shared" si="70"/>
        <v>0</v>
      </c>
      <c r="W185" s="33">
        <v>0</v>
      </c>
      <c r="X185" s="33">
        <f t="shared" si="71"/>
        <v>0</v>
      </c>
      <c r="Y185" s="38">
        <f t="shared" si="72"/>
        <v>0</v>
      </c>
      <c r="AA185" s="71">
        <v>180</v>
      </c>
      <c r="AB185" s="33">
        <f t="shared" si="73"/>
        <v>0</v>
      </c>
      <c r="AC185" s="304">
        <f t="shared" si="88"/>
        <v>0</v>
      </c>
      <c r="AD185" s="100">
        <f t="shared" si="74"/>
        <v>0</v>
      </c>
      <c r="AE185" s="100">
        <f t="shared" si="75"/>
        <v>0</v>
      </c>
      <c r="AF185" s="193">
        <f t="shared" si="84"/>
        <v>0</v>
      </c>
      <c r="AG185" s="193">
        <f t="shared" si="85"/>
        <v>0</v>
      </c>
      <c r="AH185" s="193">
        <f t="shared" si="86"/>
        <v>0</v>
      </c>
      <c r="AI185" s="198">
        <f t="shared" si="87"/>
        <v>0</v>
      </c>
      <c r="AK185" s="71">
        <v>180</v>
      </c>
      <c r="AL185" s="33"/>
      <c r="AM185" s="33"/>
      <c r="AN185" s="33"/>
      <c r="AO185" s="33"/>
      <c r="AP185" s="33"/>
      <c r="AQ185" s="193"/>
      <c r="AR185" s="193"/>
      <c r="AS185" s="193"/>
      <c r="AT185" s="193"/>
      <c r="AU185" s="33"/>
      <c r="AV185" s="33"/>
      <c r="AW185" s="33"/>
      <c r="AX185" s="33"/>
      <c r="AY185" s="76"/>
    </row>
    <row r="186" spans="3:51">
      <c r="C186" s="165" t="s">
        <v>61</v>
      </c>
      <c r="D186" s="4">
        <v>0.37</v>
      </c>
      <c r="E186" s="187" t="s">
        <v>229</v>
      </c>
      <c r="F186" s="342">
        <f>IF(OR(Tableau145[[#This Row],[Type]]="Feuillus",Tableau145[[#This Row],[Type]]="Peupliers"),1.56,1.3)</f>
        <v>1.3</v>
      </c>
      <c r="I186" s="55">
        <v>181</v>
      </c>
      <c r="J186" s="33">
        <f t="shared" si="78"/>
        <v>0</v>
      </c>
      <c r="K186" s="33">
        <f t="shared" si="79"/>
        <v>0</v>
      </c>
      <c r="L186" s="33">
        <f t="shared" si="80"/>
        <v>0</v>
      </c>
      <c r="M186" s="33">
        <f t="shared" si="81"/>
        <v>0</v>
      </c>
      <c r="N186" s="33">
        <f t="shared" si="67"/>
        <v>0</v>
      </c>
      <c r="O186" s="34">
        <f t="shared" si="68"/>
        <v>0</v>
      </c>
      <c r="P186" s="55">
        <v>181</v>
      </c>
      <c r="Q186" s="33">
        <f t="shared" si="76"/>
        <v>0</v>
      </c>
      <c r="R186" s="33">
        <f t="shared" si="82"/>
        <v>0</v>
      </c>
      <c r="S186" s="33">
        <f t="shared" si="83"/>
        <v>0</v>
      </c>
      <c r="T186" s="33">
        <f t="shared" si="69"/>
        <v>0</v>
      </c>
      <c r="U186" s="33">
        <f t="shared" si="77"/>
        <v>0</v>
      </c>
      <c r="V186" s="33">
        <f t="shared" si="70"/>
        <v>0</v>
      </c>
      <c r="W186" s="33">
        <v>0</v>
      </c>
      <c r="X186" s="33">
        <f t="shared" si="71"/>
        <v>0</v>
      </c>
      <c r="Y186" s="38">
        <f t="shared" si="72"/>
        <v>0</v>
      </c>
      <c r="AA186" s="71">
        <v>181</v>
      </c>
      <c r="AB186" s="33">
        <f t="shared" si="73"/>
        <v>0</v>
      </c>
      <c r="AC186" s="304">
        <f t="shared" si="88"/>
        <v>0</v>
      </c>
      <c r="AD186" s="100">
        <f t="shared" si="74"/>
        <v>0</v>
      </c>
      <c r="AE186" s="100">
        <f t="shared" si="75"/>
        <v>0</v>
      </c>
      <c r="AF186" s="193">
        <f t="shared" si="84"/>
        <v>0</v>
      </c>
      <c r="AG186" s="193">
        <f t="shared" si="85"/>
        <v>0</v>
      </c>
      <c r="AH186" s="193">
        <f t="shared" si="86"/>
        <v>0</v>
      </c>
      <c r="AI186" s="198">
        <f t="shared" si="87"/>
        <v>0</v>
      </c>
      <c r="AK186" s="71">
        <v>181</v>
      </c>
      <c r="AL186" s="33"/>
      <c r="AM186" s="33"/>
      <c r="AN186" s="33"/>
      <c r="AO186" s="33"/>
      <c r="AP186" s="33"/>
      <c r="AQ186" s="193"/>
      <c r="AR186" s="193"/>
      <c r="AS186" s="193"/>
      <c r="AT186" s="193"/>
      <c r="AU186" s="33"/>
      <c r="AV186" s="33"/>
      <c r="AW186" s="33"/>
      <c r="AX186" s="33"/>
      <c r="AY186" s="76"/>
    </row>
    <row r="187" spans="3:51">
      <c r="C187" s="165" t="s">
        <v>62</v>
      </c>
      <c r="D187" s="4">
        <v>0.37</v>
      </c>
      <c r="E187" s="187" t="s">
        <v>229</v>
      </c>
      <c r="F187" s="342">
        <f>IF(OR(Tableau145[[#This Row],[Type]]="Feuillus",Tableau145[[#This Row],[Type]]="Peupliers"),1.56,1.3)</f>
        <v>1.3</v>
      </c>
      <c r="I187" s="55">
        <v>182</v>
      </c>
      <c r="J187" s="33">
        <f t="shared" si="78"/>
        <v>0</v>
      </c>
      <c r="K187" s="33">
        <f t="shared" si="79"/>
        <v>0</v>
      </c>
      <c r="L187" s="33">
        <f t="shared" si="80"/>
        <v>0</v>
      </c>
      <c r="M187" s="33">
        <f t="shared" si="81"/>
        <v>0</v>
      </c>
      <c r="N187" s="33">
        <f t="shared" si="67"/>
        <v>0</v>
      </c>
      <c r="O187" s="34">
        <f t="shared" si="68"/>
        <v>0</v>
      </c>
      <c r="P187" s="55">
        <v>182</v>
      </c>
      <c r="Q187" s="33">
        <f t="shared" si="76"/>
        <v>0</v>
      </c>
      <c r="R187" s="33">
        <f t="shared" si="82"/>
        <v>0</v>
      </c>
      <c r="S187" s="33">
        <f t="shared" si="83"/>
        <v>0</v>
      </c>
      <c r="T187" s="33">
        <f t="shared" si="69"/>
        <v>0</v>
      </c>
      <c r="U187" s="33">
        <f t="shared" si="77"/>
        <v>0</v>
      </c>
      <c r="V187" s="33">
        <f t="shared" si="70"/>
        <v>0</v>
      </c>
      <c r="W187" s="33">
        <v>0</v>
      </c>
      <c r="X187" s="33">
        <f t="shared" si="71"/>
        <v>0</v>
      </c>
      <c r="Y187" s="38">
        <f t="shared" si="72"/>
        <v>0</v>
      </c>
      <c r="AA187" s="71">
        <v>182</v>
      </c>
      <c r="AB187" s="33">
        <f t="shared" si="73"/>
        <v>0</v>
      </c>
      <c r="AC187" s="304">
        <f t="shared" si="88"/>
        <v>0</v>
      </c>
      <c r="AD187" s="100">
        <f t="shared" si="74"/>
        <v>0</v>
      </c>
      <c r="AE187" s="100">
        <f t="shared" si="75"/>
        <v>0</v>
      </c>
      <c r="AF187" s="193">
        <f t="shared" si="84"/>
        <v>0</v>
      </c>
      <c r="AG187" s="193">
        <f t="shared" si="85"/>
        <v>0</v>
      </c>
      <c r="AH187" s="193">
        <f t="shared" si="86"/>
        <v>0</v>
      </c>
      <c r="AI187" s="198">
        <f t="shared" si="87"/>
        <v>0</v>
      </c>
      <c r="AK187" s="71">
        <v>182</v>
      </c>
      <c r="AL187" s="33"/>
      <c r="AM187" s="33"/>
      <c r="AN187" s="33"/>
      <c r="AO187" s="33"/>
      <c r="AP187" s="33"/>
      <c r="AQ187" s="193"/>
      <c r="AR187" s="193"/>
      <c r="AS187" s="193"/>
      <c r="AT187" s="193"/>
      <c r="AU187" s="33"/>
      <c r="AV187" s="33"/>
      <c r="AW187" s="33"/>
      <c r="AX187" s="33"/>
      <c r="AY187" s="76"/>
    </row>
    <row r="188" spans="3:51">
      <c r="C188" s="165" t="s">
        <v>63</v>
      </c>
      <c r="D188" s="4">
        <v>0.38</v>
      </c>
      <c r="E188" s="187" t="s">
        <v>229</v>
      </c>
      <c r="F188" s="342">
        <f>IF(OR(Tableau145[[#This Row],[Type]]="Feuillus",Tableau145[[#This Row],[Type]]="Peupliers"),1.56,1.3)</f>
        <v>1.3</v>
      </c>
      <c r="I188" s="55">
        <v>183</v>
      </c>
      <c r="J188" s="33">
        <f t="shared" si="78"/>
        <v>0</v>
      </c>
      <c r="K188" s="33">
        <f t="shared" si="79"/>
        <v>0</v>
      </c>
      <c r="L188" s="33">
        <f t="shared" si="80"/>
        <v>0</v>
      </c>
      <c r="M188" s="33">
        <f t="shared" si="81"/>
        <v>0</v>
      </c>
      <c r="N188" s="33">
        <f t="shared" si="67"/>
        <v>0</v>
      </c>
      <c r="O188" s="34">
        <f t="shared" si="68"/>
        <v>0</v>
      </c>
      <c r="P188" s="55">
        <v>183</v>
      </c>
      <c r="Q188" s="33">
        <f t="shared" si="76"/>
        <v>0</v>
      </c>
      <c r="R188" s="33">
        <f t="shared" si="82"/>
        <v>0</v>
      </c>
      <c r="S188" s="33">
        <f t="shared" si="83"/>
        <v>0</v>
      </c>
      <c r="T188" s="33">
        <f t="shared" si="69"/>
        <v>0</v>
      </c>
      <c r="U188" s="33">
        <f t="shared" si="77"/>
        <v>0</v>
      </c>
      <c r="V188" s="33">
        <f t="shared" si="70"/>
        <v>0</v>
      </c>
      <c r="W188" s="33">
        <v>0</v>
      </c>
      <c r="X188" s="33">
        <f t="shared" si="71"/>
        <v>0</v>
      </c>
      <c r="Y188" s="38">
        <f t="shared" si="72"/>
        <v>0</v>
      </c>
      <c r="AA188" s="71">
        <v>183</v>
      </c>
      <c r="AB188" s="33">
        <f t="shared" si="73"/>
        <v>0</v>
      </c>
      <c r="AC188" s="304">
        <f t="shared" si="88"/>
        <v>0</v>
      </c>
      <c r="AD188" s="100">
        <f t="shared" si="74"/>
        <v>0</v>
      </c>
      <c r="AE188" s="100">
        <f t="shared" si="75"/>
        <v>0</v>
      </c>
      <c r="AF188" s="193">
        <f t="shared" si="84"/>
        <v>0</v>
      </c>
      <c r="AG188" s="193">
        <f t="shared" si="85"/>
        <v>0</v>
      </c>
      <c r="AH188" s="193">
        <f t="shared" si="86"/>
        <v>0</v>
      </c>
      <c r="AI188" s="198">
        <f t="shared" si="87"/>
        <v>0</v>
      </c>
      <c r="AK188" s="71">
        <v>183</v>
      </c>
      <c r="AL188" s="33"/>
      <c r="AM188" s="33"/>
      <c r="AN188" s="33"/>
      <c r="AO188" s="33"/>
      <c r="AP188" s="33"/>
      <c r="AQ188" s="193"/>
      <c r="AR188" s="193"/>
      <c r="AS188" s="193"/>
      <c r="AT188" s="193"/>
      <c r="AU188" s="33"/>
      <c r="AV188" s="33"/>
      <c r="AW188" s="33"/>
      <c r="AX188" s="33"/>
      <c r="AY188" s="76"/>
    </row>
    <row r="189" spans="3:51">
      <c r="C189" s="165" t="s">
        <v>64</v>
      </c>
      <c r="D189" s="4">
        <v>0.36</v>
      </c>
      <c r="E189" s="187" t="s">
        <v>229</v>
      </c>
      <c r="F189" s="342">
        <f>IF(OR(Tableau145[[#This Row],[Type]]="Feuillus",Tableau145[[#This Row],[Type]]="Peupliers"),1.56,1.3)</f>
        <v>1.3</v>
      </c>
      <c r="I189" s="55">
        <v>184</v>
      </c>
      <c r="J189" s="33">
        <f t="shared" si="78"/>
        <v>0</v>
      </c>
      <c r="K189" s="33">
        <f t="shared" si="79"/>
        <v>0</v>
      </c>
      <c r="L189" s="33">
        <f t="shared" si="80"/>
        <v>0</v>
      </c>
      <c r="M189" s="33">
        <f t="shared" si="81"/>
        <v>0</v>
      </c>
      <c r="N189" s="33">
        <f t="shared" si="67"/>
        <v>0</v>
      </c>
      <c r="O189" s="34">
        <f t="shared" si="68"/>
        <v>0</v>
      </c>
      <c r="P189" s="55">
        <v>184</v>
      </c>
      <c r="Q189" s="33">
        <f t="shared" si="76"/>
        <v>0</v>
      </c>
      <c r="R189" s="33">
        <f t="shared" si="82"/>
        <v>0</v>
      </c>
      <c r="S189" s="33">
        <f t="shared" si="83"/>
        <v>0</v>
      </c>
      <c r="T189" s="33">
        <f t="shared" si="69"/>
        <v>0</v>
      </c>
      <c r="U189" s="33">
        <f t="shared" si="77"/>
        <v>0</v>
      </c>
      <c r="V189" s="33">
        <f t="shared" si="70"/>
        <v>0</v>
      </c>
      <c r="W189" s="33">
        <v>0</v>
      </c>
      <c r="X189" s="33">
        <f t="shared" si="71"/>
        <v>0</v>
      </c>
      <c r="Y189" s="38">
        <f t="shared" si="72"/>
        <v>0</v>
      </c>
      <c r="AA189" s="71">
        <v>184</v>
      </c>
      <c r="AB189" s="33">
        <f t="shared" si="73"/>
        <v>0</v>
      </c>
      <c r="AC189" s="304">
        <f t="shared" si="88"/>
        <v>0</v>
      </c>
      <c r="AD189" s="100">
        <f t="shared" si="74"/>
        <v>0</v>
      </c>
      <c r="AE189" s="100">
        <f t="shared" si="75"/>
        <v>0</v>
      </c>
      <c r="AF189" s="193">
        <f t="shared" si="84"/>
        <v>0</v>
      </c>
      <c r="AG189" s="193">
        <f t="shared" si="85"/>
        <v>0</v>
      </c>
      <c r="AH189" s="193">
        <f t="shared" si="86"/>
        <v>0</v>
      </c>
      <c r="AI189" s="198">
        <f t="shared" si="87"/>
        <v>0</v>
      </c>
      <c r="AK189" s="71">
        <v>184</v>
      </c>
      <c r="AL189" s="33"/>
      <c r="AM189" s="33"/>
      <c r="AN189" s="33"/>
      <c r="AO189" s="33"/>
      <c r="AP189" s="33"/>
      <c r="AQ189" s="193"/>
      <c r="AR189" s="193"/>
      <c r="AS189" s="193"/>
      <c r="AT189" s="193"/>
      <c r="AU189" s="33"/>
      <c r="AV189" s="33"/>
      <c r="AW189" s="33"/>
      <c r="AX189" s="33"/>
      <c r="AY189" s="76"/>
    </row>
    <row r="190" spans="3:51">
      <c r="C190" s="165" t="s">
        <v>65</v>
      </c>
      <c r="D190" s="4">
        <v>0.37</v>
      </c>
      <c r="E190" s="187" t="s">
        <v>228</v>
      </c>
      <c r="F190" s="342">
        <f>IF(OR(Tableau145[[#This Row],[Type]]="Feuillus",Tableau145[[#This Row],[Type]]="Peupliers"),1.56,1.3)</f>
        <v>1.56</v>
      </c>
      <c r="I190" s="55">
        <v>185</v>
      </c>
      <c r="J190" s="33">
        <f t="shared" si="78"/>
        <v>0</v>
      </c>
      <c r="K190" s="33">
        <f t="shared" si="79"/>
        <v>0</v>
      </c>
      <c r="L190" s="33">
        <f t="shared" si="80"/>
        <v>0</v>
      </c>
      <c r="M190" s="33">
        <f t="shared" si="81"/>
        <v>0</v>
      </c>
      <c r="N190" s="33">
        <f t="shared" si="67"/>
        <v>0</v>
      </c>
      <c r="O190" s="34">
        <f t="shared" si="68"/>
        <v>0</v>
      </c>
      <c r="P190" s="55">
        <v>185</v>
      </c>
      <c r="Q190" s="33">
        <f t="shared" si="76"/>
        <v>0</v>
      </c>
      <c r="R190" s="33">
        <f t="shared" si="82"/>
        <v>0</v>
      </c>
      <c r="S190" s="33">
        <f t="shared" si="83"/>
        <v>0</v>
      </c>
      <c r="T190" s="33">
        <f t="shared" si="69"/>
        <v>0</v>
      </c>
      <c r="U190" s="33">
        <f t="shared" si="77"/>
        <v>0</v>
      </c>
      <c r="V190" s="33">
        <f t="shared" si="70"/>
        <v>0</v>
      </c>
      <c r="W190" s="33">
        <v>0</v>
      </c>
      <c r="X190" s="33">
        <f t="shared" si="71"/>
        <v>0</v>
      </c>
      <c r="Y190" s="38">
        <f t="shared" si="72"/>
        <v>0</v>
      </c>
      <c r="AA190" s="71">
        <v>185</v>
      </c>
      <c r="AB190" s="33">
        <f t="shared" si="73"/>
        <v>0</v>
      </c>
      <c r="AC190" s="304">
        <f t="shared" si="88"/>
        <v>0</v>
      </c>
      <c r="AD190" s="100">
        <f t="shared" si="74"/>
        <v>0</v>
      </c>
      <c r="AE190" s="100">
        <f t="shared" si="75"/>
        <v>0</v>
      </c>
      <c r="AF190" s="193">
        <f t="shared" si="84"/>
        <v>0</v>
      </c>
      <c r="AG190" s="193">
        <f t="shared" si="85"/>
        <v>0</v>
      </c>
      <c r="AH190" s="193">
        <f t="shared" si="86"/>
        <v>0</v>
      </c>
      <c r="AI190" s="198">
        <f t="shared" si="87"/>
        <v>0</v>
      </c>
      <c r="AK190" s="71">
        <v>185</v>
      </c>
      <c r="AL190" s="33"/>
      <c r="AM190" s="33"/>
      <c r="AN190" s="33"/>
      <c r="AO190" s="33"/>
      <c r="AP190" s="33"/>
      <c r="AQ190" s="193"/>
      <c r="AR190" s="193"/>
      <c r="AS190" s="193"/>
      <c r="AT190" s="193"/>
      <c r="AU190" s="33"/>
      <c r="AV190" s="33"/>
      <c r="AW190" s="33"/>
      <c r="AX190" s="33"/>
      <c r="AY190" s="76"/>
    </row>
    <row r="191" spans="3:51">
      <c r="C191" s="165" t="s">
        <v>66</v>
      </c>
      <c r="D191" s="4">
        <v>0.53</v>
      </c>
      <c r="E191" s="187" t="s">
        <v>228</v>
      </c>
      <c r="F191" s="342">
        <f>IF(OR(Tableau145[[#This Row],[Type]]="Feuillus",Tableau145[[#This Row],[Type]]="Peupliers"),1.56,1.3)</f>
        <v>1.56</v>
      </c>
      <c r="I191" s="55">
        <v>186</v>
      </c>
      <c r="J191" s="33">
        <f t="shared" si="78"/>
        <v>0</v>
      </c>
      <c r="K191" s="33">
        <f t="shared" si="79"/>
        <v>0</v>
      </c>
      <c r="L191" s="33">
        <f t="shared" si="80"/>
        <v>0</v>
      </c>
      <c r="M191" s="33">
        <f t="shared" si="81"/>
        <v>0</v>
      </c>
      <c r="N191" s="33">
        <f t="shared" si="67"/>
        <v>0</v>
      </c>
      <c r="O191" s="34">
        <f t="shared" si="68"/>
        <v>0</v>
      </c>
      <c r="P191" s="55">
        <v>186</v>
      </c>
      <c r="Q191" s="33">
        <f t="shared" si="76"/>
        <v>0</v>
      </c>
      <c r="R191" s="33">
        <f t="shared" si="82"/>
        <v>0</v>
      </c>
      <c r="S191" s="33">
        <f t="shared" si="83"/>
        <v>0</v>
      </c>
      <c r="T191" s="33">
        <f t="shared" si="69"/>
        <v>0</v>
      </c>
      <c r="U191" s="33">
        <f t="shared" si="77"/>
        <v>0</v>
      </c>
      <c r="V191" s="33">
        <f t="shared" si="70"/>
        <v>0</v>
      </c>
      <c r="W191" s="33">
        <v>0</v>
      </c>
      <c r="X191" s="33">
        <f t="shared" si="71"/>
        <v>0</v>
      </c>
      <c r="Y191" s="38">
        <f t="shared" si="72"/>
        <v>0</v>
      </c>
      <c r="AA191" s="71">
        <v>186</v>
      </c>
      <c r="AB191" s="33">
        <f t="shared" si="73"/>
        <v>0</v>
      </c>
      <c r="AC191" s="304">
        <f t="shared" si="88"/>
        <v>0</v>
      </c>
      <c r="AD191" s="100">
        <f t="shared" si="74"/>
        <v>0</v>
      </c>
      <c r="AE191" s="100">
        <f t="shared" si="75"/>
        <v>0</v>
      </c>
      <c r="AF191" s="193">
        <f t="shared" si="84"/>
        <v>0</v>
      </c>
      <c r="AG191" s="193">
        <f t="shared" si="85"/>
        <v>0</v>
      </c>
      <c r="AH191" s="193">
        <f t="shared" si="86"/>
        <v>0</v>
      </c>
      <c r="AI191" s="198">
        <f t="shared" si="87"/>
        <v>0</v>
      </c>
      <c r="AK191" s="71">
        <v>186</v>
      </c>
      <c r="AL191" s="33"/>
      <c r="AM191" s="33"/>
      <c r="AN191" s="33"/>
      <c r="AO191" s="33"/>
      <c r="AP191" s="33"/>
      <c r="AQ191" s="193"/>
      <c r="AR191" s="193"/>
      <c r="AS191" s="193"/>
      <c r="AT191" s="193"/>
      <c r="AU191" s="33"/>
      <c r="AV191" s="33"/>
      <c r="AW191" s="33"/>
      <c r="AX191" s="33"/>
      <c r="AY191" s="76"/>
    </row>
    <row r="192" spans="3:51">
      <c r="C192" s="165" t="s">
        <v>67</v>
      </c>
      <c r="D192" s="4">
        <v>0.43</v>
      </c>
      <c r="E192" s="187" t="s">
        <v>228</v>
      </c>
      <c r="F192" s="342">
        <f>IF(OR(Tableau145[[#This Row],[Type]]="Feuillus",Tableau145[[#This Row],[Type]]="Peupliers"),1.56,1.3)</f>
        <v>1.56</v>
      </c>
      <c r="I192" s="55">
        <v>187</v>
      </c>
      <c r="J192" s="33">
        <f t="shared" si="78"/>
        <v>0</v>
      </c>
      <c r="K192" s="33">
        <f t="shared" si="79"/>
        <v>0</v>
      </c>
      <c r="L192" s="33">
        <f t="shared" si="80"/>
        <v>0</v>
      </c>
      <c r="M192" s="33">
        <f t="shared" si="81"/>
        <v>0</v>
      </c>
      <c r="N192" s="33">
        <f t="shared" si="67"/>
        <v>0</v>
      </c>
      <c r="O192" s="34">
        <f t="shared" si="68"/>
        <v>0</v>
      </c>
      <c r="P192" s="55">
        <v>187</v>
      </c>
      <c r="Q192" s="33">
        <f t="shared" si="76"/>
        <v>0</v>
      </c>
      <c r="R192" s="33">
        <f t="shared" si="82"/>
        <v>0</v>
      </c>
      <c r="S192" s="33">
        <f t="shared" si="83"/>
        <v>0</v>
      </c>
      <c r="T192" s="33">
        <f t="shared" si="69"/>
        <v>0</v>
      </c>
      <c r="U192" s="33">
        <f t="shared" si="77"/>
        <v>0</v>
      </c>
      <c r="V192" s="33">
        <f t="shared" si="70"/>
        <v>0</v>
      </c>
      <c r="W192" s="33">
        <v>0</v>
      </c>
      <c r="X192" s="33">
        <f t="shared" si="71"/>
        <v>0</v>
      </c>
      <c r="Y192" s="38">
        <f t="shared" si="72"/>
        <v>0</v>
      </c>
      <c r="AA192" s="71">
        <v>187</v>
      </c>
      <c r="AB192" s="33">
        <f t="shared" si="73"/>
        <v>0</v>
      </c>
      <c r="AC192" s="304">
        <f t="shared" si="88"/>
        <v>0</v>
      </c>
      <c r="AD192" s="100">
        <f t="shared" si="74"/>
        <v>0</v>
      </c>
      <c r="AE192" s="100">
        <f t="shared" si="75"/>
        <v>0</v>
      </c>
      <c r="AF192" s="193">
        <f t="shared" si="84"/>
        <v>0</v>
      </c>
      <c r="AG192" s="193">
        <f t="shared" si="85"/>
        <v>0</v>
      </c>
      <c r="AH192" s="193">
        <f t="shared" si="86"/>
        <v>0</v>
      </c>
      <c r="AI192" s="198">
        <f t="shared" si="87"/>
        <v>0</v>
      </c>
      <c r="AK192" s="71">
        <v>187</v>
      </c>
      <c r="AL192" s="33"/>
      <c r="AM192" s="33"/>
      <c r="AN192" s="33"/>
      <c r="AO192" s="33"/>
      <c r="AP192" s="33"/>
      <c r="AQ192" s="193"/>
      <c r="AR192" s="193"/>
      <c r="AS192" s="193"/>
      <c r="AT192" s="193"/>
      <c r="AU192" s="33"/>
      <c r="AV192" s="33"/>
      <c r="AW192" s="33"/>
      <c r="AX192" s="33"/>
      <c r="AY192" s="76"/>
    </row>
    <row r="193" spans="3:51">
      <c r="C193" s="165" t="s">
        <v>68</v>
      </c>
      <c r="D193" s="4">
        <v>0.38</v>
      </c>
      <c r="E193" s="187" t="s">
        <v>228</v>
      </c>
      <c r="F193" s="342">
        <f>IF(OR(Tableau145[[#This Row],[Type]]="Feuillus",Tableau145[[#This Row],[Type]]="Peupliers"),1.56,1.3)</f>
        <v>1.56</v>
      </c>
      <c r="I193" s="55">
        <v>188</v>
      </c>
      <c r="J193" s="33">
        <f t="shared" si="78"/>
        <v>0</v>
      </c>
      <c r="K193" s="33">
        <f t="shared" si="79"/>
        <v>0</v>
      </c>
      <c r="L193" s="33">
        <f t="shared" si="80"/>
        <v>0</v>
      </c>
      <c r="M193" s="33">
        <f t="shared" si="81"/>
        <v>0</v>
      </c>
      <c r="N193" s="33">
        <f t="shared" si="67"/>
        <v>0</v>
      </c>
      <c r="O193" s="34">
        <f t="shared" si="68"/>
        <v>0</v>
      </c>
      <c r="P193" s="55">
        <v>188</v>
      </c>
      <c r="Q193" s="33">
        <f t="shared" si="76"/>
        <v>0</v>
      </c>
      <c r="R193" s="33">
        <f t="shared" si="82"/>
        <v>0</v>
      </c>
      <c r="S193" s="33">
        <f t="shared" si="83"/>
        <v>0</v>
      </c>
      <c r="T193" s="33">
        <f t="shared" si="69"/>
        <v>0</v>
      </c>
      <c r="U193" s="33">
        <f t="shared" si="77"/>
        <v>0</v>
      </c>
      <c r="V193" s="33">
        <f t="shared" si="70"/>
        <v>0</v>
      </c>
      <c r="W193" s="33">
        <v>0</v>
      </c>
      <c r="X193" s="33">
        <f t="shared" si="71"/>
        <v>0</v>
      </c>
      <c r="Y193" s="38">
        <f t="shared" si="72"/>
        <v>0</v>
      </c>
      <c r="AA193" s="71">
        <v>188</v>
      </c>
      <c r="AB193" s="33">
        <f t="shared" si="73"/>
        <v>0</v>
      </c>
      <c r="AC193" s="304">
        <f t="shared" si="88"/>
        <v>0</v>
      </c>
      <c r="AD193" s="100">
        <f t="shared" si="74"/>
        <v>0</v>
      </c>
      <c r="AE193" s="100">
        <f t="shared" si="75"/>
        <v>0</v>
      </c>
      <c r="AF193" s="193">
        <f t="shared" si="84"/>
        <v>0</v>
      </c>
      <c r="AG193" s="193">
        <f t="shared" si="85"/>
        <v>0</v>
      </c>
      <c r="AH193" s="193">
        <f t="shared" si="86"/>
        <v>0</v>
      </c>
      <c r="AI193" s="198">
        <f t="shared" si="87"/>
        <v>0</v>
      </c>
      <c r="AK193" s="71">
        <v>188</v>
      </c>
      <c r="AL193" s="33"/>
      <c r="AM193" s="33"/>
      <c r="AN193" s="33"/>
      <c r="AO193" s="33"/>
      <c r="AP193" s="33"/>
      <c r="AQ193" s="193"/>
      <c r="AR193" s="193"/>
      <c r="AS193" s="193"/>
      <c r="AT193" s="193"/>
      <c r="AU193" s="33"/>
      <c r="AV193" s="33"/>
      <c r="AW193" s="33"/>
      <c r="AX193" s="33"/>
      <c r="AY193" s="76"/>
    </row>
    <row r="194" spans="3:51">
      <c r="C194" s="167" t="s">
        <v>69</v>
      </c>
      <c r="D194" s="3">
        <v>0.42</v>
      </c>
      <c r="E194" s="187" t="s">
        <v>229</v>
      </c>
      <c r="F194" s="342">
        <f>IF(OR(Tableau145[[#This Row],[Type]]="Feuillus",Tableau145[[#This Row],[Type]]="Peupliers"),1.56,1.3)</f>
        <v>1.3</v>
      </c>
      <c r="I194" s="55">
        <v>189</v>
      </c>
      <c r="J194" s="33">
        <f t="shared" si="78"/>
        <v>0</v>
      </c>
      <c r="K194" s="33">
        <f t="shared" si="79"/>
        <v>0</v>
      </c>
      <c r="L194" s="33">
        <f t="shared" si="80"/>
        <v>0</v>
      </c>
      <c r="M194" s="33">
        <f t="shared" si="81"/>
        <v>0</v>
      </c>
      <c r="N194" s="33">
        <f t="shared" si="67"/>
        <v>0</v>
      </c>
      <c r="O194" s="34">
        <f t="shared" si="68"/>
        <v>0</v>
      </c>
      <c r="P194" s="55">
        <v>189</v>
      </c>
      <c r="Q194" s="33">
        <f t="shared" si="76"/>
        <v>0</v>
      </c>
      <c r="R194" s="33">
        <f t="shared" si="82"/>
        <v>0</v>
      </c>
      <c r="S194" s="33">
        <f t="shared" si="83"/>
        <v>0</v>
      </c>
      <c r="T194" s="33">
        <f t="shared" si="69"/>
        <v>0</v>
      </c>
      <c r="U194" s="33">
        <f t="shared" si="77"/>
        <v>0</v>
      </c>
      <c r="V194" s="33">
        <f t="shared" si="70"/>
        <v>0</v>
      </c>
      <c r="W194" s="33">
        <v>0</v>
      </c>
      <c r="X194" s="33">
        <f t="shared" si="71"/>
        <v>0</v>
      </c>
      <c r="Y194" s="38">
        <f t="shared" si="72"/>
        <v>0</v>
      </c>
      <c r="AA194" s="71">
        <v>189</v>
      </c>
      <c r="AB194" s="33">
        <f t="shared" si="73"/>
        <v>0</v>
      </c>
      <c r="AC194" s="304">
        <f t="shared" si="88"/>
        <v>0</v>
      </c>
      <c r="AD194" s="100">
        <f t="shared" si="74"/>
        <v>0</v>
      </c>
      <c r="AE194" s="100">
        <f t="shared" si="75"/>
        <v>0</v>
      </c>
      <c r="AF194" s="193">
        <f t="shared" si="84"/>
        <v>0</v>
      </c>
      <c r="AG194" s="193">
        <f t="shared" si="85"/>
        <v>0</v>
      </c>
      <c r="AH194" s="193">
        <f t="shared" si="86"/>
        <v>0</v>
      </c>
      <c r="AI194" s="198">
        <f t="shared" si="87"/>
        <v>0</v>
      </c>
      <c r="AK194" s="71">
        <v>189</v>
      </c>
      <c r="AL194" s="33"/>
      <c r="AM194" s="33"/>
      <c r="AN194" s="33"/>
      <c r="AO194" s="33"/>
      <c r="AP194" s="33"/>
      <c r="AQ194" s="193"/>
      <c r="AR194" s="193"/>
      <c r="AS194" s="193"/>
      <c r="AT194" s="193"/>
      <c r="AU194" s="33"/>
      <c r="AV194" s="33"/>
      <c r="AW194" s="33"/>
      <c r="AX194" s="33"/>
      <c r="AY194" s="76"/>
    </row>
    <row r="195" spans="3:51">
      <c r="C195" s="167" t="s">
        <v>70</v>
      </c>
      <c r="D195" s="3">
        <v>0.56999999999999995</v>
      </c>
      <c r="E195" s="187" t="s">
        <v>228</v>
      </c>
      <c r="F195" s="342">
        <f>IF(OR(Tableau145[[#This Row],[Type]]="Feuillus",Tableau145[[#This Row],[Type]]="Peupliers"),1.56,1.3)</f>
        <v>1.56</v>
      </c>
      <c r="I195" s="55">
        <v>190</v>
      </c>
      <c r="J195" s="33">
        <f t="shared" si="78"/>
        <v>0</v>
      </c>
      <c r="K195" s="33">
        <f t="shared" si="79"/>
        <v>0</v>
      </c>
      <c r="L195" s="33">
        <f t="shared" si="80"/>
        <v>0</v>
      </c>
      <c r="M195" s="33">
        <f t="shared" si="81"/>
        <v>0</v>
      </c>
      <c r="N195" s="33">
        <f t="shared" si="67"/>
        <v>0</v>
      </c>
      <c r="O195" s="34">
        <f t="shared" si="68"/>
        <v>0</v>
      </c>
      <c r="P195" s="55">
        <v>190</v>
      </c>
      <c r="Q195" s="33">
        <f t="shared" si="76"/>
        <v>0</v>
      </c>
      <c r="R195" s="33">
        <f t="shared" si="82"/>
        <v>0</v>
      </c>
      <c r="S195" s="33">
        <f t="shared" si="83"/>
        <v>0</v>
      </c>
      <c r="T195" s="33">
        <f t="shared" si="69"/>
        <v>0</v>
      </c>
      <c r="U195" s="33">
        <f t="shared" si="77"/>
        <v>0</v>
      </c>
      <c r="V195" s="33">
        <f t="shared" si="70"/>
        <v>0</v>
      </c>
      <c r="W195" s="33">
        <v>0</v>
      </c>
      <c r="X195" s="33">
        <f t="shared" si="71"/>
        <v>0</v>
      </c>
      <c r="Y195" s="38">
        <f t="shared" si="72"/>
        <v>0</v>
      </c>
      <c r="AA195" s="71">
        <v>190</v>
      </c>
      <c r="AB195" s="33">
        <f t="shared" si="73"/>
        <v>0</v>
      </c>
      <c r="AC195" s="304">
        <f t="shared" si="88"/>
        <v>0</v>
      </c>
      <c r="AD195" s="100">
        <f t="shared" si="74"/>
        <v>0</v>
      </c>
      <c r="AE195" s="100">
        <f t="shared" si="75"/>
        <v>0</v>
      </c>
      <c r="AF195" s="193">
        <f t="shared" si="84"/>
        <v>0</v>
      </c>
      <c r="AG195" s="193">
        <f t="shared" si="85"/>
        <v>0</v>
      </c>
      <c r="AH195" s="193">
        <f t="shared" si="86"/>
        <v>0</v>
      </c>
      <c r="AI195" s="198">
        <f t="shared" si="87"/>
        <v>0</v>
      </c>
      <c r="AK195" s="71">
        <v>190</v>
      </c>
      <c r="AL195" s="33"/>
      <c r="AM195" s="33"/>
      <c r="AN195" s="33"/>
      <c r="AO195" s="33"/>
      <c r="AP195" s="33"/>
      <c r="AQ195" s="193"/>
      <c r="AR195" s="193"/>
      <c r="AS195" s="193"/>
      <c r="AT195" s="193"/>
      <c r="AU195" s="33"/>
      <c r="AV195" s="33"/>
      <c r="AW195" s="33"/>
      <c r="AX195" s="33"/>
      <c r="AY195" s="76"/>
    </row>
    <row r="196" spans="3:51">
      <c r="C196" s="167" t="s">
        <v>71</v>
      </c>
      <c r="D196" s="3">
        <v>0.54</v>
      </c>
      <c r="E196" s="187"/>
      <c r="F196" s="342">
        <f>IF(OR(Tableau145[[#This Row],[Type]]="Feuillus",Tableau145[[#This Row],[Type]]="Peupliers"),1.56,1.3)</f>
        <v>1.3</v>
      </c>
      <c r="I196" s="55">
        <v>191</v>
      </c>
      <c r="J196" s="33">
        <f t="shared" si="78"/>
        <v>0</v>
      </c>
      <c r="K196" s="33">
        <f t="shared" si="79"/>
        <v>0</v>
      </c>
      <c r="L196" s="33">
        <f t="shared" si="80"/>
        <v>0</v>
      </c>
      <c r="M196" s="33">
        <f t="shared" si="81"/>
        <v>0</v>
      </c>
      <c r="N196" s="33">
        <f t="shared" si="67"/>
        <v>0</v>
      </c>
      <c r="O196" s="34">
        <f t="shared" si="68"/>
        <v>0</v>
      </c>
      <c r="P196" s="55">
        <v>191</v>
      </c>
      <c r="Q196" s="33">
        <f t="shared" si="76"/>
        <v>0</v>
      </c>
      <c r="R196" s="33">
        <f t="shared" si="82"/>
        <v>0</v>
      </c>
      <c r="S196" s="33">
        <f t="shared" si="83"/>
        <v>0</v>
      </c>
      <c r="T196" s="33">
        <f t="shared" si="69"/>
        <v>0</v>
      </c>
      <c r="U196" s="33">
        <f t="shared" si="77"/>
        <v>0</v>
      </c>
      <c r="V196" s="33">
        <f t="shared" si="70"/>
        <v>0</v>
      </c>
      <c r="W196" s="33">
        <v>0</v>
      </c>
      <c r="X196" s="33">
        <f t="shared" si="71"/>
        <v>0</v>
      </c>
      <c r="Y196" s="38">
        <f t="shared" si="72"/>
        <v>0</v>
      </c>
      <c r="AA196" s="71">
        <v>191</v>
      </c>
      <c r="AB196" s="33">
        <f t="shared" si="73"/>
        <v>0</v>
      </c>
      <c r="AC196" s="304">
        <f t="shared" si="88"/>
        <v>0</v>
      </c>
      <c r="AD196" s="100">
        <f t="shared" si="74"/>
        <v>0</v>
      </c>
      <c r="AE196" s="100">
        <f t="shared" si="75"/>
        <v>0</v>
      </c>
      <c r="AF196" s="193">
        <f t="shared" si="84"/>
        <v>0</v>
      </c>
      <c r="AG196" s="193">
        <f t="shared" si="85"/>
        <v>0</v>
      </c>
      <c r="AH196" s="193">
        <f t="shared" si="86"/>
        <v>0</v>
      </c>
      <c r="AI196" s="198">
        <f t="shared" si="87"/>
        <v>0</v>
      </c>
      <c r="AK196" s="71">
        <v>191</v>
      </c>
      <c r="AL196" s="33"/>
      <c r="AM196" s="33"/>
      <c r="AN196" s="33"/>
      <c r="AO196" s="33"/>
      <c r="AP196" s="33"/>
      <c r="AQ196" s="193"/>
      <c r="AR196" s="193"/>
      <c r="AS196" s="193"/>
      <c r="AT196" s="193"/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78"/>
        <v>0</v>
      </c>
      <c r="K197" s="33">
        <f t="shared" si="79"/>
        <v>0</v>
      </c>
      <c r="L197" s="33">
        <f t="shared" si="80"/>
        <v>0</v>
      </c>
      <c r="M197" s="33">
        <f t="shared" si="81"/>
        <v>0</v>
      </c>
      <c r="N197" s="33">
        <f t="shared" ref="N197:N204" si="89">IF(P198&lt;=$F$18,0,)</f>
        <v>0</v>
      </c>
      <c r="O197" s="34">
        <f t="shared" ref="O197:O205" si="90">((J197+K197)*0.475+L197+M197+N197)*44/12</f>
        <v>0</v>
      </c>
      <c r="P197" s="55">
        <v>192</v>
      </c>
      <c r="Q197" s="33">
        <f t="shared" si="76"/>
        <v>0</v>
      </c>
      <c r="R197" s="33">
        <f t="shared" si="82"/>
        <v>0</v>
      </c>
      <c r="S197" s="33">
        <f t="shared" si="83"/>
        <v>0</v>
      </c>
      <c r="T197" s="33">
        <f t="shared" ref="T197:T205" si="91">IF(S197=0,0,EXP(-1.0587+0.8836*LN(S197)+0.284))</f>
        <v>0</v>
      </c>
      <c r="U197" s="33">
        <f t="shared" si="77"/>
        <v>0</v>
      </c>
      <c r="V197" s="33">
        <f t="shared" ref="V197:V205" si="92">IF(P197&lt;=$F$18,IF(P197&lt;=30,P197*($F$16-$F$6)/30,$F$16-$F$6),)</f>
        <v>0</v>
      </c>
      <c r="W197" s="33">
        <v>0</v>
      </c>
      <c r="X197" s="33">
        <f t="shared" ref="X197:X205" si="93">((S197+T197)*0.475+U197+V197+W197)*44/12</f>
        <v>0</v>
      </c>
      <c r="Y197" s="38">
        <f t="shared" ref="Y197:Y205" si="94">IF(P197&lt;=$F$18,X197-O197,)</f>
        <v>0</v>
      </c>
      <c r="AA197" s="71">
        <v>192</v>
      </c>
      <c r="AB197" s="33">
        <f t="shared" ref="AB197:AB205" si="95">IF(AA197&lt;=$F$18,IFERROR(VLOOKUP($AA197,$B$82:$G$94,2,FALSE),0),)</f>
        <v>0</v>
      </c>
      <c r="AC197" s="304">
        <f t="shared" si="88"/>
        <v>0</v>
      </c>
      <c r="AD197" s="100">
        <f t="shared" ref="AD197:AD205" si="96">IF(AA197&lt;=$F$18,IFERROR(VLOOKUP($AA197,$B$82:$G$94,4,FALSE),0),)</f>
        <v>0</v>
      </c>
      <c r="AE197" s="100">
        <f t="shared" ref="AE197:AE205" si="97">IF(AA197&lt;=$F$18,IFERROR(VLOOKUP($AA197,$B$82:$G$94,5,FALSE),0),)</f>
        <v>0</v>
      </c>
      <c r="AF197" s="193">
        <f t="shared" si="84"/>
        <v>0</v>
      </c>
      <c r="AG197" s="193">
        <f t="shared" si="85"/>
        <v>0</v>
      </c>
      <c r="AH197" s="193">
        <f t="shared" si="86"/>
        <v>0</v>
      </c>
      <c r="AI197" s="198">
        <f t="shared" si="87"/>
        <v>0</v>
      </c>
      <c r="AK197" s="71">
        <v>192</v>
      </c>
      <c r="AL197" s="33"/>
      <c r="AM197" s="33"/>
      <c r="AN197" s="33"/>
      <c r="AO197" s="33"/>
      <c r="AP197" s="33"/>
      <c r="AQ197" s="193"/>
      <c r="AR197" s="193"/>
      <c r="AS197" s="193"/>
      <c r="AT197" s="193"/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78"/>
        <v>0</v>
      </c>
      <c r="K198" s="33">
        <f t="shared" si="79"/>
        <v>0</v>
      </c>
      <c r="L198" s="33">
        <f t="shared" si="80"/>
        <v>0</v>
      </c>
      <c r="M198" s="33">
        <f t="shared" si="81"/>
        <v>0</v>
      </c>
      <c r="N198" s="33">
        <f t="shared" si="89"/>
        <v>0</v>
      </c>
      <c r="O198" s="34">
        <f t="shared" si="90"/>
        <v>0</v>
      </c>
      <c r="P198" s="55">
        <v>193</v>
      </c>
      <c r="Q198" s="33">
        <f t="shared" ref="Q198:Q205" si="98">IF(P198&lt;=$F$18,LOOKUP(P198-1,$B$25:$B$78,$G$25:$G$78),)</f>
        <v>0</v>
      </c>
      <c r="R198" s="33">
        <f t="shared" si="82"/>
        <v>0</v>
      </c>
      <c r="S198" s="33">
        <f t="shared" si="83"/>
        <v>0</v>
      </c>
      <c r="T198" s="33">
        <f t="shared" si="91"/>
        <v>0</v>
      </c>
      <c r="U198" s="33">
        <f t="shared" ref="U198:U205" si="99">IF(P198&lt;=$F$18,$F$5+($F$15-$F$5)*(1-EXP(-0.0175*P198)),)</f>
        <v>0</v>
      </c>
      <c r="V198" s="33">
        <f t="shared" si="92"/>
        <v>0</v>
      </c>
      <c r="W198" s="33">
        <v>0</v>
      </c>
      <c r="X198" s="33">
        <f t="shared" si="93"/>
        <v>0</v>
      </c>
      <c r="Y198" s="38">
        <f t="shared" si="94"/>
        <v>0</v>
      </c>
      <c r="AA198" s="71">
        <v>193</v>
      </c>
      <c r="AB198" s="33">
        <f t="shared" si="95"/>
        <v>0</v>
      </c>
      <c r="AC198" s="304">
        <f t="shared" si="88"/>
        <v>0</v>
      </c>
      <c r="AD198" s="100">
        <f t="shared" si="96"/>
        <v>0</v>
      </c>
      <c r="AE198" s="100">
        <f t="shared" si="97"/>
        <v>0</v>
      </c>
      <c r="AF198" s="193">
        <f t="shared" si="84"/>
        <v>0</v>
      </c>
      <c r="AG198" s="193">
        <f t="shared" si="85"/>
        <v>0</v>
      </c>
      <c r="AH198" s="193">
        <f t="shared" si="86"/>
        <v>0</v>
      </c>
      <c r="AI198" s="198">
        <f t="shared" si="87"/>
        <v>0</v>
      </c>
      <c r="AK198" s="71">
        <v>193</v>
      </c>
      <c r="AL198" s="33"/>
      <c r="AM198" s="33"/>
      <c r="AN198" s="33"/>
      <c r="AO198" s="33"/>
      <c r="AP198" s="33"/>
      <c r="AQ198" s="193"/>
      <c r="AR198" s="193"/>
      <c r="AS198" s="193"/>
      <c r="AT198" s="193"/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100">IF($I199&lt;=$F$10,$F$11*$F$13+J198,)</f>
        <v>0</v>
      </c>
      <c r="K199" s="33">
        <f t="shared" ref="K199:K205" si="101">IF(J199=0,0,EXP(-1.0587+0.8836*LN(J199)+0.284))</f>
        <v>0</v>
      </c>
      <c r="L199" s="33">
        <f t="shared" ref="L199:L205" si="102">IF(I199&lt;=$F$10,$F$5+($F$8-$F$5)*(1-EXP(-0.0175*I199)),)</f>
        <v>0</v>
      </c>
      <c r="M199" s="33">
        <f t="shared" ref="M199:M205" si="103">IF(I199&lt;=$F$10,IF(I199&lt;=30,I199*($F$9-$F$6)/30,$F$9-$F$6),)</f>
        <v>0</v>
      </c>
      <c r="N199" s="33">
        <f t="shared" si="89"/>
        <v>0</v>
      </c>
      <c r="O199" s="34">
        <f t="shared" si="90"/>
        <v>0</v>
      </c>
      <c r="P199" s="55">
        <v>194</v>
      </c>
      <c r="Q199" s="33">
        <f t="shared" si="98"/>
        <v>0</v>
      </c>
      <c r="R199" s="33">
        <f t="shared" ref="R199:R205" si="104">IF(P199&lt;=$F$18,Q199+R198,)</f>
        <v>0</v>
      </c>
      <c r="S199" s="33">
        <f t="shared" ref="S199:S205" si="105">$F$19*R199</f>
        <v>0</v>
      </c>
      <c r="T199" s="33">
        <f t="shared" si="91"/>
        <v>0</v>
      </c>
      <c r="U199" s="33">
        <f t="shared" si="99"/>
        <v>0</v>
      </c>
      <c r="V199" s="33">
        <f t="shared" si="92"/>
        <v>0</v>
      </c>
      <c r="W199" s="33">
        <v>0</v>
      </c>
      <c r="X199" s="33">
        <f t="shared" si="93"/>
        <v>0</v>
      </c>
      <c r="Y199" s="38">
        <f t="shared" si="94"/>
        <v>0</v>
      </c>
      <c r="AA199" s="71">
        <v>194</v>
      </c>
      <c r="AB199" s="33">
        <f t="shared" si="95"/>
        <v>0</v>
      </c>
      <c r="AC199" s="304">
        <f t="shared" si="88"/>
        <v>0</v>
      </c>
      <c r="AD199" s="100">
        <f t="shared" si="96"/>
        <v>0</v>
      </c>
      <c r="AE199" s="100">
        <f t="shared" si="97"/>
        <v>0</v>
      </c>
      <c r="AF199" s="193">
        <f t="shared" si="84"/>
        <v>0</v>
      </c>
      <c r="AG199" s="193">
        <f t="shared" si="85"/>
        <v>0</v>
      </c>
      <c r="AH199" s="193">
        <f t="shared" si="86"/>
        <v>0</v>
      </c>
      <c r="AI199" s="198">
        <f t="shared" si="87"/>
        <v>0</v>
      </c>
      <c r="AK199" s="71">
        <v>194</v>
      </c>
      <c r="AL199" s="33"/>
      <c r="AM199" s="33"/>
      <c r="AN199" s="33"/>
      <c r="AO199" s="33"/>
      <c r="AP199" s="33"/>
      <c r="AQ199" s="193"/>
      <c r="AR199" s="193"/>
      <c r="AS199" s="193"/>
      <c r="AT199" s="193"/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100"/>
        <v>0</v>
      </c>
      <c r="K200" s="33">
        <f t="shared" si="101"/>
        <v>0</v>
      </c>
      <c r="L200" s="33">
        <f t="shared" si="102"/>
        <v>0</v>
      </c>
      <c r="M200" s="33">
        <f t="shared" si="103"/>
        <v>0</v>
      </c>
      <c r="N200" s="33">
        <f t="shared" si="89"/>
        <v>0</v>
      </c>
      <c r="O200" s="34">
        <f t="shared" si="90"/>
        <v>0</v>
      </c>
      <c r="P200" s="55">
        <v>195</v>
      </c>
      <c r="Q200" s="33">
        <f t="shared" si="98"/>
        <v>0</v>
      </c>
      <c r="R200" s="33">
        <f t="shared" si="104"/>
        <v>0</v>
      </c>
      <c r="S200" s="33">
        <f t="shared" si="105"/>
        <v>0</v>
      </c>
      <c r="T200" s="33">
        <f t="shared" si="91"/>
        <v>0</v>
      </c>
      <c r="U200" s="33">
        <f t="shared" si="99"/>
        <v>0</v>
      </c>
      <c r="V200" s="33">
        <f t="shared" si="92"/>
        <v>0</v>
      </c>
      <c r="W200" s="33">
        <v>0</v>
      </c>
      <c r="X200" s="33">
        <f t="shared" si="93"/>
        <v>0</v>
      </c>
      <c r="Y200" s="38">
        <f t="shared" si="94"/>
        <v>0</v>
      </c>
      <c r="AA200" s="71">
        <v>195</v>
      </c>
      <c r="AB200" s="33">
        <f t="shared" si="95"/>
        <v>0</v>
      </c>
      <c r="AC200" s="304">
        <f t="shared" si="88"/>
        <v>0</v>
      </c>
      <c r="AD200" s="100">
        <f t="shared" si="96"/>
        <v>0</v>
      </c>
      <c r="AE200" s="100">
        <f t="shared" si="97"/>
        <v>0</v>
      </c>
      <c r="AF200" s="193">
        <f t="shared" si="84"/>
        <v>0</v>
      </c>
      <c r="AG200" s="193">
        <f t="shared" si="85"/>
        <v>0</v>
      </c>
      <c r="AH200" s="193">
        <f t="shared" si="86"/>
        <v>0</v>
      </c>
      <c r="AI200" s="198">
        <f t="shared" si="87"/>
        <v>0</v>
      </c>
      <c r="AK200" s="71">
        <v>195</v>
      </c>
      <c r="AL200" s="33"/>
      <c r="AM200" s="33"/>
      <c r="AN200" s="33"/>
      <c r="AO200" s="33"/>
      <c r="AP200" s="33"/>
      <c r="AQ200" s="193"/>
      <c r="AR200" s="193"/>
      <c r="AS200" s="193"/>
      <c r="AT200" s="193"/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100"/>
        <v>0</v>
      </c>
      <c r="K201" s="33">
        <f t="shared" si="101"/>
        <v>0</v>
      </c>
      <c r="L201" s="33">
        <f t="shared" si="102"/>
        <v>0</v>
      </c>
      <c r="M201" s="33">
        <f t="shared" si="103"/>
        <v>0</v>
      </c>
      <c r="N201" s="33">
        <f t="shared" si="89"/>
        <v>0</v>
      </c>
      <c r="O201" s="34">
        <f t="shared" si="90"/>
        <v>0</v>
      </c>
      <c r="P201" s="55">
        <v>196</v>
      </c>
      <c r="Q201" s="33">
        <f t="shared" si="98"/>
        <v>0</v>
      </c>
      <c r="R201" s="33">
        <f t="shared" si="104"/>
        <v>0</v>
      </c>
      <c r="S201" s="33">
        <f t="shared" si="105"/>
        <v>0</v>
      </c>
      <c r="T201" s="33">
        <f t="shared" si="91"/>
        <v>0</v>
      </c>
      <c r="U201" s="33">
        <f t="shared" si="99"/>
        <v>0</v>
      </c>
      <c r="V201" s="33">
        <f t="shared" si="92"/>
        <v>0</v>
      </c>
      <c r="W201" s="33">
        <v>0</v>
      </c>
      <c r="X201" s="33">
        <f t="shared" si="93"/>
        <v>0</v>
      </c>
      <c r="Y201" s="38">
        <f t="shared" si="94"/>
        <v>0</v>
      </c>
      <c r="AA201" s="71">
        <v>196</v>
      </c>
      <c r="AB201" s="33">
        <f t="shared" si="95"/>
        <v>0</v>
      </c>
      <c r="AC201" s="304">
        <f t="shared" si="88"/>
        <v>0</v>
      </c>
      <c r="AD201" s="100">
        <f t="shared" si="96"/>
        <v>0</v>
      </c>
      <c r="AE201" s="100">
        <f t="shared" si="97"/>
        <v>0</v>
      </c>
      <c r="AF201" s="193">
        <f t="shared" si="84"/>
        <v>0</v>
      </c>
      <c r="AG201" s="193">
        <f t="shared" si="85"/>
        <v>0</v>
      </c>
      <c r="AH201" s="193">
        <f t="shared" si="86"/>
        <v>0</v>
      </c>
      <c r="AI201" s="198">
        <f t="shared" si="87"/>
        <v>0</v>
      </c>
      <c r="AK201" s="71">
        <v>196</v>
      </c>
      <c r="AL201" s="33"/>
      <c r="AM201" s="33"/>
      <c r="AN201" s="33"/>
      <c r="AO201" s="33"/>
      <c r="AP201" s="33"/>
      <c r="AQ201" s="193"/>
      <c r="AR201" s="193"/>
      <c r="AS201" s="193"/>
      <c r="AT201" s="193"/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100"/>
        <v>0</v>
      </c>
      <c r="K202" s="33">
        <f t="shared" si="101"/>
        <v>0</v>
      </c>
      <c r="L202" s="33">
        <f t="shared" si="102"/>
        <v>0</v>
      </c>
      <c r="M202" s="33">
        <f t="shared" si="103"/>
        <v>0</v>
      </c>
      <c r="N202" s="33">
        <f t="shared" si="89"/>
        <v>0</v>
      </c>
      <c r="O202" s="34">
        <f t="shared" si="90"/>
        <v>0</v>
      </c>
      <c r="P202" s="55">
        <v>197</v>
      </c>
      <c r="Q202" s="33">
        <f t="shared" si="98"/>
        <v>0</v>
      </c>
      <c r="R202" s="33">
        <f t="shared" si="104"/>
        <v>0</v>
      </c>
      <c r="S202" s="33">
        <f t="shared" si="105"/>
        <v>0</v>
      </c>
      <c r="T202" s="33">
        <f t="shared" si="91"/>
        <v>0</v>
      </c>
      <c r="U202" s="33">
        <f t="shared" si="99"/>
        <v>0</v>
      </c>
      <c r="V202" s="33">
        <f t="shared" si="92"/>
        <v>0</v>
      </c>
      <c r="W202" s="33">
        <v>0</v>
      </c>
      <c r="X202" s="33">
        <f t="shared" si="93"/>
        <v>0</v>
      </c>
      <c r="Y202" s="38">
        <f t="shared" si="94"/>
        <v>0</v>
      </c>
      <c r="AA202" s="71">
        <v>197</v>
      </c>
      <c r="AB202" s="33">
        <f t="shared" si="95"/>
        <v>0</v>
      </c>
      <c r="AC202" s="304">
        <f t="shared" si="88"/>
        <v>0</v>
      </c>
      <c r="AD202" s="100">
        <f t="shared" si="96"/>
        <v>0</v>
      </c>
      <c r="AE202" s="100">
        <f t="shared" si="97"/>
        <v>0</v>
      </c>
      <c r="AF202" s="193">
        <f t="shared" si="84"/>
        <v>0</v>
      </c>
      <c r="AG202" s="193">
        <f t="shared" si="85"/>
        <v>0</v>
      </c>
      <c r="AH202" s="193">
        <f t="shared" si="86"/>
        <v>0</v>
      </c>
      <c r="AI202" s="198">
        <f t="shared" si="87"/>
        <v>0</v>
      </c>
      <c r="AK202" s="71">
        <v>197</v>
      </c>
      <c r="AL202" s="33"/>
      <c r="AM202" s="33"/>
      <c r="AN202" s="33"/>
      <c r="AO202" s="33"/>
      <c r="AP202" s="33"/>
      <c r="AQ202" s="193"/>
      <c r="AR202" s="193"/>
      <c r="AS202" s="193"/>
      <c r="AT202" s="193"/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100"/>
        <v>0</v>
      </c>
      <c r="K203" s="33">
        <f t="shared" si="101"/>
        <v>0</v>
      </c>
      <c r="L203" s="33">
        <f t="shared" si="102"/>
        <v>0</v>
      </c>
      <c r="M203" s="33">
        <f t="shared" si="103"/>
        <v>0</v>
      </c>
      <c r="N203" s="33">
        <f t="shared" si="89"/>
        <v>0</v>
      </c>
      <c r="O203" s="34">
        <f t="shared" si="90"/>
        <v>0</v>
      </c>
      <c r="P203" s="55">
        <v>198</v>
      </c>
      <c r="Q203" s="33">
        <f t="shared" si="98"/>
        <v>0</v>
      </c>
      <c r="R203" s="33">
        <f t="shared" si="104"/>
        <v>0</v>
      </c>
      <c r="S203" s="33">
        <f t="shared" si="105"/>
        <v>0</v>
      </c>
      <c r="T203" s="33">
        <f t="shared" si="91"/>
        <v>0</v>
      </c>
      <c r="U203" s="33">
        <f t="shared" si="99"/>
        <v>0</v>
      </c>
      <c r="V203" s="33">
        <f t="shared" si="92"/>
        <v>0</v>
      </c>
      <c r="W203" s="33">
        <v>0</v>
      </c>
      <c r="X203" s="33">
        <f t="shared" si="93"/>
        <v>0</v>
      </c>
      <c r="Y203" s="38">
        <f t="shared" si="94"/>
        <v>0</v>
      </c>
      <c r="AA203" s="71">
        <v>198</v>
      </c>
      <c r="AB203" s="33">
        <f t="shared" si="95"/>
        <v>0</v>
      </c>
      <c r="AC203" s="304">
        <f t="shared" si="88"/>
        <v>0</v>
      </c>
      <c r="AD203" s="100">
        <f t="shared" si="96"/>
        <v>0</v>
      </c>
      <c r="AE203" s="100">
        <f t="shared" si="97"/>
        <v>0</v>
      </c>
      <c r="AF203" s="193">
        <f t="shared" si="84"/>
        <v>0</v>
      </c>
      <c r="AG203" s="193">
        <f t="shared" si="85"/>
        <v>0</v>
      </c>
      <c r="AH203" s="193">
        <f t="shared" si="86"/>
        <v>0</v>
      </c>
      <c r="AI203" s="198">
        <f t="shared" si="87"/>
        <v>0</v>
      </c>
      <c r="AK203" s="71">
        <v>198</v>
      </c>
      <c r="AL203" s="33"/>
      <c r="AM203" s="33"/>
      <c r="AN203" s="33"/>
      <c r="AO203" s="33"/>
      <c r="AP203" s="33"/>
      <c r="AQ203" s="193"/>
      <c r="AR203" s="193"/>
      <c r="AS203" s="193"/>
      <c r="AT203" s="193"/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100"/>
        <v>0</v>
      </c>
      <c r="K204" s="33">
        <f t="shared" si="101"/>
        <v>0</v>
      </c>
      <c r="L204" s="33">
        <f t="shared" si="102"/>
        <v>0</v>
      </c>
      <c r="M204" s="33">
        <f t="shared" si="103"/>
        <v>0</v>
      </c>
      <c r="N204" s="33">
        <f t="shared" si="89"/>
        <v>0</v>
      </c>
      <c r="O204" s="34">
        <f t="shared" si="90"/>
        <v>0</v>
      </c>
      <c r="P204" s="55">
        <v>199</v>
      </c>
      <c r="Q204" s="33">
        <f t="shared" si="98"/>
        <v>0</v>
      </c>
      <c r="R204" s="33">
        <f t="shared" si="104"/>
        <v>0</v>
      </c>
      <c r="S204" s="33">
        <f t="shared" si="105"/>
        <v>0</v>
      </c>
      <c r="T204" s="33">
        <f t="shared" si="91"/>
        <v>0</v>
      </c>
      <c r="U204" s="33">
        <f t="shared" si="99"/>
        <v>0</v>
      </c>
      <c r="V204" s="33">
        <f t="shared" si="92"/>
        <v>0</v>
      </c>
      <c r="W204" s="33">
        <v>0</v>
      </c>
      <c r="X204" s="33">
        <f t="shared" si="93"/>
        <v>0</v>
      </c>
      <c r="Y204" s="38">
        <f t="shared" si="94"/>
        <v>0</v>
      </c>
      <c r="AA204" s="71">
        <v>199</v>
      </c>
      <c r="AB204" s="33">
        <f t="shared" si="95"/>
        <v>0</v>
      </c>
      <c r="AC204" s="304">
        <f t="shared" si="88"/>
        <v>0</v>
      </c>
      <c r="AD204" s="100">
        <f t="shared" si="96"/>
        <v>0</v>
      </c>
      <c r="AE204" s="100">
        <f t="shared" si="97"/>
        <v>0</v>
      </c>
      <c r="AF204" s="193">
        <f t="shared" si="84"/>
        <v>0</v>
      </c>
      <c r="AG204" s="193">
        <f t="shared" si="85"/>
        <v>0</v>
      </c>
      <c r="AH204" s="193">
        <f t="shared" si="86"/>
        <v>0</v>
      </c>
      <c r="AI204" s="198">
        <f t="shared" si="87"/>
        <v>0</v>
      </c>
      <c r="AK204" s="71">
        <v>199</v>
      </c>
      <c r="AL204" s="33"/>
      <c r="AM204" s="33"/>
      <c r="AN204" s="33"/>
      <c r="AO204" s="33"/>
      <c r="AP204" s="33"/>
      <c r="AQ204" s="193"/>
      <c r="AR204" s="193"/>
      <c r="AS204" s="193"/>
      <c r="AT204" s="193"/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100"/>
        <v>0</v>
      </c>
      <c r="K205" s="33">
        <f t="shared" si="101"/>
        <v>0</v>
      </c>
      <c r="L205" s="33">
        <f t="shared" si="102"/>
        <v>0</v>
      </c>
      <c r="M205" s="33">
        <f t="shared" si="103"/>
        <v>0</v>
      </c>
      <c r="N205" s="35">
        <f>IF(F208&lt;=$F$18,0,)</f>
        <v>0</v>
      </c>
      <c r="O205" s="34">
        <f t="shared" si="90"/>
        <v>0</v>
      </c>
      <c r="P205" s="56">
        <v>200</v>
      </c>
      <c r="Q205" s="35">
        <f t="shared" si="98"/>
        <v>0</v>
      </c>
      <c r="R205" s="35">
        <f t="shared" si="104"/>
        <v>0</v>
      </c>
      <c r="S205" s="35">
        <f t="shared" si="105"/>
        <v>0</v>
      </c>
      <c r="T205" s="35">
        <f t="shared" si="91"/>
        <v>0</v>
      </c>
      <c r="U205" s="35">
        <f t="shared" si="99"/>
        <v>0</v>
      </c>
      <c r="V205" s="35">
        <f t="shared" si="92"/>
        <v>0</v>
      </c>
      <c r="W205" s="35">
        <v>0</v>
      </c>
      <c r="X205" s="154">
        <f t="shared" si="93"/>
        <v>0</v>
      </c>
      <c r="Y205" s="39">
        <f t="shared" si="94"/>
        <v>0</v>
      </c>
      <c r="AA205" s="72">
        <v>200</v>
      </c>
      <c r="AB205" s="142">
        <f t="shared" si="95"/>
        <v>0</v>
      </c>
      <c r="AC205" s="304">
        <f t="shared" si="88"/>
        <v>0</v>
      </c>
      <c r="AD205" s="101">
        <f t="shared" si="96"/>
        <v>0</v>
      </c>
      <c r="AE205" s="101">
        <f t="shared" si="97"/>
        <v>0</v>
      </c>
      <c r="AF205" s="195">
        <f t="shared" si="84"/>
        <v>0</v>
      </c>
      <c r="AG205" s="195">
        <f t="shared" si="85"/>
        <v>0</v>
      </c>
      <c r="AH205" s="195">
        <f t="shared" si="86"/>
        <v>0</v>
      </c>
      <c r="AI205" s="202">
        <f t="shared" si="87"/>
        <v>0</v>
      </c>
      <c r="AK205" s="72">
        <v>200</v>
      </c>
      <c r="AL205" s="142"/>
      <c r="AM205" s="35"/>
      <c r="AN205" s="35"/>
      <c r="AO205" s="35"/>
      <c r="AP205" s="35"/>
      <c r="AQ205" s="195"/>
      <c r="AR205" s="195"/>
      <c r="AS205" s="195"/>
      <c r="AT205" s="195"/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P3:X3"/>
    <mergeCell ref="B80:G80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4">
    <dataValidation type="list" allowBlank="1" showInputMessage="1" showErrorMessage="1" sqref="D81:G81" xr:uid="{00000000-0002-0000-0500-000000000000}">
      <formula1>$B$104:$B$108</formula1>
    </dataValidation>
    <dataValidation type="list" allowBlank="1" showInputMessage="1" showErrorMessage="1" sqref="D8:E8 D5:E5 D15" xr:uid="{00000000-0002-0000-0500-000001000000}">
      <formula1>$B$97:$B$100</formula1>
    </dataValidation>
    <dataValidation type="list" allowBlank="1" showInputMessage="1" showErrorMessage="1" sqref="F17" xr:uid="{00000000-0002-0000-0500-000002000000}">
      <formula1>$C$130:$C$195</formula1>
    </dataValidation>
    <dataValidation type="list" allowBlank="1" showInputMessage="1" showErrorMessage="1" sqref="F12" xr:uid="{00000000-0002-0000-0500-000003000000}">
      <formula1>$C$194:$C$195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79998168889431442"/>
  </sheetPr>
  <dimension ref="B3:AY207"/>
  <sheetViews>
    <sheetView zoomScale="85" zoomScaleNormal="85" workbookViewId="0">
      <selection activeCell="F22" sqref="F22"/>
    </sheetView>
  </sheetViews>
  <sheetFormatPr baseColWidth="10" defaultRowHeight="15"/>
  <cols>
    <col min="3" max="5" width="13.664062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2" customWidth="1"/>
    <col min="47" max="51" width="10.5" customWidth="1"/>
    <col min="54" max="54" width="19.33203125" customWidth="1"/>
  </cols>
  <sheetData>
    <row r="3" spans="2:51" ht="16">
      <c r="I3" s="380" t="s">
        <v>172</v>
      </c>
      <c r="J3" s="381"/>
      <c r="K3" s="381"/>
      <c r="L3" s="381"/>
      <c r="M3" s="381"/>
      <c r="N3" s="381"/>
      <c r="O3" s="382"/>
      <c r="P3" s="383" t="s">
        <v>144</v>
      </c>
      <c r="Q3" s="384"/>
      <c r="R3" s="384"/>
      <c r="S3" s="384"/>
      <c r="T3" s="384"/>
      <c r="U3" s="384"/>
      <c r="V3" s="384"/>
      <c r="W3" s="384"/>
      <c r="X3" s="385"/>
      <c r="Y3" s="90"/>
      <c r="Z3" s="90"/>
      <c r="AA3" s="371" t="s">
        <v>159</v>
      </c>
      <c r="AB3" s="372"/>
      <c r="AC3" s="372"/>
      <c r="AD3" s="372"/>
      <c r="AE3" s="372"/>
      <c r="AF3" s="372"/>
      <c r="AG3" s="372"/>
      <c r="AH3" s="372"/>
      <c r="AI3" s="373"/>
      <c r="AJ3" s="90"/>
      <c r="AK3" s="371" t="s">
        <v>171</v>
      </c>
      <c r="AL3" s="372"/>
      <c r="AM3" s="372"/>
      <c r="AN3" s="372"/>
      <c r="AO3" s="372"/>
      <c r="AP3" s="372"/>
      <c r="AQ3" s="372"/>
      <c r="AR3" s="372"/>
      <c r="AS3" s="372"/>
      <c r="AT3" s="372"/>
      <c r="AU3" s="372"/>
      <c r="AV3" s="372"/>
      <c r="AW3" s="372"/>
      <c r="AX3" s="372"/>
      <c r="AY3" s="373"/>
    </row>
    <row r="4" spans="2:51" ht="45" customHeight="1">
      <c r="B4" s="375" t="s">
        <v>173</v>
      </c>
      <c r="C4" s="375"/>
      <c r="D4" s="375"/>
      <c r="E4" s="375"/>
      <c r="F4" s="375"/>
      <c r="I4" s="59" t="s">
        <v>76</v>
      </c>
      <c r="J4" s="60" t="s">
        <v>108</v>
      </c>
      <c r="K4" s="60" t="s">
        <v>109</v>
      </c>
      <c r="L4" s="60" t="s">
        <v>72</v>
      </c>
      <c r="M4" s="60" t="s">
        <v>110</v>
      </c>
      <c r="N4" s="60" t="s">
        <v>111</v>
      </c>
      <c r="O4" s="88" t="s">
        <v>113</v>
      </c>
      <c r="P4" s="59" t="s">
        <v>76</v>
      </c>
      <c r="Q4" s="61" t="s">
        <v>118</v>
      </c>
      <c r="R4" s="61" t="s">
        <v>119</v>
      </c>
      <c r="S4" s="62" t="s">
        <v>105</v>
      </c>
      <c r="T4" s="63" t="s">
        <v>104</v>
      </c>
      <c r="U4" s="60" t="s">
        <v>3</v>
      </c>
      <c r="V4" s="60" t="s">
        <v>106</v>
      </c>
      <c r="W4" s="60" t="s">
        <v>107</v>
      </c>
      <c r="X4" s="89" t="s">
        <v>112</v>
      </c>
      <c r="Y4" s="66" t="s">
        <v>120</v>
      </c>
      <c r="AA4" s="70" t="s">
        <v>76</v>
      </c>
      <c r="AB4" s="61" t="s">
        <v>146</v>
      </c>
      <c r="AC4" s="62" t="s">
        <v>147</v>
      </c>
      <c r="AD4" s="68" t="s">
        <v>148</v>
      </c>
      <c r="AE4" s="64" t="s">
        <v>149</v>
      </c>
      <c r="AF4" s="64" t="s">
        <v>150</v>
      </c>
      <c r="AG4" s="64" t="s">
        <v>151</v>
      </c>
      <c r="AH4" s="64" t="s">
        <v>152</v>
      </c>
      <c r="AI4" s="75" t="s">
        <v>153</v>
      </c>
      <c r="AK4" s="70" t="s">
        <v>76</v>
      </c>
      <c r="AL4" s="61" t="s">
        <v>146</v>
      </c>
      <c r="AM4" s="62" t="s">
        <v>147</v>
      </c>
      <c r="AN4" s="68" t="s">
        <v>148</v>
      </c>
      <c r="AO4" s="64" t="s">
        <v>149</v>
      </c>
      <c r="AP4" s="64" t="s">
        <v>161</v>
      </c>
      <c r="AQ4" s="192" t="s">
        <v>187</v>
      </c>
      <c r="AR4" s="192" t="s">
        <v>188</v>
      </c>
      <c r="AS4" s="192" t="s">
        <v>189</v>
      </c>
      <c r="AT4" s="192" t="s">
        <v>190</v>
      </c>
      <c r="AU4" s="64" t="s">
        <v>162</v>
      </c>
      <c r="AV4" s="64" t="s">
        <v>163</v>
      </c>
      <c r="AW4" s="64" t="s">
        <v>164</v>
      </c>
      <c r="AX4" s="64" t="s">
        <v>165</v>
      </c>
      <c r="AY4" s="75" t="s">
        <v>153</v>
      </c>
    </row>
    <row r="5" spans="2:51">
      <c r="B5" s="364" t="s">
        <v>133</v>
      </c>
      <c r="C5" s="91" t="s">
        <v>73</v>
      </c>
      <c r="D5" s="376" t="s">
        <v>135</v>
      </c>
      <c r="E5" s="376"/>
      <c r="F5" s="92">
        <f>IF(D5="","",VLOOKUP(D5,$B$97:$C$100,2,0))</f>
        <v>70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IF(AA5&lt;=$F$18,IFERROR(VLOOKUP($AA5,$B$82:$G$94,2,FALSE),0),)</f>
        <v>0</v>
      </c>
      <c r="AC5" s="304">
        <f t="shared" ref="AC5:AC29" si="7">IF(AA5&lt;=$F$18,IFERROR(VLOOKUP($AA5,$B$82:$G$94,3,FALSE),0),)*50%</f>
        <v>0</v>
      </c>
      <c r="AD5" s="100">
        <f t="shared" ref="AD5:AD68" si="8">IF(AA5&lt;=$F$18,IFERROR(VLOOKUP($AA5,$B$82:$G$94,4,FALSE),0),)</f>
        <v>0</v>
      </c>
      <c r="AE5" s="100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35" si="10">IF(AK5&lt;=$F$18,IFERROR(VLOOKUP($AA5,$B$82:$G$94,2,FALSE),0),)</f>
        <v>0</v>
      </c>
      <c r="AM5" s="33">
        <f t="shared" ref="AM5:AM35" si="11">IF(AK5&lt;=$F$18,IFERROR(VLOOKUP($AA5,$B$82:$G$94,3,FALSE),0),)</f>
        <v>0</v>
      </c>
      <c r="AN5" s="33">
        <f t="shared" ref="AN5:AN35" si="12">IF(AK5&lt;=$F$18,IFERROR(VLOOKUP($AA5,$B$82:$G$94,4,FALSE),0),)</f>
        <v>0</v>
      </c>
      <c r="AO5" s="33">
        <f t="shared" ref="AO5:AO35" si="13">IF(AK5&lt;=$F$18,IFERROR(VLOOKUP($AA5,$B$82:$G$94,5,FALSE),0),)</f>
        <v>0</v>
      </c>
      <c r="AP5" s="33">
        <f t="shared" ref="AP5:AP35" si="14">IF(AK5&lt;=$F$18,IFERROR(VLOOKUP($AA5,$B$82:$G$94,6,FALSE),0),)</f>
        <v>0</v>
      </c>
      <c r="AQ5" s="193">
        <v>0</v>
      </c>
      <c r="AR5" s="193">
        <v>0</v>
      </c>
      <c r="AS5" s="193">
        <v>0</v>
      </c>
      <c r="AT5" s="193">
        <v>0</v>
      </c>
      <c r="AU5" s="33"/>
      <c r="AV5" s="33"/>
      <c r="AW5" s="33"/>
      <c r="AX5" s="33"/>
      <c r="AY5" s="163">
        <v>0</v>
      </c>
    </row>
    <row r="6" spans="2:51">
      <c r="B6" s="365"/>
      <c r="C6" s="98" t="s">
        <v>74</v>
      </c>
      <c r="D6" s="367" t="s">
        <v>260</v>
      </c>
      <c r="E6" s="367"/>
      <c r="F6" s="99">
        <f>VLOOKUP(D5,$B$97:$D$100,3,FALSE)</f>
        <v>0</v>
      </c>
      <c r="I6" s="55">
        <v>1</v>
      </c>
      <c r="J6" s="33">
        <f>IF(D8&lt;&gt;"Cultures",IF($I6&lt;=$F$10,$F$11*$F$13+J5,),5)</f>
        <v>0.42</v>
      </c>
      <c r="K6" s="33">
        <f>IF(J6=0,0,EXP(-1.0587+0.8836*LN(J6)+0.284))</f>
        <v>0.2141189661953912</v>
      </c>
      <c r="L6" s="33">
        <f>IF(I6&lt;=$F$10,$F$5+($F$8-$F$5)*(1-EXP(-0.0175*I6)),)</f>
        <v>70</v>
      </c>
      <c r="M6" s="33">
        <f>IF(I6&lt;=$F$10,IF(I6&lt;=30,I6*($F$9-$F$6)/30,$F$9-$F$6),)</f>
        <v>0.33333333333333331</v>
      </c>
      <c r="N6" s="33">
        <f t="shared" si="0"/>
        <v>0</v>
      </c>
      <c r="O6" s="34">
        <f t="shared" si="1"/>
        <v>258.99331275501248</v>
      </c>
      <c r="P6" s="55">
        <v>1</v>
      </c>
      <c r="Q6" s="33">
        <f t="shared" ref="Q6:Q69" si="15">IF(P6&lt;=$F$18,LOOKUP(P6-1,$B$25:$B$78,$G$25:$G$78),)</f>
        <v>5.373333333333334</v>
      </c>
      <c r="R6" s="33">
        <f>IF(P6&lt;=$F$18,Q6+R5,)</f>
        <v>5.373333333333334</v>
      </c>
      <c r="S6" s="33">
        <f>$F$19*R6</f>
        <v>2.0418666666666669</v>
      </c>
      <c r="T6" s="33">
        <f t="shared" si="2"/>
        <v>0.86594888484558952</v>
      </c>
      <c r="U6" s="33">
        <f t="shared" ref="U6:U69" si="16">IF(P6&lt;=$F$18,$F$5+($F$15-$F$5)*(1-EXP(-0.0175*P6)),)</f>
        <v>70</v>
      </c>
      <c r="V6" s="33">
        <f t="shared" si="3"/>
        <v>0.33333333333333331</v>
      </c>
      <c r="W6" s="33">
        <v>0</v>
      </c>
      <c r="X6" s="33">
        <f t="shared" si="4"/>
        <v>262.95333430777271</v>
      </c>
      <c r="Y6" s="38">
        <f t="shared" si="5"/>
        <v>3.9600215527602245</v>
      </c>
      <c r="AA6" s="71">
        <v>1</v>
      </c>
      <c r="AB6" s="33">
        <f t="shared" si="6"/>
        <v>0</v>
      </c>
      <c r="AC6" s="304">
        <f t="shared" si="7"/>
        <v>0</v>
      </c>
      <c r="AD6" s="100">
        <f t="shared" si="8"/>
        <v>0</v>
      </c>
      <c r="AE6" s="100">
        <f t="shared" si="9"/>
        <v>0</v>
      </c>
      <c r="AF6" s="193">
        <f>IF(OR(AA6&lt;=$F$18,AA6&lt;=30),EXP(-LN(2)/$D$104)*AF5+((1-EXP(-LN(2)/$D$104))/(LN(2)/$D$104))*$AB6*AC6*0.475*$F$19*44/12,)</f>
        <v>0</v>
      </c>
      <c r="AG6" s="193">
        <f>IF(OR(AA6&lt;=$F$18,AA6&lt;=30),EXP(-LN(2)/$D$106)*AG5+((1-EXP(-LN(2)/$D$106))/(LN(2)/$D$106))*$AB6*AD6*0.475*$F$19*44/12,)</f>
        <v>0</v>
      </c>
      <c r="AH6" s="193">
        <f>IF(OR(AA6&lt;=$F$18,AA6&lt;=30),EXP(-LN(2)/$D$105)*AH5+((1-EXP(-LN(2)/$D$105))/(LN(2)/$D$105))*$AB6*AE6*0.475*$F$19*44/12,)</f>
        <v>0</v>
      </c>
      <c r="AI6" s="198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3">
        <f t="shared" ref="AQ6:AT24" si="17">IF($AK6&lt;=$F$18,$AL6*AM6,)</f>
        <v>0</v>
      </c>
      <c r="AR6" s="193">
        <f t="shared" si="17"/>
        <v>0</v>
      </c>
      <c r="AS6" s="193">
        <f t="shared" si="17"/>
        <v>0</v>
      </c>
      <c r="AT6" s="193">
        <f t="shared" si="17"/>
        <v>0</v>
      </c>
      <c r="AU6" s="33"/>
      <c r="AV6" s="33"/>
      <c r="AW6" s="33"/>
      <c r="AX6" s="33"/>
      <c r="AY6" s="163">
        <f>IF(AK6&lt;=$F$18,AL6*$G$108+AY5,)</f>
        <v>0</v>
      </c>
    </row>
    <row r="7" spans="2:51">
      <c r="B7" s="364" t="s">
        <v>134</v>
      </c>
      <c r="C7" s="377"/>
      <c r="D7" s="378"/>
      <c r="E7" s="378"/>
      <c r="F7" s="379"/>
      <c r="I7" s="55">
        <v>2</v>
      </c>
      <c r="J7" s="33">
        <f t="shared" ref="J7:J70" si="18">IF($I7&lt;=$F$10,$F$11*$F$13+J6,)</f>
        <v>0.84</v>
      </c>
      <c r="K7" s="33">
        <f t="shared" ref="K7:K70" si="19">IF(J7=0,0,EXP(-1.0587+0.8836*LN(J7)+0.284))</f>
        <v>0.39504379260136169</v>
      </c>
      <c r="L7" s="33">
        <f t="shared" ref="L7:L70" si="20">IF(I7&lt;=$F$10,$F$5+($F$8-$F$5)*(1-EXP(-0.0175*I7)),)</f>
        <v>70</v>
      </c>
      <c r="M7" s="33">
        <f t="shared" ref="M7:M70" si="21">IF(I7&lt;=$F$10,IF(I7&lt;=30,I7*($F$9-$F$6)/30,$F$9-$F$6),)</f>
        <v>0.66666666666666663</v>
      </c>
      <c r="N7" s="33">
        <f t="shared" si="0"/>
        <v>0</v>
      </c>
      <c r="O7" s="34">
        <f t="shared" si="1"/>
        <v>261.26214571655851</v>
      </c>
      <c r="P7" s="55">
        <v>2</v>
      </c>
      <c r="Q7" s="33">
        <f t="shared" si="15"/>
        <v>5.373333333333334</v>
      </c>
      <c r="R7" s="33">
        <f t="shared" ref="R7:R70" si="22">IF(P7&lt;=$F$18,Q7+R6,)</f>
        <v>10.746666666666668</v>
      </c>
      <c r="S7" s="33">
        <f t="shared" ref="S7:S70" si="23">$F$19*R7</f>
        <v>4.0837333333333339</v>
      </c>
      <c r="T7" s="33">
        <f t="shared" si="2"/>
        <v>1.597652640243715</v>
      </c>
      <c r="U7" s="33">
        <f t="shared" si="16"/>
        <v>70</v>
      </c>
      <c r="V7" s="33">
        <f t="shared" si="3"/>
        <v>0.66666666666666663</v>
      </c>
      <c r="W7" s="33">
        <v>0</v>
      </c>
      <c r="X7" s="33">
        <f t="shared" si="4"/>
        <v>269.00619168175785</v>
      </c>
      <c r="Y7" s="38">
        <f t="shared" si="5"/>
        <v>7.7440459651993478</v>
      </c>
      <c r="AA7" s="71">
        <v>2</v>
      </c>
      <c r="AB7" s="33">
        <f t="shared" si="6"/>
        <v>0</v>
      </c>
      <c r="AC7" s="304">
        <f t="shared" si="7"/>
        <v>0</v>
      </c>
      <c r="AD7" s="100">
        <f t="shared" si="8"/>
        <v>0</v>
      </c>
      <c r="AE7" s="100">
        <f t="shared" si="9"/>
        <v>0</v>
      </c>
      <c r="AF7" s="193">
        <f>IF(OR(AA7&lt;=$F$18,AA7&lt;=30),EXP(-LN(2)/$D$104)*AF6+((1-EXP(-LN(2)/$D$104))/(LN(2)/$D$104))*$AB7*AC7*0.475*$F$19*44/12,)</f>
        <v>0</v>
      </c>
      <c r="AG7" s="193">
        <f>IF(OR(AA7&lt;=$F$18,AA7&lt;=30),EXP(-LN(2)/$D$106)*AG6+((1-EXP(-LN(2)/$D$106))/(LN(2)/$D$106))*$AB7*AD7*0.475*$F$19*44/12,)</f>
        <v>0</v>
      </c>
      <c r="AH7" s="193">
        <f>IF(OR(AA7&lt;=$F$18,AA7&lt;=30),EXP(-LN(2)/$D$105)*AH6+((1-EXP(-LN(2)/$D$105))/(LN(2)/$D$105))*$AB7*AE7*0.475*$F$19*44/12,)</f>
        <v>0</v>
      </c>
      <c r="AI7" s="198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3">
        <f t="shared" si="17"/>
        <v>0</v>
      </c>
      <c r="AR7" s="193">
        <f t="shared" si="17"/>
        <v>0</v>
      </c>
      <c r="AS7" s="193">
        <f t="shared" si="17"/>
        <v>0</v>
      </c>
      <c r="AT7" s="193">
        <f t="shared" si="17"/>
        <v>0</v>
      </c>
      <c r="AU7" s="33"/>
      <c r="AV7" s="33"/>
      <c r="AW7" s="33"/>
      <c r="AX7" s="33"/>
      <c r="AY7" s="163">
        <f t="shared" ref="AY7:AY35" si="24">IF(AK7&lt;=$F$18,AL7*$G$108+AY6,)</f>
        <v>0</v>
      </c>
    </row>
    <row r="8" spans="2:51">
      <c r="B8" s="374"/>
      <c r="C8" s="93" t="s">
        <v>73</v>
      </c>
      <c r="D8" s="370" t="s">
        <v>135</v>
      </c>
      <c r="E8" s="370"/>
      <c r="F8" s="94">
        <f>IF(D8="","",VLOOKUP(D8,$B$97:$C$100,2,0))</f>
        <v>70</v>
      </c>
      <c r="I8" s="55">
        <v>3</v>
      </c>
      <c r="J8" s="33">
        <f t="shared" si="18"/>
        <v>1.26</v>
      </c>
      <c r="K8" s="33">
        <f t="shared" si="19"/>
        <v>0.56524857809693341</v>
      </c>
      <c r="L8" s="33">
        <f t="shared" si="20"/>
        <v>70</v>
      </c>
      <c r="M8" s="33">
        <f t="shared" si="21"/>
        <v>1</v>
      </c>
      <c r="N8" s="33">
        <f t="shared" si="0"/>
        <v>0</v>
      </c>
      <c r="O8" s="34">
        <f t="shared" si="1"/>
        <v>263.51230794018551</v>
      </c>
      <c r="P8" s="55">
        <v>3</v>
      </c>
      <c r="Q8" s="33">
        <f t="shared" si="15"/>
        <v>5.373333333333334</v>
      </c>
      <c r="R8" s="33">
        <f t="shared" si="22"/>
        <v>16.12</v>
      </c>
      <c r="S8" s="33">
        <f t="shared" si="23"/>
        <v>6.1256000000000004</v>
      </c>
      <c r="T8" s="33">
        <f t="shared" si="2"/>
        <v>2.2860019575142632</v>
      </c>
      <c r="U8" s="33">
        <f t="shared" si="16"/>
        <v>70</v>
      </c>
      <c r="V8" s="33">
        <f t="shared" si="3"/>
        <v>1</v>
      </c>
      <c r="W8" s="33">
        <v>0</v>
      </c>
      <c r="X8" s="33">
        <f t="shared" si="4"/>
        <v>274.98354007600398</v>
      </c>
      <c r="Y8" s="38">
        <f t="shared" si="5"/>
        <v>11.471232135818468</v>
      </c>
      <c r="AA8" s="71">
        <v>3</v>
      </c>
      <c r="AB8" s="33">
        <f t="shared" si="6"/>
        <v>0</v>
      </c>
      <c r="AC8" s="304">
        <f t="shared" si="7"/>
        <v>0</v>
      </c>
      <c r="AD8" s="100">
        <f t="shared" si="8"/>
        <v>0</v>
      </c>
      <c r="AE8" s="100">
        <f t="shared" si="9"/>
        <v>0</v>
      </c>
      <c r="AF8" s="193">
        <f>IF(OR(AA8&lt;=$F$18,AA8&lt;=30),EXP(-LN(2)/$D$104)*AF7+((1-EXP(-LN(2)/$D$104))/(LN(2)/$D$104))*$AB8*AC8*0.475*$F$19*44/12,)</f>
        <v>0</v>
      </c>
      <c r="AG8" s="193">
        <f>IF(OR(AA8&lt;=$F$18,AA8&lt;=30),EXP(-LN(2)/$D$106)*AG7+((1-EXP(-LN(2)/$D$106))/(LN(2)/$D$106))*$AB8*AD8*0.475*$F$19*44/12,)</f>
        <v>0</v>
      </c>
      <c r="AH8" s="193">
        <f>IF(OR(AA8&lt;=$F$18,AA8&lt;=30),EXP(-LN(2)/$D$105)*AH7+((1-EXP(-LN(2)/$D$105))/(LN(2)/$D$105))*$AB8*AE8*0.475*$F$19*44/12,)</f>
        <v>0</v>
      </c>
      <c r="AI8" s="198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3">
        <f t="shared" si="17"/>
        <v>0</v>
      </c>
      <c r="AR8" s="193">
        <f t="shared" si="17"/>
        <v>0</v>
      </c>
      <c r="AS8" s="193">
        <f t="shared" si="17"/>
        <v>0</v>
      </c>
      <c r="AT8" s="193">
        <f t="shared" si="17"/>
        <v>0</v>
      </c>
      <c r="AU8" s="33"/>
      <c r="AV8" s="33"/>
      <c r="AW8" s="33"/>
      <c r="AX8" s="33"/>
      <c r="AY8" s="163">
        <f t="shared" si="24"/>
        <v>0</v>
      </c>
    </row>
    <row r="9" spans="2:51">
      <c r="B9" s="374"/>
      <c r="C9" s="93" t="s">
        <v>74</v>
      </c>
      <c r="D9" s="366" t="str">
        <f>IF(D8=$B$100,"totale","néant")</f>
        <v>totale</v>
      </c>
      <c r="E9" s="366"/>
      <c r="F9" s="94">
        <f>IF(D8=B100,10,VLOOKUP(D8,$B$97:$D$100,3,FALSE))</f>
        <v>10</v>
      </c>
      <c r="I9" s="55">
        <v>4</v>
      </c>
      <c r="J9" s="33">
        <f t="shared" si="18"/>
        <v>1.68</v>
      </c>
      <c r="K9" s="33">
        <f t="shared" si="19"/>
        <v>0.72884528094749779</v>
      </c>
      <c r="L9" s="33">
        <f t="shared" si="20"/>
        <v>70</v>
      </c>
      <c r="M9" s="33">
        <f t="shared" si="21"/>
        <v>1.3333333333333333</v>
      </c>
      <c r="N9" s="33">
        <f t="shared" si="0"/>
        <v>0</v>
      </c>
      <c r="O9" s="34">
        <f t="shared" si="1"/>
        <v>265.75096108653912</v>
      </c>
      <c r="P9" s="55">
        <v>4</v>
      </c>
      <c r="Q9" s="33">
        <f t="shared" si="15"/>
        <v>5.373333333333334</v>
      </c>
      <c r="R9" s="33">
        <f t="shared" si="22"/>
        <v>21.493333333333336</v>
      </c>
      <c r="S9" s="33">
        <f t="shared" si="23"/>
        <v>8.1674666666666678</v>
      </c>
      <c r="T9" s="33">
        <f t="shared" si="2"/>
        <v>2.9476265903764722</v>
      </c>
      <c r="U9" s="33">
        <f t="shared" si="16"/>
        <v>70</v>
      </c>
      <c r="V9" s="33">
        <f t="shared" si="3"/>
        <v>1.3333333333333333</v>
      </c>
      <c r="W9" s="33">
        <v>0</v>
      </c>
      <c r="X9" s="33">
        <f t="shared" si="4"/>
        <v>280.91434297823901</v>
      </c>
      <c r="Y9" s="38">
        <f t="shared" si="5"/>
        <v>15.163381891699885</v>
      </c>
      <c r="AA9" s="71">
        <v>4</v>
      </c>
      <c r="AB9" s="33">
        <f t="shared" si="6"/>
        <v>0</v>
      </c>
      <c r="AC9" s="304">
        <f t="shared" si="7"/>
        <v>0</v>
      </c>
      <c r="AD9" s="100">
        <f t="shared" si="8"/>
        <v>0</v>
      </c>
      <c r="AE9" s="100">
        <f t="shared" si="9"/>
        <v>0</v>
      </c>
      <c r="AF9" s="193">
        <f>IF(OR(AA9&lt;=$F$18,AA9&lt;=30),EXP(-LN(2)/$D$104)*AF8+((1-EXP(-LN(2)/$D$104))/(LN(2)/$D$104))*$AB9*AC9*0.475*$F$19*44/12,)</f>
        <v>0</v>
      </c>
      <c r="AG9" s="193">
        <f>IF(OR(AA9&lt;=$F$18,AA9&lt;=30),EXP(-LN(2)/$D$106)*AG8+((1-EXP(-LN(2)/$D$106))/(LN(2)/$D$106))*$AB9*AD9*0.475*$F$19*44/12,)</f>
        <v>0</v>
      </c>
      <c r="AH9" s="193">
        <f>IF(OR(AA9&lt;=$F$18,AA9&lt;=30),EXP(-LN(2)/$D$105)*AH8+((1-EXP(-LN(2)/$D$105))/(LN(2)/$D$105))*$AB9*AE9*0.475*$F$19*44/12,)</f>
        <v>0</v>
      </c>
      <c r="AI9" s="198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3">
        <f t="shared" si="17"/>
        <v>0</v>
      </c>
      <c r="AR9" s="193">
        <f t="shared" si="17"/>
        <v>0</v>
      </c>
      <c r="AS9" s="193">
        <f t="shared" si="17"/>
        <v>0</v>
      </c>
      <c r="AT9" s="193">
        <f t="shared" si="17"/>
        <v>0</v>
      </c>
      <c r="AU9" s="33"/>
      <c r="AV9" s="33"/>
      <c r="AW9" s="33"/>
      <c r="AX9" s="33"/>
      <c r="AY9" s="163">
        <f t="shared" si="24"/>
        <v>0</v>
      </c>
    </row>
    <row r="10" spans="2:51">
      <c r="B10" s="374"/>
      <c r="C10" s="368" t="s">
        <v>124</v>
      </c>
      <c r="D10" s="363" t="s">
        <v>136</v>
      </c>
      <c r="E10" s="363"/>
      <c r="F10" s="95">
        <f>F18</f>
        <v>80</v>
      </c>
      <c r="I10" s="55">
        <v>5</v>
      </c>
      <c r="J10" s="33">
        <f t="shared" si="18"/>
        <v>2.1</v>
      </c>
      <c r="K10" s="33">
        <f t="shared" si="19"/>
        <v>0.88769757543783612</v>
      </c>
      <c r="L10" s="33">
        <f t="shared" si="20"/>
        <v>70</v>
      </c>
      <c r="M10" s="33">
        <f t="shared" si="21"/>
        <v>1.6666666666666667</v>
      </c>
      <c r="N10" s="33">
        <f t="shared" si="0"/>
        <v>0</v>
      </c>
      <c r="O10" s="34">
        <f t="shared" si="1"/>
        <v>267.9813510549987</v>
      </c>
      <c r="P10" s="55">
        <v>5</v>
      </c>
      <c r="Q10" s="33">
        <f t="shared" si="15"/>
        <v>5.373333333333334</v>
      </c>
      <c r="R10" s="33">
        <f t="shared" si="22"/>
        <v>26.866666666666671</v>
      </c>
      <c r="S10" s="33">
        <f t="shared" si="23"/>
        <v>10.209333333333335</v>
      </c>
      <c r="T10" s="33">
        <f t="shared" si="2"/>
        <v>3.5900636883752806</v>
      </c>
      <c r="U10" s="33">
        <f t="shared" si="16"/>
        <v>70</v>
      </c>
      <c r="V10" s="33">
        <f t="shared" si="3"/>
        <v>1.6666666666666667</v>
      </c>
      <c r="W10" s="33">
        <v>0</v>
      </c>
      <c r="X10" s="33">
        <f t="shared" si="4"/>
        <v>286.81172759058694</v>
      </c>
      <c r="Y10" s="38">
        <f t="shared" si="5"/>
        <v>18.830376535588243</v>
      </c>
      <c r="AA10" s="71">
        <v>5</v>
      </c>
      <c r="AB10" s="33">
        <f t="shared" si="6"/>
        <v>0</v>
      </c>
      <c r="AC10" s="304">
        <f t="shared" si="7"/>
        <v>0</v>
      </c>
      <c r="AD10" s="100">
        <f t="shared" si="8"/>
        <v>0</v>
      </c>
      <c r="AE10" s="100">
        <f t="shared" si="9"/>
        <v>0</v>
      </c>
      <c r="AF10" s="193">
        <f t="shared" ref="AF10:AF24" si="25">IF(OR(AA10&lt;=$F$18,AA10&lt;=30),EXP(-LN(2)/$D$104)*AF9+((1-EXP(-LN(2)/$D$104))/(LN(2)/$D$104))*$AB10*AC10*0.475*$F$19*44/12,)</f>
        <v>0</v>
      </c>
      <c r="AG10" s="193">
        <f t="shared" ref="AG10:AG24" si="26">IF(OR(AA10&lt;=$F$18,AA10&lt;=30),EXP(-LN(2)/$D$106)*AG9+((1-EXP(-LN(2)/$D$106))/(LN(2)/$D$106))*$AB10*AD10*0.475*$F$19*44/12,)</f>
        <v>0</v>
      </c>
      <c r="AH10" s="193">
        <f t="shared" ref="AH10:AH24" si="27">IF(OR(AA10&lt;=$F$18,AA10&lt;=30),EXP(-LN(2)/$D$105)*AH9+((1-EXP(-LN(2)/$D$105))/(LN(2)/$D$105))*$AB10*AE10*0.475*$F$19*44/12,)</f>
        <v>0</v>
      </c>
      <c r="AI10" s="198">
        <f t="shared" ref="AI10:AI24" si="28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3">
        <f t="shared" si="17"/>
        <v>0</v>
      </c>
      <c r="AR10" s="193">
        <f t="shared" si="17"/>
        <v>0</v>
      </c>
      <c r="AS10" s="193">
        <f t="shared" si="17"/>
        <v>0</v>
      </c>
      <c r="AT10" s="193">
        <f t="shared" si="17"/>
        <v>0</v>
      </c>
      <c r="AU10" s="33"/>
      <c r="AV10" s="33"/>
      <c r="AW10" s="33"/>
      <c r="AX10" s="33"/>
      <c r="AY10" s="163">
        <f t="shared" si="24"/>
        <v>0</v>
      </c>
    </row>
    <row r="11" spans="2:51">
      <c r="B11" s="374"/>
      <c r="C11" s="368"/>
      <c r="D11" s="366" t="s">
        <v>139</v>
      </c>
      <c r="E11" s="366"/>
      <c r="F11" s="36">
        <f>IF(D8=$B$100,1,0)</f>
        <v>1</v>
      </c>
      <c r="I11" s="55">
        <v>6</v>
      </c>
      <c r="J11" s="33">
        <f t="shared" si="18"/>
        <v>2.52</v>
      </c>
      <c r="K11" s="33">
        <f t="shared" si="19"/>
        <v>1.0428685791905616</v>
      </c>
      <c r="L11" s="33">
        <f t="shared" si="20"/>
        <v>70</v>
      </c>
      <c r="M11" s="33">
        <f t="shared" si="21"/>
        <v>2</v>
      </c>
      <c r="N11" s="33">
        <f t="shared" si="0"/>
        <v>0</v>
      </c>
      <c r="O11" s="34">
        <f t="shared" si="1"/>
        <v>270.2053294420902</v>
      </c>
      <c r="P11" s="55">
        <v>6</v>
      </c>
      <c r="Q11" s="33">
        <f t="shared" si="15"/>
        <v>5.373333333333334</v>
      </c>
      <c r="R11" s="33">
        <f t="shared" si="22"/>
        <v>32.24</v>
      </c>
      <c r="S11" s="33">
        <f t="shared" si="23"/>
        <v>12.251200000000001</v>
      </c>
      <c r="T11" s="33">
        <f t="shared" si="2"/>
        <v>4.2176127562958952</v>
      </c>
      <c r="U11" s="33">
        <f t="shared" si="16"/>
        <v>70</v>
      </c>
      <c r="V11" s="33">
        <f t="shared" si="3"/>
        <v>2</v>
      </c>
      <c r="W11" s="33">
        <v>0</v>
      </c>
      <c r="X11" s="33">
        <f t="shared" si="4"/>
        <v>292.68318221721535</v>
      </c>
      <c r="Y11" s="38">
        <f t="shared" si="5"/>
        <v>22.477852775125143</v>
      </c>
      <c r="AA11" s="71">
        <v>6</v>
      </c>
      <c r="AB11" s="33">
        <f t="shared" si="6"/>
        <v>0</v>
      </c>
      <c r="AC11" s="304">
        <f t="shared" si="7"/>
        <v>0</v>
      </c>
      <c r="AD11" s="100">
        <f t="shared" si="8"/>
        <v>0</v>
      </c>
      <c r="AE11" s="100">
        <f t="shared" si="9"/>
        <v>0</v>
      </c>
      <c r="AF11" s="193">
        <f t="shared" si="25"/>
        <v>0</v>
      </c>
      <c r="AG11" s="193">
        <f t="shared" si="26"/>
        <v>0</v>
      </c>
      <c r="AH11" s="193">
        <f t="shared" si="27"/>
        <v>0</v>
      </c>
      <c r="AI11" s="198">
        <f t="shared" si="28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3">
        <f t="shared" si="17"/>
        <v>0</v>
      </c>
      <c r="AR11" s="193">
        <f t="shared" si="17"/>
        <v>0</v>
      </c>
      <c r="AS11" s="193">
        <f t="shared" si="17"/>
        <v>0</v>
      </c>
      <c r="AT11" s="193">
        <f t="shared" si="17"/>
        <v>0</v>
      </c>
      <c r="AU11" s="33"/>
      <c r="AV11" s="33"/>
      <c r="AW11" s="33"/>
      <c r="AX11" s="33"/>
      <c r="AY11" s="163">
        <f t="shared" si="24"/>
        <v>0</v>
      </c>
    </row>
    <row r="12" spans="2:51" ht="32">
      <c r="B12" s="374"/>
      <c r="C12" s="368"/>
      <c r="D12" s="363" t="s">
        <v>131</v>
      </c>
      <c r="E12" s="363"/>
      <c r="F12" s="96" t="s">
        <v>69</v>
      </c>
      <c r="I12" s="55">
        <v>7</v>
      </c>
      <c r="J12" s="33">
        <f t="shared" si="18"/>
        <v>2.94</v>
      </c>
      <c r="K12" s="33">
        <f t="shared" si="19"/>
        <v>1.1950436430309317</v>
      </c>
      <c r="L12" s="33">
        <f t="shared" si="20"/>
        <v>70</v>
      </c>
      <c r="M12" s="33">
        <f t="shared" si="21"/>
        <v>2.3333333333333335</v>
      </c>
      <c r="N12" s="33">
        <f t="shared" si="0"/>
        <v>0</v>
      </c>
      <c r="O12" s="34">
        <f t="shared" si="1"/>
        <v>272.42408990050109</v>
      </c>
      <c r="P12" s="55">
        <v>7</v>
      </c>
      <c r="Q12" s="33">
        <f t="shared" si="15"/>
        <v>5.373333333333334</v>
      </c>
      <c r="R12" s="33">
        <f t="shared" si="22"/>
        <v>37.613333333333337</v>
      </c>
      <c r="S12" s="33">
        <f t="shared" si="23"/>
        <v>14.293066666666668</v>
      </c>
      <c r="T12" s="33">
        <f t="shared" si="2"/>
        <v>4.8330455186305699</v>
      </c>
      <c r="U12" s="33">
        <f t="shared" si="16"/>
        <v>70</v>
      </c>
      <c r="V12" s="33">
        <f t="shared" si="3"/>
        <v>2.3333333333333335</v>
      </c>
      <c r="W12" s="33">
        <v>0</v>
      </c>
      <c r="X12" s="33">
        <f t="shared" si="4"/>
        <v>298.53353427828159</v>
      </c>
      <c r="Y12" s="38">
        <f t="shared" si="5"/>
        <v>26.109444377780505</v>
      </c>
      <c r="AA12" s="71">
        <v>7</v>
      </c>
      <c r="AB12" s="33">
        <f t="shared" si="6"/>
        <v>0</v>
      </c>
      <c r="AC12" s="304">
        <f t="shared" si="7"/>
        <v>0</v>
      </c>
      <c r="AD12" s="100">
        <f t="shared" si="8"/>
        <v>0</v>
      </c>
      <c r="AE12" s="100">
        <f t="shared" si="9"/>
        <v>0</v>
      </c>
      <c r="AF12" s="193">
        <f t="shared" si="25"/>
        <v>0</v>
      </c>
      <c r="AG12" s="193">
        <f t="shared" si="26"/>
        <v>0</v>
      </c>
      <c r="AH12" s="193">
        <f t="shared" si="27"/>
        <v>0</v>
      </c>
      <c r="AI12" s="198">
        <f t="shared" si="28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3">
        <f t="shared" si="17"/>
        <v>0</v>
      </c>
      <c r="AR12" s="193">
        <f t="shared" si="17"/>
        <v>0</v>
      </c>
      <c r="AS12" s="193">
        <f t="shared" si="17"/>
        <v>0</v>
      </c>
      <c r="AT12" s="193">
        <f t="shared" si="17"/>
        <v>0</v>
      </c>
      <c r="AU12" s="33"/>
      <c r="AV12" s="33"/>
      <c r="AW12" s="33"/>
      <c r="AX12" s="33"/>
      <c r="AY12" s="163">
        <f t="shared" si="24"/>
        <v>0</v>
      </c>
    </row>
    <row r="13" spans="2:51">
      <c r="B13" s="365"/>
      <c r="C13" s="369"/>
      <c r="D13" s="367" t="s">
        <v>155</v>
      </c>
      <c r="E13" s="367"/>
      <c r="F13" s="37">
        <f>IF(ISBLANK(F$12),,VLOOKUP(F$12,C131:D195,2,FALSE))</f>
        <v>0.42</v>
      </c>
      <c r="I13" s="55">
        <v>8</v>
      </c>
      <c r="J13" s="33">
        <f t="shared" si="18"/>
        <v>3.36</v>
      </c>
      <c r="K13" s="33">
        <f t="shared" si="19"/>
        <v>1.3447001408663719</v>
      </c>
      <c r="L13" s="33">
        <f t="shared" si="20"/>
        <v>70</v>
      </c>
      <c r="M13" s="33">
        <f t="shared" si="21"/>
        <v>2.6666666666666665</v>
      </c>
      <c r="N13" s="33">
        <f t="shared" si="0"/>
        <v>0</v>
      </c>
      <c r="O13" s="34">
        <f t="shared" si="1"/>
        <v>274.63846385645343</v>
      </c>
      <c r="P13" s="55">
        <v>8</v>
      </c>
      <c r="Q13" s="33">
        <f t="shared" si="15"/>
        <v>5.373333333333334</v>
      </c>
      <c r="R13" s="33">
        <f t="shared" si="22"/>
        <v>42.986666666666672</v>
      </c>
      <c r="S13" s="33">
        <f t="shared" si="23"/>
        <v>16.334933333333336</v>
      </c>
      <c r="T13" s="33">
        <f t="shared" si="2"/>
        <v>5.4382925909157791</v>
      </c>
      <c r="U13" s="33">
        <f t="shared" si="16"/>
        <v>70</v>
      </c>
      <c r="V13" s="33">
        <f t="shared" si="3"/>
        <v>2.6666666666666665</v>
      </c>
      <c r="W13" s="33">
        <v>0</v>
      </c>
      <c r="X13" s="33">
        <f t="shared" si="4"/>
        <v>304.36614626251168</v>
      </c>
      <c r="Y13" s="38">
        <f t="shared" si="5"/>
        <v>29.72768240605825</v>
      </c>
      <c r="AA13" s="71">
        <v>8</v>
      </c>
      <c r="AB13" s="33">
        <f t="shared" si="6"/>
        <v>0</v>
      </c>
      <c r="AC13" s="304">
        <f t="shared" si="7"/>
        <v>0</v>
      </c>
      <c r="AD13" s="100">
        <f t="shared" si="8"/>
        <v>0</v>
      </c>
      <c r="AE13" s="100">
        <f t="shared" si="9"/>
        <v>0</v>
      </c>
      <c r="AF13" s="193">
        <f t="shared" si="25"/>
        <v>0</v>
      </c>
      <c r="AG13" s="193">
        <f t="shared" si="26"/>
        <v>0</v>
      </c>
      <c r="AH13" s="193">
        <f t="shared" si="27"/>
        <v>0</v>
      </c>
      <c r="AI13" s="198">
        <f t="shared" si="28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3">
        <f t="shared" si="17"/>
        <v>0</v>
      </c>
      <c r="AR13" s="193">
        <f t="shared" si="17"/>
        <v>0</v>
      </c>
      <c r="AS13" s="193">
        <f t="shared" si="17"/>
        <v>0</v>
      </c>
      <c r="AT13" s="193">
        <f t="shared" si="17"/>
        <v>0</v>
      </c>
      <c r="AU13" s="33"/>
      <c r="AV13" s="33"/>
      <c r="AW13" s="33"/>
      <c r="AX13" s="33"/>
      <c r="AY13" s="163">
        <f t="shared" si="24"/>
        <v>0</v>
      </c>
    </row>
    <row r="14" spans="2:51">
      <c r="B14" s="364" t="s">
        <v>132</v>
      </c>
      <c r="C14" s="360"/>
      <c r="D14" s="361"/>
      <c r="E14" s="361"/>
      <c r="F14" s="362"/>
      <c r="I14" s="55">
        <v>9</v>
      </c>
      <c r="J14" s="33">
        <f t="shared" si="18"/>
        <v>3.78</v>
      </c>
      <c r="K14" s="33">
        <f t="shared" si="19"/>
        <v>1.4921889485915243</v>
      </c>
      <c r="L14" s="33">
        <f t="shared" si="20"/>
        <v>70</v>
      </c>
      <c r="M14" s="33">
        <f t="shared" si="21"/>
        <v>3</v>
      </c>
      <c r="N14" s="33">
        <f t="shared" si="0"/>
        <v>0</v>
      </c>
      <c r="O14" s="34">
        <f t="shared" si="1"/>
        <v>276.8490624187969</v>
      </c>
      <c r="P14" s="55">
        <v>9</v>
      </c>
      <c r="Q14" s="33">
        <f t="shared" si="15"/>
        <v>5.373333333333334</v>
      </c>
      <c r="R14" s="33">
        <f t="shared" si="22"/>
        <v>48.360000000000007</v>
      </c>
      <c r="S14" s="33">
        <f t="shared" si="23"/>
        <v>18.376800000000003</v>
      </c>
      <c r="T14" s="33">
        <f t="shared" si="2"/>
        <v>6.0347730001302251</v>
      </c>
      <c r="U14" s="33">
        <f t="shared" si="16"/>
        <v>70</v>
      </c>
      <c r="V14" s="33">
        <f t="shared" si="3"/>
        <v>3</v>
      </c>
      <c r="W14" s="33">
        <v>0</v>
      </c>
      <c r="X14" s="33">
        <f t="shared" si="4"/>
        <v>310.18348964189352</v>
      </c>
      <c r="Y14" s="38">
        <f t="shared" si="5"/>
        <v>33.334427223096611</v>
      </c>
      <c r="AA14" s="71">
        <v>9</v>
      </c>
      <c r="AB14" s="33">
        <f t="shared" si="6"/>
        <v>0</v>
      </c>
      <c r="AC14" s="304">
        <f t="shared" si="7"/>
        <v>0</v>
      </c>
      <c r="AD14" s="100">
        <f t="shared" si="8"/>
        <v>0</v>
      </c>
      <c r="AE14" s="100">
        <f t="shared" si="9"/>
        <v>0</v>
      </c>
      <c r="AF14" s="193">
        <f t="shared" si="25"/>
        <v>0</v>
      </c>
      <c r="AG14" s="193">
        <f t="shared" si="26"/>
        <v>0</v>
      </c>
      <c r="AH14" s="193">
        <f t="shared" si="27"/>
        <v>0</v>
      </c>
      <c r="AI14" s="198">
        <f t="shared" si="28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3">
        <f t="shared" si="17"/>
        <v>0</v>
      </c>
      <c r="AR14" s="193">
        <f t="shared" si="17"/>
        <v>0</v>
      </c>
      <c r="AS14" s="193">
        <f t="shared" si="17"/>
        <v>0</v>
      </c>
      <c r="AT14" s="193">
        <f t="shared" si="17"/>
        <v>0</v>
      </c>
      <c r="AU14" s="33"/>
      <c r="AV14" s="33"/>
      <c r="AW14" s="33"/>
      <c r="AX14" s="33"/>
      <c r="AY14" s="163">
        <f t="shared" si="24"/>
        <v>0</v>
      </c>
    </row>
    <row r="15" spans="2:51">
      <c r="B15" s="374"/>
      <c r="C15" s="93" t="s">
        <v>73</v>
      </c>
      <c r="D15" s="370" t="s">
        <v>135</v>
      </c>
      <c r="E15" s="370"/>
      <c r="F15" s="94">
        <f>IF(D15="","",VLOOKUP(D15,$B$97:$C$100,2,0))</f>
        <v>70</v>
      </c>
      <c r="I15" s="55">
        <v>10</v>
      </c>
      <c r="J15" s="33">
        <f t="shared" si="18"/>
        <v>4.2</v>
      </c>
      <c r="K15" s="33">
        <f t="shared" si="19"/>
        <v>1.6377783954177545</v>
      </c>
      <c r="L15" s="33">
        <f t="shared" si="20"/>
        <v>70</v>
      </c>
      <c r="M15" s="33">
        <f t="shared" si="21"/>
        <v>3.3333333333333335</v>
      </c>
      <c r="N15" s="33">
        <f t="shared" si="0"/>
        <v>0</v>
      </c>
      <c r="O15" s="34">
        <f t="shared" si="1"/>
        <v>279.05635292757478</v>
      </c>
      <c r="P15" s="55">
        <v>10</v>
      </c>
      <c r="Q15" s="33">
        <f t="shared" si="15"/>
        <v>5.373333333333334</v>
      </c>
      <c r="R15" s="33">
        <f t="shared" si="22"/>
        <v>53.733333333333341</v>
      </c>
      <c r="S15" s="33">
        <f t="shared" si="23"/>
        <v>20.41866666666667</v>
      </c>
      <c r="T15" s="33">
        <f t="shared" si="2"/>
        <v>6.6235719345011956</v>
      </c>
      <c r="U15" s="33">
        <f t="shared" si="16"/>
        <v>70</v>
      </c>
      <c r="V15" s="33">
        <f t="shared" si="3"/>
        <v>3.3333333333333335</v>
      </c>
      <c r="W15" s="33">
        <v>0</v>
      </c>
      <c r="X15" s="33">
        <f t="shared" si="4"/>
        <v>315.98745445258959</v>
      </c>
      <c r="Y15" s="38">
        <f t="shared" si="5"/>
        <v>36.93110152501481</v>
      </c>
      <c r="AA15" s="71">
        <v>10</v>
      </c>
      <c r="AB15" s="33">
        <f t="shared" si="6"/>
        <v>0</v>
      </c>
      <c r="AC15" s="304">
        <f t="shared" si="7"/>
        <v>0</v>
      </c>
      <c r="AD15" s="100">
        <f t="shared" si="8"/>
        <v>0</v>
      </c>
      <c r="AE15" s="100">
        <f t="shared" si="9"/>
        <v>0</v>
      </c>
      <c r="AF15" s="193">
        <f t="shared" si="25"/>
        <v>0</v>
      </c>
      <c r="AG15" s="193">
        <f t="shared" si="26"/>
        <v>0</v>
      </c>
      <c r="AH15" s="193">
        <f t="shared" si="27"/>
        <v>0</v>
      </c>
      <c r="AI15" s="198">
        <f t="shared" si="28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3">
        <f t="shared" si="17"/>
        <v>0</v>
      </c>
      <c r="AR15" s="193">
        <f t="shared" si="17"/>
        <v>0</v>
      </c>
      <c r="AS15" s="193">
        <f t="shared" si="17"/>
        <v>0</v>
      </c>
      <c r="AT15" s="193">
        <f t="shared" si="17"/>
        <v>0</v>
      </c>
      <c r="AU15" s="33"/>
      <c r="AV15" s="33"/>
      <c r="AW15" s="33"/>
      <c r="AX15" s="33"/>
      <c r="AY15" s="163">
        <f t="shared" si="24"/>
        <v>0</v>
      </c>
    </row>
    <row r="16" spans="2:51">
      <c r="B16" s="374"/>
      <c r="C16" s="93" t="s">
        <v>74</v>
      </c>
      <c r="D16" s="366" t="s">
        <v>138</v>
      </c>
      <c r="E16" s="366"/>
      <c r="F16" s="94">
        <v>10</v>
      </c>
      <c r="I16" s="55">
        <v>11</v>
      </c>
      <c r="J16" s="33">
        <f t="shared" si="18"/>
        <v>4.62</v>
      </c>
      <c r="K16" s="33">
        <f t="shared" si="19"/>
        <v>1.7816800392152941</v>
      </c>
      <c r="L16" s="33">
        <f t="shared" si="20"/>
        <v>70</v>
      </c>
      <c r="M16" s="33">
        <f t="shared" si="21"/>
        <v>3.6666666666666665</v>
      </c>
      <c r="N16" s="33">
        <f t="shared" si="0"/>
        <v>0</v>
      </c>
      <c r="O16" s="34">
        <f t="shared" si="1"/>
        <v>281.26070384607777</v>
      </c>
      <c r="P16" s="55">
        <v>11</v>
      </c>
      <c r="Q16" s="33">
        <f t="shared" si="15"/>
        <v>5.373333333333334</v>
      </c>
      <c r="R16" s="33">
        <f t="shared" si="22"/>
        <v>59.106666666666676</v>
      </c>
      <c r="S16" s="33">
        <f t="shared" si="23"/>
        <v>22.460533333333338</v>
      </c>
      <c r="T16" s="33">
        <f t="shared" si="2"/>
        <v>7.2055449852220494</v>
      </c>
      <c r="U16" s="33">
        <f t="shared" si="16"/>
        <v>70</v>
      </c>
      <c r="V16" s="33">
        <f t="shared" si="3"/>
        <v>3.6666666666666665</v>
      </c>
      <c r="W16" s="33">
        <v>0</v>
      </c>
      <c r="X16" s="33">
        <f t="shared" si="4"/>
        <v>321.77953084926179</v>
      </c>
      <c r="Y16" s="38">
        <f t="shared" si="5"/>
        <v>40.518827003184015</v>
      </c>
      <c r="AA16" s="71">
        <v>11</v>
      </c>
      <c r="AB16" s="33">
        <f t="shared" si="6"/>
        <v>0</v>
      </c>
      <c r="AC16" s="304">
        <f t="shared" si="7"/>
        <v>0</v>
      </c>
      <c r="AD16" s="100">
        <f t="shared" si="8"/>
        <v>0</v>
      </c>
      <c r="AE16" s="100">
        <f t="shared" si="9"/>
        <v>0</v>
      </c>
      <c r="AF16" s="193">
        <f t="shared" si="25"/>
        <v>0</v>
      </c>
      <c r="AG16" s="193">
        <f t="shared" si="26"/>
        <v>0</v>
      </c>
      <c r="AH16" s="193">
        <f t="shared" si="27"/>
        <v>0</v>
      </c>
      <c r="AI16" s="198">
        <f t="shared" si="28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193">
        <f t="shared" si="17"/>
        <v>0</v>
      </c>
      <c r="AR16" s="193">
        <f t="shared" si="17"/>
        <v>0</v>
      </c>
      <c r="AS16" s="193">
        <f t="shared" si="17"/>
        <v>0</v>
      </c>
      <c r="AT16" s="193">
        <f t="shared" si="17"/>
        <v>0</v>
      </c>
      <c r="AU16" s="33"/>
      <c r="AV16" s="33"/>
      <c r="AW16" s="33"/>
      <c r="AX16" s="33"/>
      <c r="AY16" s="163">
        <f t="shared" si="24"/>
        <v>0</v>
      </c>
    </row>
    <row r="17" spans="2:51" ht="16">
      <c r="B17" s="374"/>
      <c r="C17" s="368" t="s">
        <v>124</v>
      </c>
      <c r="D17" s="363" t="s">
        <v>131</v>
      </c>
      <c r="E17" s="363"/>
      <c r="F17" s="96" t="s">
        <v>63</v>
      </c>
      <c r="I17" s="55">
        <v>12</v>
      </c>
      <c r="J17" s="33">
        <f t="shared" si="18"/>
        <v>5.04</v>
      </c>
      <c r="K17" s="33">
        <f t="shared" si="19"/>
        <v>1.9240647665573338</v>
      </c>
      <c r="L17" s="33">
        <f t="shared" si="20"/>
        <v>70</v>
      </c>
      <c r="M17" s="33">
        <f t="shared" si="21"/>
        <v>4</v>
      </c>
      <c r="N17" s="33">
        <f t="shared" si="0"/>
        <v>0</v>
      </c>
      <c r="O17" s="34">
        <f t="shared" si="1"/>
        <v>283.462412801754</v>
      </c>
      <c r="P17" s="55">
        <v>12</v>
      </c>
      <c r="Q17" s="33">
        <f t="shared" si="15"/>
        <v>5.373333333333334</v>
      </c>
      <c r="R17" s="33">
        <f t="shared" si="22"/>
        <v>64.48</v>
      </c>
      <c r="S17" s="33">
        <f t="shared" si="23"/>
        <v>24.502400000000002</v>
      </c>
      <c r="T17" s="33">
        <f t="shared" si="2"/>
        <v>7.7813832589243788</v>
      </c>
      <c r="U17" s="33">
        <f t="shared" si="16"/>
        <v>70</v>
      </c>
      <c r="V17" s="33">
        <f t="shared" si="3"/>
        <v>4</v>
      </c>
      <c r="W17" s="33">
        <v>0</v>
      </c>
      <c r="X17" s="33">
        <f t="shared" si="4"/>
        <v>327.56092250929333</v>
      </c>
      <c r="Y17" s="38">
        <f t="shared" si="5"/>
        <v>44.098509707539336</v>
      </c>
      <c r="AA17" s="71">
        <v>12</v>
      </c>
      <c r="AB17" s="33">
        <f t="shared" si="6"/>
        <v>0</v>
      </c>
      <c r="AC17" s="304">
        <f t="shared" si="7"/>
        <v>0</v>
      </c>
      <c r="AD17" s="100">
        <f t="shared" si="8"/>
        <v>0</v>
      </c>
      <c r="AE17" s="100">
        <f t="shared" si="9"/>
        <v>0</v>
      </c>
      <c r="AF17" s="193">
        <f t="shared" si="25"/>
        <v>0</v>
      </c>
      <c r="AG17" s="193">
        <f t="shared" si="26"/>
        <v>0</v>
      </c>
      <c r="AH17" s="193">
        <f t="shared" si="27"/>
        <v>0</v>
      </c>
      <c r="AI17" s="198">
        <f t="shared" si="28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3">
        <f t="shared" si="17"/>
        <v>0</v>
      </c>
      <c r="AR17" s="193">
        <f t="shared" si="17"/>
        <v>0</v>
      </c>
      <c r="AS17" s="193">
        <f t="shared" si="17"/>
        <v>0</v>
      </c>
      <c r="AT17" s="193">
        <f t="shared" si="17"/>
        <v>0</v>
      </c>
      <c r="AU17" s="33"/>
      <c r="AV17" s="33"/>
      <c r="AW17" s="33"/>
      <c r="AX17" s="33"/>
      <c r="AY17" s="163">
        <f t="shared" si="24"/>
        <v>0</v>
      </c>
    </row>
    <row r="18" spans="2:51">
      <c r="B18" s="374"/>
      <c r="C18" s="368"/>
      <c r="D18" s="363" t="s">
        <v>136</v>
      </c>
      <c r="E18" s="363"/>
      <c r="F18" s="97">
        <v>80</v>
      </c>
      <c r="I18" s="55">
        <v>13</v>
      </c>
      <c r="J18" s="33">
        <f t="shared" si="18"/>
        <v>5.46</v>
      </c>
      <c r="K18" s="33">
        <f t="shared" si="19"/>
        <v>2.0650733588092969</v>
      </c>
      <c r="L18" s="33">
        <f t="shared" si="20"/>
        <v>70</v>
      </c>
      <c r="M18" s="33">
        <f t="shared" si="21"/>
        <v>4.333333333333333</v>
      </c>
      <c r="N18" s="33">
        <f t="shared" si="0"/>
        <v>0</v>
      </c>
      <c r="O18" s="34">
        <f t="shared" si="1"/>
        <v>285.66172498881508</v>
      </c>
      <c r="P18" s="55">
        <v>13</v>
      </c>
      <c r="Q18" s="33">
        <f t="shared" si="15"/>
        <v>5.373333333333334</v>
      </c>
      <c r="R18" s="33">
        <f t="shared" si="22"/>
        <v>69.853333333333339</v>
      </c>
      <c r="S18" s="33">
        <f t="shared" si="23"/>
        <v>26.544266666666669</v>
      </c>
      <c r="T18" s="33">
        <f t="shared" si="2"/>
        <v>8.3516561094985207</v>
      </c>
      <c r="U18" s="33">
        <f t="shared" si="16"/>
        <v>70</v>
      </c>
      <c r="V18" s="33">
        <f t="shared" si="3"/>
        <v>4.333333333333333</v>
      </c>
      <c r="W18" s="33">
        <v>0</v>
      </c>
      <c r="X18" s="33">
        <f t="shared" si="4"/>
        <v>333.33262105737657</v>
      </c>
      <c r="Y18" s="38">
        <f t="shared" si="5"/>
        <v>47.67089606856149</v>
      </c>
      <c r="AA18" s="71">
        <v>13</v>
      </c>
      <c r="AB18" s="33">
        <f t="shared" si="6"/>
        <v>0</v>
      </c>
      <c r="AC18" s="304">
        <f t="shared" si="7"/>
        <v>0</v>
      </c>
      <c r="AD18" s="100">
        <f t="shared" si="8"/>
        <v>0</v>
      </c>
      <c r="AE18" s="100">
        <f t="shared" si="9"/>
        <v>0</v>
      </c>
      <c r="AF18" s="193">
        <f t="shared" si="25"/>
        <v>0</v>
      </c>
      <c r="AG18" s="193">
        <f t="shared" si="26"/>
        <v>0</v>
      </c>
      <c r="AH18" s="193">
        <f t="shared" si="27"/>
        <v>0</v>
      </c>
      <c r="AI18" s="198">
        <f t="shared" si="28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3">
        <f t="shared" si="17"/>
        <v>0</v>
      </c>
      <c r="AR18" s="193">
        <f t="shared" si="17"/>
        <v>0</v>
      </c>
      <c r="AS18" s="193">
        <f t="shared" si="17"/>
        <v>0</v>
      </c>
      <c r="AT18" s="193">
        <f t="shared" si="17"/>
        <v>0</v>
      </c>
      <c r="AU18" s="33"/>
      <c r="AV18" s="33"/>
      <c r="AW18" s="33"/>
      <c r="AX18" s="33"/>
      <c r="AY18" s="163">
        <f t="shared" si="24"/>
        <v>0</v>
      </c>
    </row>
    <row r="19" spans="2:51">
      <c r="B19" s="374"/>
      <c r="C19" s="368"/>
      <c r="D19" s="366" t="s">
        <v>155</v>
      </c>
      <c r="E19" s="366"/>
      <c r="F19" s="36">
        <f>IF(ISBLANK(F$17),,VLOOKUP(F$17,C131:D195,2,FALSE))</f>
        <v>0.38</v>
      </c>
      <c r="I19" s="55">
        <v>14</v>
      </c>
      <c r="J19" s="33">
        <f t="shared" si="18"/>
        <v>5.88</v>
      </c>
      <c r="K19" s="33">
        <f t="shared" si="19"/>
        <v>2.2048237083130879</v>
      </c>
      <c r="L19" s="33">
        <f t="shared" si="20"/>
        <v>70</v>
      </c>
      <c r="M19" s="33">
        <f t="shared" si="21"/>
        <v>4.666666666666667</v>
      </c>
      <c r="N19" s="33">
        <f t="shared" si="0"/>
        <v>0</v>
      </c>
      <c r="O19" s="34">
        <f t="shared" si="1"/>
        <v>287.85884573642306</v>
      </c>
      <c r="P19" s="55">
        <v>14</v>
      </c>
      <c r="Q19" s="33">
        <f t="shared" si="15"/>
        <v>5.373333333333334</v>
      </c>
      <c r="R19" s="33">
        <f t="shared" si="22"/>
        <v>75.226666666666674</v>
      </c>
      <c r="S19" s="33">
        <f t="shared" si="23"/>
        <v>28.586133333333336</v>
      </c>
      <c r="T19" s="33">
        <f t="shared" si="2"/>
        <v>8.9168403220878769</v>
      </c>
      <c r="U19" s="33">
        <f t="shared" si="16"/>
        <v>70</v>
      </c>
      <c r="V19" s="33">
        <f t="shared" si="3"/>
        <v>4.666666666666667</v>
      </c>
      <c r="W19" s="33">
        <v>0</v>
      </c>
      <c r="X19" s="33">
        <f t="shared" si="4"/>
        <v>339.09545689430308</v>
      </c>
      <c r="Y19" s="38">
        <f t="shared" si="5"/>
        <v>51.23661115788002</v>
      </c>
      <c r="AA19" s="71">
        <v>14</v>
      </c>
      <c r="AB19" s="33">
        <f t="shared" si="6"/>
        <v>0</v>
      </c>
      <c r="AC19" s="304">
        <f t="shared" si="7"/>
        <v>0</v>
      </c>
      <c r="AD19" s="100">
        <f t="shared" si="8"/>
        <v>0</v>
      </c>
      <c r="AE19" s="100">
        <f t="shared" si="9"/>
        <v>0</v>
      </c>
      <c r="AF19" s="193">
        <f t="shared" si="25"/>
        <v>0</v>
      </c>
      <c r="AG19" s="193">
        <f t="shared" si="26"/>
        <v>0</v>
      </c>
      <c r="AH19" s="193">
        <f t="shared" si="27"/>
        <v>0</v>
      </c>
      <c r="AI19" s="198">
        <f t="shared" si="28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3">
        <f t="shared" si="17"/>
        <v>0</v>
      </c>
      <c r="AR19" s="193">
        <f t="shared" si="17"/>
        <v>0</v>
      </c>
      <c r="AS19" s="193">
        <f t="shared" si="17"/>
        <v>0</v>
      </c>
      <c r="AT19" s="193">
        <f t="shared" si="17"/>
        <v>0</v>
      </c>
      <c r="AU19" s="33"/>
      <c r="AV19" s="33"/>
      <c r="AW19" s="33"/>
      <c r="AX19" s="33"/>
      <c r="AY19" s="163">
        <f t="shared" si="24"/>
        <v>0</v>
      </c>
    </row>
    <row r="20" spans="2:51">
      <c r="B20" s="374"/>
      <c r="C20" s="368"/>
      <c r="D20" s="366" t="s">
        <v>140</v>
      </c>
      <c r="E20" s="366"/>
      <c r="F20" s="36">
        <f>IF(ISBLANK(F$17),,VLOOKUP(F17,Tableau1459[#All],4,FALSE))</f>
        <v>1.3</v>
      </c>
      <c r="I20" s="55">
        <v>15</v>
      </c>
      <c r="J20" s="33">
        <f t="shared" si="18"/>
        <v>6.3</v>
      </c>
      <c r="K20" s="33">
        <f t="shared" si="19"/>
        <v>2.3434159113137563</v>
      </c>
      <c r="L20" s="33">
        <f t="shared" si="20"/>
        <v>70</v>
      </c>
      <c r="M20" s="33">
        <f t="shared" si="21"/>
        <v>5</v>
      </c>
      <c r="N20" s="33">
        <f t="shared" si="0"/>
        <v>0</v>
      </c>
      <c r="O20" s="34">
        <f t="shared" si="1"/>
        <v>290.05394937887144</v>
      </c>
      <c r="P20" s="55">
        <v>15</v>
      </c>
      <c r="Q20" s="33">
        <f t="shared" si="15"/>
        <v>5.373333333333334</v>
      </c>
      <c r="R20" s="33">
        <f t="shared" si="22"/>
        <v>80.600000000000009</v>
      </c>
      <c r="S20" s="33">
        <f t="shared" si="23"/>
        <v>30.628000000000004</v>
      </c>
      <c r="T20" s="33">
        <f t="shared" si="2"/>
        <v>9.4773407101161204</v>
      </c>
      <c r="U20" s="33">
        <f t="shared" si="16"/>
        <v>70</v>
      </c>
      <c r="V20" s="33">
        <f t="shared" si="3"/>
        <v>5</v>
      </c>
      <c r="W20" s="33">
        <v>0</v>
      </c>
      <c r="X20" s="33">
        <f t="shared" si="4"/>
        <v>344.85013507011894</v>
      </c>
      <c r="Y20" s="38">
        <f t="shared" si="5"/>
        <v>54.796185691247501</v>
      </c>
      <c r="AA20" s="71">
        <v>15</v>
      </c>
      <c r="AB20" s="33">
        <f t="shared" si="6"/>
        <v>0</v>
      </c>
      <c r="AC20" s="304">
        <f t="shared" si="7"/>
        <v>0</v>
      </c>
      <c r="AD20" s="100">
        <f t="shared" si="8"/>
        <v>0</v>
      </c>
      <c r="AE20" s="100">
        <f t="shared" si="9"/>
        <v>0</v>
      </c>
      <c r="AF20" s="193">
        <f t="shared" si="25"/>
        <v>0</v>
      </c>
      <c r="AG20" s="193">
        <f t="shared" si="26"/>
        <v>0</v>
      </c>
      <c r="AH20" s="193">
        <f t="shared" si="27"/>
        <v>0</v>
      </c>
      <c r="AI20" s="198">
        <f t="shared" si="28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3">
        <f t="shared" si="17"/>
        <v>0</v>
      </c>
      <c r="AR20" s="193">
        <f t="shared" si="17"/>
        <v>0</v>
      </c>
      <c r="AS20" s="193">
        <f t="shared" si="17"/>
        <v>0</v>
      </c>
      <c r="AT20" s="193">
        <f t="shared" si="17"/>
        <v>0</v>
      </c>
      <c r="AU20" s="33"/>
      <c r="AV20" s="33"/>
      <c r="AW20" s="33"/>
      <c r="AX20" s="33"/>
      <c r="AY20" s="163">
        <f t="shared" si="24"/>
        <v>0</v>
      </c>
    </row>
    <row r="21" spans="2:51">
      <c r="B21" s="365"/>
      <c r="C21" s="369"/>
      <c r="D21" s="367" t="s">
        <v>143</v>
      </c>
      <c r="E21" s="367"/>
      <c r="F21" s="102">
        <v>0.16669999999999999</v>
      </c>
      <c r="I21" s="55">
        <v>16</v>
      </c>
      <c r="J21" s="33">
        <f t="shared" si="18"/>
        <v>6.72</v>
      </c>
      <c r="K21" s="33">
        <f t="shared" si="19"/>
        <v>2.4809359628361181</v>
      </c>
      <c r="L21" s="33">
        <f t="shared" si="20"/>
        <v>70</v>
      </c>
      <c r="M21" s="33">
        <f t="shared" si="21"/>
        <v>5.333333333333333</v>
      </c>
      <c r="N21" s="33">
        <f t="shared" si="0"/>
        <v>0</v>
      </c>
      <c r="O21" s="34">
        <f t="shared" si="1"/>
        <v>292.24718569082847</v>
      </c>
      <c r="P21" s="55">
        <v>16</v>
      </c>
      <c r="Q21" s="33">
        <f t="shared" si="15"/>
        <v>0</v>
      </c>
      <c r="R21" s="33">
        <f t="shared" si="22"/>
        <v>80.600000000000009</v>
      </c>
      <c r="S21" s="33">
        <f t="shared" si="23"/>
        <v>30.628000000000004</v>
      </c>
      <c r="T21" s="33">
        <f t="shared" si="2"/>
        <v>9.4773407101161204</v>
      </c>
      <c r="U21" s="33">
        <f t="shared" si="16"/>
        <v>70</v>
      </c>
      <c r="V21" s="33">
        <f t="shared" si="3"/>
        <v>5.333333333333333</v>
      </c>
      <c r="W21" s="33">
        <v>0</v>
      </c>
      <c r="X21" s="33">
        <f t="shared" si="4"/>
        <v>346.07235729234111</v>
      </c>
      <c r="Y21" s="38">
        <f t="shared" si="5"/>
        <v>53.825171601512636</v>
      </c>
      <c r="AA21" s="71">
        <v>16</v>
      </c>
      <c r="AB21" s="33">
        <f t="shared" si="6"/>
        <v>0</v>
      </c>
      <c r="AC21" s="304">
        <f t="shared" si="7"/>
        <v>0</v>
      </c>
      <c r="AD21" s="100">
        <f t="shared" si="8"/>
        <v>0.56000000000000005</v>
      </c>
      <c r="AE21" s="100">
        <f t="shared" si="9"/>
        <v>0.44</v>
      </c>
      <c r="AF21" s="193">
        <f t="shared" si="25"/>
        <v>0</v>
      </c>
      <c r="AG21" s="193">
        <f t="shared" si="26"/>
        <v>0</v>
      </c>
      <c r="AH21" s="193">
        <f t="shared" si="27"/>
        <v>0</v>
      </c>
      <c r="AI21" s="198">
        <f t="shared" si="28"/>
        <v>0</v>
      </c>
      <c r="AK21" s="71">
        <v>16</v>
      </c>
      <c r="AL21" s="33">
        <f t="shared" si="10"/>
        <v>0</v>
      </c>
      <c r="AM21" s="33">
        <f t="shared" si="11"/>
        <v>0</v>
      </c>
      <c r="AN21" s="33">
        <f t="shared" si="12"/>
        <v>0.56000000000000005</v>
      </c>
      <c r="AO21" s="33">
        <f t="shared" si="13"/>
        <v>0.44</v>
      </c>
      <c r="AP21" s="33">
        <f t="shared" si="14"/>
        <v>0</v>
      </c>
      <c r="AQ21" s="193">
        <f t="shared" si="17"/>
        <v>0</v>
      </c>
      <c r="AR21" s="193">
        <f t="shared" si="17"/>
        <v>0</v>
      </c>
      <c r="AS21" s="193">
        <f t="shared" si="17"/>
        <v>0</v>
      </c>
      <c r="AT21" s="193">
        <f t="shared" si="17"/>
        <v>0</v>
      </c>
      <c r="AU21" s="33"/>
      <c r="AV21" s="33"/>
      <c r="AW21" s="33"/>
      <c r="AX21" s="33"/>
      <c r="AY21" s="163">
        <f t="shared" si="24"/>
        <v>0</v>
      </c>
    </row>
    <row r="22" spans="2:51">
      <c r="E22" s="6"/>
      <c r="I22" s="55">
        <v>17</v>
      </c>
      <c r="J22" s="33">
        <f t="shared" si="18"/>
        <v>7.14</v>
      </c>
      <c r="K22" s="33">
        <f t="shared" si="19"/>
        <v>2.6174585009700779</v>
      </c>
      <c r="L22" s="33">
        <f t="shared" si="20"/>
        <v>70</v>
      </c>
      <c r="M22" s="33">
        <f t="shared" si="21"/>
        <v>5.666666666666667</v>
      </c>
      <c r="N22" s="33">
        <f t="shared" si="0"/>
        <v>0</v>
      </c>
      <c r="O22" s="34">
        <f t="shared" si="1"/>
        <v>294.43868466696739</v>
      </c>
      <c r="P22" s="55">
        <v>17</v>
      </c>
      <c r="Q22" s="33">
        <f t="shared" si="15"/>
        <v>33.150000000000006</v>
      </c>
      <c r="R22" s="33">
        <f t="shared" si="22"/>
        <v>113.75000000000001</v>
      </c>
      <c r="S22" s="33">
        <f t="shared" si="23"/>
        <v>43.225000000000009</v>
      </c>
      <c r="T22" s="33">
        <f t="shared" si="2"/>
        <v>12.849537985957786</v>
      </c>
      <c r="U22" s="33">
        <f t="shared" si="16"/>
        <v>70</v>
      </c>
      <c r="V22" s="33">
        <f t="shared" si="3"/>
        <v>5.666666666666667</v>
      </c>
      <c r="W22" s="33">
        <v>0</v>
      </c>
      <c r="X22" s="33">
        <f t="shared" si="4"/>
        <v>375.10759810332092</v>
      </c>
      <c r="Y22" s="38">
        <f t="shared" si="5"/>
        <v>80.668913436353535</v>
      </c>
      <c r="AA22" s="71">
        <v>17</v>
      </c>
      <c r="AB22" s="33">
        <f t="shared" si="6"/>
        <v>0</v>
      </c>
      <c r="AC22" s="304">
        <f t="shared" si="7"/>
        <v>0</v>
      </c>
      <c r="AD22" s="100">
        <f t="shared" si="8"/>
        <v>0</v>
      </c>
      <c r="AE22" s="100">
        <f t="shared" si="9"/>
        <v>0</v>
      </c>
      <c r="AF22" s="193">
        <f t="shared" si="25"/>
        <v>0</v>
      </c>
      <c r="AG22" s="193">
        <f t="shared" si="26"/>
        <v>0</v>
      </c>
      <c r="AH22" s="193">
        <f t="shared" si="27"/>
        <v>0</v>
      </c>
      <c r="AI22" s="198">
        <f t="shared" si="28"/>
        <v>0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3">
        <f t="shared" si="17"/>
        <v>0</v>
      </c>
      <c r="AR22" s="193">
        <f t="shared" si="17"/>
        <v>0</v>
      </c>
      <c r="AS22" s="193">
        <f t="shared" si="17"/>
        <v>0</v>
      </c>
      <c r="AT22" s="193">
        <f t="shared" si="17"/>
        <v>0</v>
      </c>
      <c r="AU22" s="33"/>
      <c r="AV22" s="33"/>
      <c r="AW22" s="33"/>
      <c r="AX22" s="33"/>
      <c r="AY22" s="163">
        <f t="shared" si="24"/>
        <v>0</v>
      </c>
    </row>
    <row r="23" spans="2:51">
      <c r="B23" s="386" t="s">
        <v>142</v>
      </c>
      <c r="C23" s="387"/>
      <c r="D23" s="387"/>
      <c r="E23" s="387"/>
      <c r="F23" s="387"/>
      <c r="G23" s="388"/>
      <c r="I23" s="55">
        <v>18</v>
      </c>
      <c r="J23" s="33">
        <f t="shared" si="18"/>
        <v>7.56</v>
      </c>
      <c r="K23" s="33">
        <f t="shared" si="19"/>
        <v>2.7530488868114218</v>
      </c>
      <c r="L23" s="33">
        <f t="shared" si="20"/>
        <v>70</v>
      </c>
      <c r="M23" s="33">
        <f t="shared" si="21"/>
        <v>6</v>
      </c>
      <c r="N23" s="33">
        <f t="shared" si="0"/>
        <v>0</v>
      </c>
      <c r="O23" s="34">
        <f t="shared" si="1"/>
        <v>296.6285601445299</v>
      </c>
      <c r="P23" s="55">
        <v>18</v>
      </c>
      <c r="Q23" s="33">
        <f t="shared" si="15"/>
        <v>33.150000000000006</v>
      </c>
      <c r="R23" s="33">
        <f t="shared" si="22"/>
        <v>146.90000000000003</v>
      </c>
      <c r="S23" s="33">
        <f t="shared" si="23"/>
        <v>55.822000000000017</v>
      </c>
      <c r="T23" s="33">
        <f t="shared" si="2"/>
        <v>16.107543378557729</v>
      </c>
      <c r="U23" s="33">
        <f t="shared" si="16"/>
        <v>70</v>
      </c>
      <c r="V23" s="33">
        <f t="shared" si="3"/>
        <v>6</v>
      </c>
      <c r="W23" s="33">
        <v>0</v>
      </c>
      <c r="X23" s="33">
        <f t="shared" si="4"/>
        <v>403.94395471765478</v>
      </c>
      <c r="Y23" s="38">
        <f t="shared" si="5"/>
        <v>107.31539457312488</v>
      </c>
      <c r="AA23" s="71">
        <v>18</v>
      </c>
      <c r="AB23" s="33">
        <f t="shared" si="6"/>
        <v>0</v>
      </c>
      <c r="AC23" s="304">
        <f t="shared" si="7"/>
        <v>0</v>
      </c>
      <c r="AD23" s="100">
        <f t="shared" si="8"/>
        <v>0</v>
      </c>
      <c r="AE23" s="100">
        <f t="shared" si="9"/>
        <v>0</v>
      </c>
      <c r="AF23" s="193">
        <f t="shared" si="25"/>
        <v>0</v>
      </c>
      <c r="AG23" s="193">
        <f t="shared" si="26"/>
        <v>0</v>
      </c>
      <c r="AH23" s="193">
        <f t="shared" si="27"/>
        <v>0</v>
      </c>
      <c r="AI23" s="198">
        <f t="shared" si="28"/>
        <v>0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3">
        <f t="shared" si="17"/>
        <v>0</v>
      </c>
      <c r="AR23" s="193">
        <f t="shared" si="17"/>
        <v>0</v>
      </c>
      <c r="AS23" s="193">
        <f t="shared" si="17"/>
        <v>0</v>
      </c>
      <c r="AT23" s="193">
        <f t="shared" si="17"/>
        <v>0</v>
      </c>
      <c r="AU23" s="33"/>
      <c r="AV23" s="33"/>
      <c r="AW23" s="33"/>
      <c r="AX23" s="33"/>
      <c r="AY23" s="163">
        <f t="shared" si="24"/>
        <v>0</v>
      </c>
    </row>
    <row r="24" spans="2:51">
      <c r="B24" s="47" t="s">
        <v>114</v>
      </c>
      <c r="C24" s="48" t="s">
        <v>115</v>
      </c>
      <c r="D24" s="48" t="s">
        <v>83</v>
      </c>
      <c r="E24" s="48" t="s">
        <v>117</v>
      </c>
      <c r="F24" s="48" t="s">
        <v>116</v>
      </c>
      <c r="G24" s="49" t="s">
        <v>141</v>
      </c>
      <c r="I24" s="55">
        <v>19</v>
      </c>
      <c r="J24" s="33">
        <f t="shared" si="18"/>
        <v>7.9799999999999995</v>
      </c>
      <c r="K24" s="33">
        <f t="shared" si="19"/>
        <v>2.8877648089424257</v>
      </c>
      <c r="L24" s="33">
        <f t="shared" si="20"/>
        <v>70</v>
      </c>
      <c r="M24" s="33">
        <f t="shared" si="21"/>
        <v>6.333333333333333</v>
      </c>
      <c r="N24" s="33">
        <f t="shared" si="0"/>
        <v>0</v>
      </c>
      <c r="O24" s="34">
        <f t="shared" si="1"/>
        <v>298.81691259779694</v>
      </c>
      <c r="P24" s="55">
        <v>19</v>
      </c>
      <c r="Q24" s="33">
        <f t="shared" si="15"/>
        <v>33.150000000000006</v>
      </c>
      <c r="R24" s="33">
        <f t="shared" si="22"/>
        <v>180.05000000000004</v>
      </c>
      <c r="S24" s="33">
        <f t="shared" si="23"/>
        <v>68.419000000000011</v>
      </c>
      <c r="T24" s="33">
        <f t="shared" si="2"/>
        <v>19.28031906775724</v>
      </c>
      <c r="U24" s="33">
        <f t="shared" si="16"/>
        <v>70</v>
      </c>
      <c r="V24" s="33">
        <f t="shared" si="3"/>
        <v>6.333333333333333</v>
      </c>
      <c r="W24" s="33">
        <v>0</v>
      </c>
      <c r="X24" s="33">
        <f t="shared" si="4"/>
        <v>432.63186959856608</v>
      </c>
      <c r="Y24" s="38">
        <f t="shared" si="5"/>
        <v>133.81495700076914</v>
      </c>
      <c r="AA24" s="71">
        <v>19</v>
      </c>
      <c r="AB24" s="33">
        <f t="shared" si="6"/>
        <v>0</v>
      </c>
      <c r="AC24" s="304">
        <f t="shared" si="7"/>
        <v>0</v>
      </c>
      <c r="AD24" s="100">
        <f t="shared" si="8"/>
        <v>0</v>
      </c>
      <c r="AE24" s="100">
        <f t="shared" si="9"/>
        <v>0</v>
      </c>
      <c r="AF24" s="193">
        <f t="shared" si="25"/>
        <v>0</v>
      </c>
      <c r="AG24" s="193">
        <f t="shared" si="26"/>
        <v>0</v>
      </c>
      <c r="AH24" s="193">
        <f t="shared" si="27"/>
        <v>0</v>
      </c>
      <c r="AI24" s="198">
        <f t="shared" si="28"/>
        <v>0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3">
        <f t="shared" si="17"/>
        <v>0</v>
      </c>
      <c r="AR24" s="193">
        <f t="shared" si="17"/>
        <v>0</v>
      </c>
      <c r="AS24" s="193">
        <f t="shared" si="17"/>
        <v>0</v>
      </c>
      <c r="AT24" s="193">
        <f t="shared" si="17"/>
        <v>0</v>
      </c>
      <c r="AU24" s="33"/>
      <c r="AV24" s="33"/>
      <c r="AW24" s="33"/>
      <c r="AX24" s="33"/>
      <c r="AY24" s="163">
        <f t="shared" si="24"/>
        <v>0</v>
      </c>
    </row>
    <row r="25" spans="2:51">
      <c r="B25" s="45">
        <v>0</v>
      </c>
      <c r="C25" s="333">
        <v>15</v>
      </c>
      <c r="D25" s="135">
        <f>D26+0</f>
        <v>62</v>
      </c>
      <c r="E25" s="139">
        <f t="shared" ref="E25:E52" si="29">$F$20</f>
        <v>1.3</v>
      </c>
      <c r="F25" s="46">
        <f t="shared" ref="F25:F52" si="30">D25*E25</f>
        <v>80.600000000000009</v>
      </c>
      <c r="G25" s="50">
        <f>F25/(C25-B25)</f>
        <v>5.373333333333334</v>
      </c>
      <c r="I25" s="55">
        <v>20</v>
      </c>
      <c r="J25" s="33">
        <f t="shared" si="18"/>
        <v>8.4</v>
      </c>
      <c r="K25" s="33">
        <f t="shared" si="19"/>
        <v>3.0216575404908177</v>
      </c>
      <c r="L25" s="33">
        <f t="shared" si="20"/>
        <v>70</v>
      </c>
      <c r="M25" s="33">
        <f t="shared" si="21"/>
        <v>6.666666666666667</v>
      </c>
      <c r="N25" s="33">
        <f t="shared" si="0"/>
        <v>0</v>
      </c>
      <c r="O25" s="34">
        <f t="shared" si="1"/>
        <v>301.003831327466</v>
      </c>
      <c r="P25" s="55">
        <v>20</v>
      </c>
      <c r="Q25" s="33">
        <f t="shared" si="15"/>
        <v>33.150000000000006</v>
      </c>
      <c r="R25" s="33">
        <f t="shared" si="22"/>
        <v>213.20000000000005</v>
      </c>
      <c r="S25" s="33">
        <f t="shared" si="23"/>
        <v>81.01600000000002</v>
      </c>
      <c r="T25" s="33">
        <f t="shared" si="2"/>
        <v>22.385418657388872</v>
      </c>
      <c r="U25" s="33">
        <f t="shared" si="16"/>
        <v>70</v>
      </c>
      <c r="V25" s="33">
        <f t="shared" si="3"/>
        <v>6.666666666666667</v>
      </c>
      <c r="W25" s="33">
        <v>0</v>
      </c>
      <c r="X25" s="33">
        <f t="shared" si="4"/>
        <v>461.20191527273005</v>
      </c>
      <c r="Y25" s="38">
        <f t="shared" si="5"/>
        <v>160.19808394526405</v>
      </c>
      <c r="AA25" s="71">
        <v>20</v>
      </c>
      <c r="AB25" s="33">
        <f t="shared" si="6"/>
        <v>0</v>
      </c>
      <c r="AC25" s="304">
        <f t="shared" si="7"/>
        <v>0</v>
      </c>
      <c r="AD25" s="100">
        <f t="shared" si="8"/>
        <v>0</v>
      </c>
      <c r="AE25" s="100">
        <f t="shared" si="9"/>
        <v>0</v>
      </c>
      <c r="AF25" s="193">
        <f>IF(OR(AA25&lt;=$F$18,AA25&lt;=30),EXP(-LN(2)/$D$104)*AF24+((1-EXP(-LN(2)/$D$104))/(LN(2)/$D$104))*$AB25*AC25*0.475*$F$19*44/12,)</f>
        <v>0</v>
      </c>
      <c r="AG25" s="193">
        <f>IF(OR(AA25&lt;=$F$18,AA25&lt;=30),EXP(-LN(2)/$D$106)*AG24+((1-EXP(-LN(2)/$D$106))/(LN(2)/$D$106))*$AB25*AD25*0.475*$F$19*44/12,)</f>
        <v>0</v>
      </c>
      <c r="AH25" s="193">
        <f>IF(OR(AA25&lt;=$F$18,AA25&lt;=30),EXP(-LN(2)/$D$105)*AH24+((1-EXP(-LN(2)/$D$105))/(LN(2)/$D$105))*$AB25*AE25*0.475*$F$19*44/12,)</f>
        <v>0</v>
      </c>
      <c r="AI25" s="198">
        <f>IF(OR(AA25&lt;=$F$18,AA25&lt;=30),SUM(AF25:AH25),)</f>
        <v>0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3">
        <f>IF($AK25&lt;=$F$18,$AL25*AM25,)</f>
        <v>0</v>
      </c>
      <c r="AR25" s="193">
        <f>IF($AK25&lt;=$F$18,$AL25*AN25,)</f>
        <v>0</v>
      </c>
      <c r="AS25" s="193">
        <f>IF($AK25&lt;=$F$18,$AL25*AO25,)</f>
        <v>0</v>
      </c>
      <c r="AT25" s="193">
        <f>IF($AK25&lt;=$F$18,$AL25*AP25,)</f>
        <v>0</v>
      </c>
      <c r="AU25" s="33"/>
      <c r="AV25" s="33"/>
      <c r="AW25" s="33"/>
      <c r="AX25" s="33"/>
      <c r="AY25" s="163">
        <f t="shared" si="24"/>
        <v>0</v>
      </c>
    </row>
    <row r="26" spans="2:51">
      <c r="B26" s="40">
        <f t="shared" ref="B26:B52" si="31">C25</f>
        <v>15</v>
      </c>
      <c r="C26" s="41">
        <f>B26+1</f>
        <v>16</v>
      </c>
      <c r="D26" s="136">
        <v>62</v>
      </c>
      <c r="E26" s="140">
        <f t="shared" si="29"/>
        <v>1.3</v>
      </c>
      <c r="F26" s="42">
        <f t="shared" si="30"/>
        <v>80.600000000000009</v>
      </c>
      <c r="G26" s="141">
        <f>(F26-F25)/(C26-B26)</f>
        <v>0</v>
      </c>
      <c r="I26" s="55">
        <v>21</v>
      </c>
      <c r="J26" s="33">
        <f t="shared" si="18"/>
        <v>8.82</v>
      </c>
      <c r="K26" s="33">
        <f t="shared" si="19"/>
        <v>3.1547729376322442</v>
      </c>
      <c r="L26" s="33">
        <f t="shared" si="20"/>
        <v>70</v>
      </c>
      <c r="M26" s="33">
        <f t="shared" si="21"/>
        <v>7</v>
      </c>
      <c r="N26" s="33">
        <f t="shared" si="0"/>
        <v>0</v>
      </c>
      <c r="O26" s="34">
        <f t="shared" si="1"/>
        <v>303.18939619970951</v>
      </c>
      <c r="P26" s="55">
        <v>21</v>
      </c>
      <c r="Q26" s="33">
        <f t="shared" si="15"/>
        <v>-33.800000000000011</v>
      </c>
      <c r="R26" s="33">
        <f t="shared" si="22"/>
        <v>179.40000000000003</v>
      </c>
      <c r="S26" s="33">
        <f t="shared" si="23"/>
        <v>68.172000000000011</v>
      </c>
      <c r="T26" s="33">
        <f t="shared" si="2"/>
        <v>19.21880399855084</v>
      </c>
      <c r="U26" s="33">
        <f t="shared" si="16"/>
        <v>70</v>
      </c>
      <c r="V26" s="33">
        <f t="shared" si="3"/>
        <v>7</v>
      </c>
      <c r="W26" s="33">
        <v>0</v>
      </c>
      <c r="X26" s="33">
        <f t="shared" si="4"/>
        <v>434.53898363080935</v>
      </c>
      <c r="Y26" s="38">
        <f t="shared" si="5"/>
        <v>131.34958743109985</v>
      </c>
      <c r="AA26" s="71">
        <v>21</v>
      </c>
      <c r="AB26" s="33">
        <f t="shared" si="6"/>
        <v>26</v>
      </c>
      <c r="AC26" s="304">
        <f t="shared" si="7"/>
        <v>0</v>
      </c>
      <c r="AD26" s="100">
        <f t="shared" si="8"/>
        <v>0.56000000000000005</v>
      </c>
      <c r="AE26" s="100">
        <f t="shared" si="9"/>
        <v>0.44</v>
      </c>
      <c r="AF26" s="193">
        <f>IF(OR(AA26&lt;=$F$18,AA26&lt;=30),EXP(-LN(2)/$D$104)*AF25+((1-EXP(-LN(2)/$D$104))/(LN(2)/$D$104))*$AB26*AC26*0.475*$F$19*44/12,)</f>
        <v>0</v>
      </c>
      <c r="AG26" s="193">
        <f>IF(OR(AA26&lt;=$F$18,AA26&lt;=30),EXP(-LN(2)/$D$106)*AG25+((1-EXP(-LN(2)/$D$106))/(LN(2)/$D$106))*$AB26*AD26*0.475*$F$19*44/12,)</f>
        <v>9.5039320414524031</v>
      </c>
      <c r="AH26" s="193">
        <f>IF(OR(AA26&lt;=$F$18,AA26&lt;=30),EXP(-LN(2)/$D$105)*AH25+((1-EXP(-LN(2)/$D$105))/(LN(2)/$D$105))*$AB26*AE26*0.475*$F$19*44/12,)</f>
        <v>6.3986523169491685</v>
      </c>
      <c r="AI26" s="198">
        <f>IF(OR(AA26&lt;=$F$18,AA26&lt;=30),SUM(AF26:AH26),)</f>
        <v>15.902584358401572</v>
      </c>
      <c r="AK26" s="71">
        <v>21</v>
      </c>
      <c r="AL26" s="33">
        <f t="shared" si="10"/>
        <v>26</v>
      </c>
      <c r="AM26" s="33">
        <f t="shared" si="11"/>
        <v>0</v>
      </c>
      <c r="AN26" s="33">
        <f t="shared" si="12"/>
        <v>0.56000000000000005</v>
      </c>
      <c r="AO26" s="33">
        <f t="shared" si="13"/>
        <v>0.44</v>
      </c>
      <c r="AP26" s="33">
        <f t="shared" si="14"/>
        <v>0</v>
      </c>
      <c r="AQ26" s="193">
        <f t="shared" ref="AQ26:AT35" si="32">IF($AK26&lt;=$F$18,$AL26*AM26,)</f>
        <v>0</v>
      </c>
      <c r="AR26" s="193">
        <f t="shared" si="32"/>
        <v>14.560000000000002</v>
      </c>
      <c r="AS26" s="193">
        <f t="shared" si="32"/>
        <v>11.44</v>
      </c>
      <c r="AT26" s="193">
        <f t="shared" si="32"/>
        <v>0</v>
      </c>
      <c r="AU26" s="33"/>
      <c r="AV26" s="33"/>
      <c r="AW26" s="33"/>
      <c r="AX26" s="33"/>
      <c r="AY26" s="163">
        <f t="shared" si="24"/>
        <v>11.18</v>
      </c>
    </row>
    <row r="27" spans="2:51">
      <c r="B27" s="40">
        <f t="shared" si="31"/>
        <v>16</v>
      </c>
      <c r="C27" s="151">
        <f>C25+5</f>
        <v>20</v>
      </c>
      <c r="D27" s="136">
        <f>D28+26</f>
        <v>164</v>
      </c>
      <c r="E27" s="140">
        <f t="shared" si="29"/>
        <v>1.3</v>
      </c>
      <c r="F27" s="42">
        <f t="shared" si="30"/>
        <v>213.20000000000002</v>
      </c>
      <c r="G27" s="51">
        <f t="shared" ref="G27:G52" si="33">(F27-F26)/(C27-B27)</f>
        <v>33.150000000000006</v>
      </c>
      <c r="I27" s="55">
        <v>22</v>
      </c>
      <c r="J27" s="33">
        <f t="shared" si="18"/>
        <v>9.24</v>
      </c>
      <c r="K27" s="33">
        <f t="shared" si="19"/>
        <v>3.2871522425130331</v>
      </c>
      <c r="L27" s="33">
        <f t="shared" si="20"/>
        <v>70</v>
      </c>
      <c r="M27" s="33">
        <f t="shared" si="21"/>
        <v>7.333333333333333</v>
      </c>
      <c r="N27" s="33">
        <f t="shared" si="0"/>
        <v>0</v>
      </c>
      <c r="O27" s="34">
        <f t="shared" si="1"/>
        <v>305.3736790445991</v>
      </c>
      <c r="P27" s="55">
        <v>22</v>
      </c>
      <c r="Q27" s="33">
        <f t="shared" si="15"/>
        <v>42.9</v>
      </c>
      <c r="R27" s="33">
        <f t="shared" si="22"/>
        <v>222.30000000000004</v>
      </c>
      <c r="S27" s="33">
        <f t="shared" si="23"/>
        <v>84.474000000000018</v>
      </c>
      <c r="T27" s="33">
        <f t="shared" si="2"/>
        <v>23.22761185162317</v>
      </c>
      <c r="U27" s="33">
        <f t="shared" si="16"/>
        <v>70</v>
      </c>
      <c r="V27" s="33">
        <f t="shared" si="3"/>
        <v>7.333333333333333</v>
      </c>
      <c r="W27" s="33">
        <v>0</v>
      </c>
      <c r="X27" s="33">
        <f t="shared" si="4"/>
        <v>471.13586286379928</v>
      </c>
      <c r="Y27" s="38">
        <f t="shared" si="5"/>
        <v>165.76218381920017</v>
      </c>
      <c r="AA27" s="71">
        <v>22</v>
      </c>
      <c r="AB27" s="33">
        <f t="shared" si="6"/>
        <v>0</v>
      </c>
      <c r="AC27" s="304">
        <f t="shared" si="7"/>
        <v>0</v>
      </c>
      <c r="AD27" s="100">
        <f t="shared" si="8"/>
        <v>0</v>
      </c>
      <c r="AE27" s="100">
        <f t="shared" si="9"/>
        <v>0</v>
      </c>
      <c r="AF27" s="193">
        <f t="shared" ref="AF27:AF90" si="34">IF(OR(AA27&lt;=$F$18,AA27&lt;=30),EXP(-LN(2)/$D$104)*AF26+((1-EXP(-LN(2)/$D$104))/(LN(2)/$D$104))*$AB27*AC27*0.475*$F$19*44/12,)</f>
        <v>0</v>
      </c>
      <c r="AG27" s="193">
        <f t="shared" ref="AG27:AG90" si="35">IF(OR(AA27&lt;=$F$18,AA27&lt;=30),EXP(-LN(2)/$D$106)*AG26+((1-EXP(-LN(2)/$D$106))/(LN(2)/$D$106))*$AB27*AD27*0.475*$F$19*44/12,)</f>
        <v>9.2440465199888227</v>
      </c>
      <c r="AH27" s="193">
        <f t="shared" ref="AH27:AH90" si="36">IF(OR(AA27&lt;=$F$18,AA27&lt;=30),EXP(-LN(2)/$D$105)*AH26+((1-EXP(-LN(2)/$D$105))/(LN(2)/$D$105))*$AB27*AE27*0.475*$F$19*44/12,)</f>
        <v>4.5245304437697715</v>
      </c>
      <c r="AI27" s="198">
        <f t="shared" ref="AI27:AI90" si="37">IF(OR(AA27&lt;=$F$18,AA27&lt;=30),SUM(AF27:AH27),)</f>
        <v>13.768576963758594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3">
        <f t="shared" si="32"/>
        <v>0</v>
      </c>
      <c r="AR27" s="193">
        <f t="shared" si="32"/>
        <v>0</v>
      </c>
      <c r="AS27" s="193">
        <f t="shared" si="32"/>
        <v>0</v>
      </c>
      <c r="AT27" s="193">
        <f t="shared" si="32"/>
        <v>0</v>
      </c>
      <c r="AU27" s="33"/>
      <c r="AV27" s="33"/>
      <c r="AW27" s="33"/>
      <c r="AX27" s="33"/>
      <c r="AY27" s="163">
        <f t="shared" si="24"/>
        <v>11.18</v>
      </c>
    </row>
    <row r="28" spans="2:51">
      <c r="B28" s="40">
        <f t="shared" si="31"/>
        <v>20</v>
      </c>
      <c r="C28" s="151">
        <f>C26+5</f>
        <v>21</v>
      </c>
      <c r="D28" s="136">
        <v>138</v>
      </c>
      <c r="E28" s="140">
        <f t="shared" si="29"/>
        <v>1.3</v>
      </c>
      <c r="F28" s="42">
        <f t="shared" si="30"/>
        <v>179.4</v>
      </c>
      <c r="G28" s="51">
        <f t="shared" si="33"/>
        <v>-33.800000000000011</v>
      </c>
      <c r="I28" s="55">
        <v>23</v>
      </c>
      <c r="J28" s="33">
        <f t="shared" si="18"/>
        <v>9.66</v>
      </c>
      <c r="K28" s="33">
        <f t="shared" si="19"/>
        <v>3.4188327360603257</v>
      </c>
      <c r="L28" s="33">
        <f t="shared" si="20"/>
        <v>70</v>
      </c>
      <c r="M28" s="33">
        <f t="shared" si="21"/>
        <v>7.666666666666667</v>
      </c>
      <c r="N28" s="33">
        <f t="shared" si="0"/>
        <v>0</v>
      </c>
      <c r="O28" s="34">
        <f t="shared" si="1"/>
        <v>307.55674479308283</v>
      </c>
      <c r="P28" s="55">
        <v>23</v>
      </c>
      <c r="Q28" s="33">
        <f t="shared" si="15"/>
        <v>42.9</v>
      </c>
      <c r="R28" s="33">
        <f t="shared" si="22"/>
        <v>265.20000000000005</v>
      </c>
      <c r="S28" s="33">
        <f t="shared" si="23"/>
        <v>100.77600000000002</v>
      </c>
      <c r="T28" s="33">
        <f t="shared" si="2"/>
        <v>27.146785593902472</v>
      </c>
      <c r="U28" s="33">
        <f t="shared" si="16"/>
        <v>70</v>
      </c>
      <c r="V28" s="33">
        <f t="shared" si="3"/>
        <v>7.666666666666667</v>
      </c>
      <c r="W28" s="33">
        <v>0</v>
      </c>
      <c r="X28" s="33">
        <f t="shared" si="4"/>
        <v>507.57662935382456</v>
      </c>
      <c r="Y28" s="38">
        <f t="shared" si="5"/>
        <v>200.01988456074173</v>
      </c>
      <c r="AA28" s="71">
        <v>23</v>
      </c>
      <c r="AB28" s="33">
        <f t="shared" si="6"/>
        <v>0</v>
      </c>
      <c r="AC28" s="304">
        <f t="shared" si="7"/>
        <v>0</v>
      </c>
      <c r="AD28" s="100">
        <f t="shared" si="8"/>
        <v>0</v>
      </c>
      <c r="AE28" s="100">
        <f t="shared" si="9"/>
        <v>0</v>
      </c>
      <c r="AF28" s="193">
        <f t="shared" si="34"/>
        <v>0</v>
      </c>
      <c r="AG28" s="193">
        <f t="shared" si="35"/>
        <v>8.9912675817764498</v>
      </c>
      <c r="AH28" s="193">
        <f t="shared" si="36"/>
        <v>3.1993261584745847</v>
      </c>
      <c r="AI28" s="198">
        <f t="shared" si="37"/>
        <v>12.190593740251035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3">
        <f t="shared" si="32"/>
        <v>0</v>
      </c>
      <c r="AR28" s="193">
        <f t="shared" si="32"/>
        <v>0</v>
      </c>
      <c r="AS28" s="193">
        <f t="shared" si="32"/>
        <v>0</v>
      </c>
      <c r="AT28" s="193">
        <f t="shared" si="32"/>
        <v>0</v>
      </c>
      <c r="AU28" s="33"/>
      <c r="AV28" s="33"/>
      <c r="AW28" s="33"/>
      <c r="AX28" s="33"/>
      <c r="AY28" s="163">
        <f t="shared" si="24"/>
        <v>11.18</v>
      </c>
    </row>
    <row r="29" spans="2:51">
      <c r="B29" s="40">
        <f t="shared" si="31"/>
        <v>21</v>
      </c>
      <c r="C29" s="151">
        <f t="shared" ref="C29:C52" si="38">C27+5</f>
        <v>25</v>
      </c>
      <c r="D29" s="136">
        <f>D30+70</f>
        <v>270</v>
      </c>
      <c r="E29" s="140">
        <f t="shared" si="29"/>
        <v>1.3</v>
      </c>
      <c r="F29" s="42">
        <f t="shared" si="30"/>
        <v>351</v>
      </c>
      <c r="G29" s="51">
        <f t="shared" si="33"/>
        <v>42.9</v>
      </c>
      <c r="I29" s="55">
        <v>24</v>
      </c>
      <c r="J29" s="33">
        <f t="shared" si="18"/>
        <v>10.08</v>
      </c>
      <c r="K29" s="33">
        <f t="shared" si="19"/>
        <v>3.5498482740564596</v>
      </c>
      <c r="L29" s="33">
        <f t="shared" si="20"/>
        <v>70</v>
      </c>
      <c r="M29" s="33">
        <f t="shared" si="21"/>
        <v>8</v>
      </c>
      <c r="N29" s="33">
        <f t="shared" si="0"/>
        <v>0</v>
      </c>
      <c r="O29" s="34">
        <f t="shared" si="1"/>
        <v>309.73865241064834</v>
      </c>
      <c r="P29" s="55">
        <v>24</v>
      </c>
      <c r="Q29" s="33">
        <f t="shared" si="15"/>
        <v>42.9</v>
      </c>
      <c r="R29" s="33">
        <f t="shared" si="22"/>
        <v>308.10000000000002</v>
      </c>
      <c r="S29" s="33">
        <f t="shared" si="23"/>
        <v>117.078</v>
      </c>
      <c r="T29" s="33">
        <f t="shared" si="2"/>
        <v>30.992516099227821</v>
      </c>
      <c r="U29" s="33">
        <f t="shared" si="16"/>
        <v>70</v>
      </c>
      <c r="V29" s="33">
        <f t="shared" si="3"/>
        <v>8</v>
      </c>
      <c r="W29" s="33">
        <v>0</v>
      </c>
      <c r="X29" s="33">
        <f t="shared" si="4"/>
        <v>543.88948220615509</v>
      </c>
      <c r="Y29" s="38">
        <f t="shared" si="5"/>
        <v>234.15082979550675</v>
      </c>
      <c r="AA29" s="71">
        <v>24</v>
      </c>
      <c r="AB29" s="33">
        <f t="shared" si="6"/>
        <v>0</v>
      </c>
      <c r="AC29" s="304">
        <f t="shared" si="7"/>
        <v>0</v>
      </c>
      <c r="AD29" s="100">
        <f t="shared" si="8"/>
        <v>0</v>
      </c>
      <c r="AE29" s="100">
        <f t="shared" si="9"/>
        <v>0</v>
      </c>
      <c r="AF29" s="193">
        <f t="shared" si="34"/>
        <v>0</v>
      </c>
      <c r="AG29" s="193">
        <f t="shared" si="35"/>
        <v>8.7454008969225612</v>
      </c>
      <c r="AH29" s="193">
        <f t="shared" si="36"/>
        <v>2.2622652218848858</v>
      </c>
      <c r="AI29" s="198">
        <f t="shared" si="37"/>
        <v>11.007666118807446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3">
        <f t="shared" si="32"/>
        <v>0</v>
      </c>
      <c r="AR29" s="193">
        <f t="shared" si="32"/>
        <v>0</v>
      </c>
      <c r="AS29" s="193">
        <f t="shared" si="32"/>
        <v>0</v>
      </c>
      <c r="AT29" s="193">
        <f t="shared" si="32"/>
        <v>0</v>
      </c>
      <c r="AU29" s="33"/>
      <c r="AV29" s="33"/>
      <c r="AW29" s="33"/>
      <c r="AX29" s="33"/>
      <c r="AY29" s="163">
        <f t="shared" si="24"/>
        <v>11.18</v>
      </c>
    </row>
    <row r="30" spans="2:51">
      <c r="B30" s="40">
        <f t="shared" si="31"/>
        <v>25</v>
      </c>
      <c r="C30" s="151">
        <f t="shared" si="38"/>
        <v>26</v>
      </c>
      <c r="D30" s="136">
        <v>200</v>
      </c>
      <c r="E30" s="140">
        <f t="shared" si="29"/>
        <v>1.3</v>
      </c>
      <c r="F30" s="42">
        <f t="shared" si="30"/>
        <v>260</v>
      </c>
      <c r="G30" s="51">
        <f t="shared" si="33"/>
        <v>-91</v>
      </c>
      <c r="I30" s="55">
        <v>25</v>
      </c>
      <c r="J30" s="33">
        <f t="shared" si="18"/>
        <v>10.5</v>
      </c>
      <c r="K30" s="33">
        <f t="shared" si="19"/>
        <v>3.6802297313500394</v>
      </c>
      <c r="L30" s="33">
        <f t="shared" si="20"/>
        <v>70</v>
      </c>
      <c r="M30" s="33">
        <f t="shared" si="21"/>
        <v>8.3333333333333339</v>
      </c>
      <c r="N30" s="33">
        <f t="shared" si="0"/>
        <v>0</v>
      </c>
      <c r="O30" s="34">
        <f t="shared" si="1"/>
        <v>311.9194556709902</v>
      </c>
      <c r="P30" s="55">
        <v>25</v>
      </c>
      <c r="Q30" s="33">
        <f t="shared" si="15"/>
        <v>42.9</v>
      </c>
      <c r="R30" s="33">
        <f t="shared" si="22"/>
        <v>351</v>
      </c>
      <c r="S30" s="33">
        <f t="shared" si="23"/>
        <v>133.38</v>
      </c>
      <c r="T30" s="33">
        <f t="shared" si="2"/>
        <v>34.776207535548991</v>
      </c>
      <c r="U30" s="33">
        <f t="shared" si="16"/>
        <v>70</v>
      </c>
      <c r="V30" s="33">
        <f t="shared" si="3"/>
        <v>8.3333333333333339</v>
      </c>
      <c r="W30" s="33">
        <v>0</v>
      </c>
      <c r="X30" s="33">
        <f t="shared" si="4"/>
        <v>580.09428367997009</v>
      </c>
      <c r="Y30" s="38">
        <f t="shared" si="5"/>
        <v>268.17482800897989</v>
      </c>
      <c r="AA30" s="71">
        <v>25</v>
      </c>
      <c r="AB30" s="33">
        <f t="shared" si="6"/>
        <v>0</v>
      </c>
      <c r="AC30" s="304">
        <f>IF(AA30&lt;=$F$18,IFERROR(VLOOKUP($AA30,$B$82:$G$94,3,FALSE),0),)*50%</f>
        <v>0</v>
      </c>
      <c r="AD30" s="100">
        <f t="shared" si="8"/>
        <v>0</v>
      </c>
      <c r="AE30" s="100">
        <f t="shared" si="9"/>
        <v>0</v>
      </c>
      <c r="AF30" s="193">
        <f t="shared" si="34"/>
        <v>0</v>
      </c>
      <c r="AG30" s="193">
        <f t="shared" si="35"/>
        <v>8.5062574494955676</v>
      </c>
      <c r="AH30" s="193">
        <f t="shared" si="36"/>
        <v>1.5996630792372923</v>
      </c>
      <c r="AI30" s="198">
        <f t="shared" si="37"/>
        <v>10.10592052873286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3">
        <f t="shared" si="32"/>
        <v>0</v>
      </c>
      <c r="AR30" s="193">
        <f t="shared" si="32"/>
        <v>0</v>
      </c>
      <c r="AS30" s="193">
        <f t="shared" si="32"/>
        <v>0</v>
      </c>
      <c r="AT30" s="193">
        <f t="shared" si="32"/>
        <v>0</v>
      </c>
      <c r="AU30" s="33"/>
      <c r="AV30" s="33"/>
      <c r="AW30" s="33"/>
      <c r="AX30" s="33"/>
      <c r="AY30" s="163">
        <f t="shared" si="24"/>
        <v>11.18</v>
      </c>
    </row>
    <row r="31" spans="2:51">
      <c r="B31" s="40">
        <f t="shared" si="31"/>
        <v>26</v>
      </c>
      <c r="C31" s="151">
        <f t="shared" si="38"/>
        <v>30</v>
      </c>
      <c r="D31" s="136">
        <f>D32+70</f>
        <v>343</v>
      </c>
      <c r="E31" s="140">
        <f t="shared" si="29"/>
        <v>1.3</v>
      </c>
      <c r="F31" s="42">
        <f t="shared" si="30"/>
        <v>445.90000000000003</v>
      </c>
      <c r="G31" s="51">
        <f t="shared" si="33"/>
        <v>46.475000000000009</v>
      </c>
      <c r="I31" s="55">
        <v>26</v>
      </c>
      <c r="J31" s="33">
        <f t="shared" si="18"/>
        <v>10.92</v>
      </c>
      <c r="K31" s="33">
        <f t="shared" si="19"/>
        <v>3.810005372992582</v>
      </c>
      <c r="L31" s="33">
        <f t="shared" si="20"/>
        <v>70</v>
      </c>
      <c r="M31" s="33">
        <f t="shared" si="21"/>
        <v>8.6666666666666661</v>
      </c>
      <c r="N31" s="33">
        <f t="shared" si="0"/>
        <v>0</v>
      </c>
      <c r="O31" s="34">
        <f t="shared" si="1"/>
        <v>314.09920380240652</v>
      </c>
      <c r="P31" s="55">
        <v>26</v>
      </c>
      <c r="Q31" s="33">
        <f t="shared" si="15"/>
        <v>-91</v>
      </c>
      <c r="R31" s="33">
        <f t="shared" si="22"/>
        <v>260</v>
      </c>
      <c r="S31" s="33">
        <f t="shared" si="23"/>
        <v>98.8</v>
      </c>
      <c r="T31" s="33">
        <f t="shared" si="2"/>
        <v>26.675913537633292</v>
      </c>
      <c r="U31" s="33">
        <f t="shared" si="16"/>
        <v>70</v>
      </c>
      <c r="V31" s="33">
        <f t="shared" si="3"/>
        <v>8.6666666666666661</v>
      </c>
      <c r="W31" s="33">
        <v>0</v>
      </c>
      <c r="X31" s="33">
        <f t="shared" si="4"/>
        <v>506.98166052248911</v>
      </c>
      <c r="Y31" s="38">
        <f t="shared" si="5"/>
        <v>192.88245672008259</v>
      </c>
      <c r="AA31" s="71">
        <v>26</v>
      </c>
      <c r="AB31" s="33">
        <f t="shared" si="6"/>
        <v>70</v>
      </c>
      <c r="AC31" s="304">
        <f t="shared" ref="AC31:AC94" si="39">IF(AA31&lt;=$F$18,IFERROR(VLOOKUP($AA31,$B$82:$G$94,3,FALSE),0),)*50%</f>
        <v>0</v>
      </c>
      <c r="AD31" s="100">
        <f t="shared" si="8"/>
        <v>0.56000000000000005</v>
      </c>
      <c r="AE31" s="100">
        <f t="shared" si="9"/>
        <v>0.44</v>
      </c>
      <c r="AF31" s="193">
        <f t="shared" si="34"/>
        <v>0</v>
      </c>
      <c r="AG31" s="193">
        <f t="shared" si="35"/>
        <v>33.86116273458633</v>
      </c>
      <c r="AH31" s="193">
        <f t="shared" si="36"/>
        <v>18.358273464267125</v>
      </c>
      <c r="AI31" s="198">
        <f t="shared" si="37"/>
        <v>52.219436198853458</v>
      </c>
      <c r="AK31" s="71">
        <v>26</v>
      </c>
      <c r="AL31" s="33">
        <f t="shared" si="10"/>
        <v>70</v>
      </c>
      <c r="AM31" s="33">
        <f t="shared" si="11"/>
        <v>0</v>
      </c>
      <c r="AN31" s="33">
        <f t="shared" si="12"/>
        <v>0.56000000000000005</v>
      </c>
      <c r="AO31" s="33">
        <f t="shared" si="13"/>
        <v>0.44</v>
      </c>
      <c r="AP31" s="33">
        <f t="shared" si="14"/>
        <v>0</v>
      </c>
      <c r="AQ31" s="193">
        <f t="shared" si="32"/>
        <v>0</v>
      </c>
      <c r="AR31" s="193">
        <f t="shared" si="32"/>
        <v>39.200000000000003</v>
      </c>
      <c r="AS31" s="193">
        <f t="shared" si="32"/>
        <v>30.8</v>
      </c>
      <c r="AT31" s="193">
        <f t="shared" si="32"/>
        <v>0</v>
      </c>
      <c r="AU31" s="33"/>
      <c r="AV31" s="33"/>
      <c r="AW31" s="33"/>
      <c r="AX31" s="33"/>
      <c r="AY31" s="163">
        <f t="shared" si="24"/>
        <v>41.28</v>
      </c>
    </row>
    <row r="32" spans="2:51">
      <c r="B32" s="40">
        <f t="shared" si="31"/>
        <v>30</v>
      </c>
      <c r="C32" s="151">
        <f t="shared" si="38"/>
        <v>31</v>
      </c>
      <c r="D32" s="136">
        <v>273</v>
      </c>
      <c r="E32" s="140">
        <f t="shared" si="29"/>
        <v>1.3</v>
      </c>
      <c r="F32" s="42">
        <f t="shared" si="30"/>
        <v>354.90000000000003</v>
      </c>
      <c r="G32" s="51">
        <f t="shared" si="33"/>
        <v>-91</v>
      </c>
      <c r="I32" s="55">
        <v>27</v>
      </c>
      <c r="J32" s="33">
        <f t="shared" si="18"/>
        <v>11.34</v>
      </c>
      <c r="K32" s="33">
        <f t="shared" si="19"/>
        <v>3.9392011666712041</v>
      </c>
      <c r="L32" s="33">
        <f t="shared" si="20"/>
        <v>70</v>
      </c>
      <c r="M32" s="33">
        <f t="shared" si="21"/>
        <v>9</v>
      </c>
      <c r="N32" s="33">
        <f t="shared" si="0"/>
        <v>0</v>
      </c>
      <c r="O32" s="34">
        <f t="shared" si="1"/>
        <v>316.27794203195236</v>
      </c>
      <c r="P32" s="55">
        <v>27</v>
      </c>
      <c r="Q32" s="33">
        <f t="shared" si="15"/>
        <v>46.475000000000009</v>
      </c>
      <c r="R32" s="33">
        <f t="shared" si="22"/>
        <v>306.47500000000002</v>
      </c>
      <c r="S32" s="33">
        <f t="shared" si="23"/>
        <v>116.46050000000001</v>
      </c>
      <c r="T32" s="33">
        <f t="shared" si="2"/>
        <v>30.848036089092769</v>
      </c>
      <c r="U32" s="33">
        <f t="shared" si="16"/>
        <v>70</v>
      </c>
      <c r="V32" s="33">
        <f t="shared" si="3"/>
        <v>9</v>
      </c>
      <c r="W32" s="33">
        <v>0</v>
      </c>
      <c r="X32" s="33">
        <f t="shared" si="4"/>
        <v>546.22903368850325</v>
      </c>
      <c r="Y32" s="38">
        <f t="shared" si="5"/>
        <v>229.95109165655089</v>
      </c>
      <c r="AA32" s="71">
        <v>27</v>
      </c>
      <c r="AB32" s="33">
        <f t="shared" si="6"/>
        <v>0</v>
      </c>
      <c r="AC32" s="304">
        <f t="shared" si="39"/>
        <v>0</v>
      </c>
      <c r="AD32" s="100">
        <f t="shared" si="8"/>
        <v>0</v>
      </c>
      <c r="AE32" s="100">
        <f t="shared" si="9"/>
        <v>0</v>
      </c>
      <c r="AF32" s="193">
        <f t="shared" si="34"/>
        <v>0</v>
      </c>
      <c r="AG32" s="193">
        <f t="shared" si="35"/>
        <v>32.935227458927912</v>
      </c>
      <c r="AH32" s="193">
        <f t="shared" si="36"/>
        <v>12.981259657460336</v>
      </c>
      <c r="AI32" s="198">
        <f t="shared" si="37"/>
        <v>45.916487116388247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3">
        <f t="shared" si="32"/>
        <v>0</v>
      </c>
      <c r="AR32" s="193">
        <f t="shared" si="32"/>
        <v>0</v>
      </c>
      <c r="AS32" s="193">
        <f t="shared" si="32"/>
        <v>0</v>
      </c>
      <c r="AT32" s="193">
        <f t="shared" si="32"/>
        <v>0</v>
      </c>
      <c r="AU32" s="33"/>
      <c r="AV32" s="33"/>
      <c r="AW32" s="33"/>
      <c r="AX32" s="33"/>
      <c r="AY32" s="163">
        <f t="shared" si="24"/>
        <v>41.28</v>
      </c>
    </row>
    <row r="33" spans="2:51">
      <c r="B33" s="40">
        <f t="shared" si="31"/>
        <v>31</v>
      </c>
      <c r="C33" s="151">
        <f t="shared" si="38"/>
        <v>35</v>
      </c>
      <c r="D33" s="136">
        <f>D34+70</f>
        <v>418</v>
      </c>
      <c r="E33" s="140">
        <f t="shared" si="29"/>
        <v>1.3</v>
      </c>
      <c r="F33" s="42">
        <f t="shared" si="30"/>
        <v>543.4</v>
      </c>
      <c r="G33" s="51">
        <f t="shared" si="33"/>
        <v>47.124999999999986</v>
      </c>
      <c r="I33" s="55">
        <v>28</v>
      </c>
      <c r="J33" s="33">
        <f t="shared" si="18"/>
        <v>11.76</v>
      </c>
      <c r="K33" s="33">
        <f t="shared" si="19"/>
        <v>4.0678410475538191</v>
      </c>
      <c r="L33" s="33">
        <f t="shared" si="20"/>
        <v>70</v>
      </c>
      <c r="M33" s="33">
        <f t="shared" si="21"/>
        <v>9.3333333333333339</v>
      </c>
      <c r="N33" s="33">
        <f t="shared" si="0"/>
        <v>0</v>
      </c>
      <c r="O33" s="34">
        <f t="shared" si="1"/>
        <v>318.45571204671177</v>
      </c>
      <c r="P33" s="55">
        <v>28</v>
      </c>
      <c r="Q33" s="33">
        <f t="shared" si="15"/>
        <v>46.475000000000009</v>
      </c>
      <c r="R33" s="33">
        <f t="shared" si="22"/>
        <v>352.95000000000005</v>
      </c>
      <c r="S33" s="33">
        <f t="shared" si="23"/>
        <v>134.12100000000001</v>
      </c>
      <c r="T33" s="33">
        <f t="shared" si="2"/>
        <v>34.946864991044272</v>
      </c>
      <c r="U33" s="33">
        <f t="shared" si="16"/>
        <v>70</v>
      </c>
      <c r="V33" s="33">
        <f t="shared" si="3"/>
        <v>9.3333333333333339</v>
      </c>
      <c r="W33" s="33">
        <v>0</v>
      </c>
      <c r="X33" s="33">
        <f t="shared" si="4"/>
        <v>585.34875374829096</v>
      </c>
      <c r="Y33" s="38">
        <f t="shared" si="5"/>
        <v>266.89304170157919</v>
      </c>
      <c r="AA33" s="71">
        <v>28</v>
      </c>
      <c r="AB33" s="33">
        <f t="shared" si="6"/>
        <v>0</v>
      </c>
      <c r="AC33" s="304">
        <f t="shared" si="39"/>
        <v>0</v>
      </c>
      <c r="AD33" s="100">
        <f t="shared" si="8"/>
        <v>0</v>
      </c>
      <c r="AE33" s="100">
        <f t="shared" si="9"/>
        <v>0</v>
      </c>
      <c r="AF33" s="193">
        <f t="shared" si="34"/>
        <v>0</v>
      </c>
      <c r="AG33" s="193">
        <f t="shared" si="35"/>
        <v>32.034611932075194</v>
      </c>
      <c r="AH33" s="193">
        <f t="shared" si="36"/>
        <v>9.1791367321335642</v>
      </c>
      <c r="AI33" s="198">
        <f t="shared" si="37"/>
        <v>41.213748664208758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3">
        <f t="shared" si="32"/>
        <v>0</v>
      </c>
      <c r="AR33" s="193">
        <f t="shared" si="32"/>
        <v>0</v>
      </c>
      <c r="AS33" s="193">
        <f t="shared" si="32"/>
        <v>0</v>
      </c>
      <c r="AT33" s="193">
        <f t="shared" si="32"/>
        <v>0</v>
      </c>
      <c r="AU33" s="33"/>
      <c r="AV33" s="33"/>
      <c r="AW33" s="33"/>
      <c r="AX33" s="33"/>
      <c r="AY33" s="163">
        <f t="shared" si="24"/>
        <v>41.28</v>
      </c>
    </row>
    <row r="34" spans="2:51" ht="16" thickBot="1">
      <c r="B34" s="40">
        <f t="shared" si="31"/>
        <v>35</v>
      </c>
      <c r="C34" s="151">
        <f t="shared" si="38"/>
        <v>36</v>
      </c>
      <c r="D34" s="136">
        <v>348</v>
      </c>
      <c r="E34" s="140">
        <f t="shared" si="29"/>
        <v>1.3</v>
      </c>
      <c r="F34" s="42">
        <f t="shared" si="30"/>
        <v>452.40000000000003</v>
      </c>
      <c r="G34" s="51">
        <f t="shared" si="33"/>
        <v>-90.999999999999943</v>
      </c>
      <c r="I34" s="55">
        <v>29</v>
      </c>
      <c r="J34" s="33">
        <f t="shared" si="18"/>
        <v>12.18</v>
      </c>
      <c r="K34" s="33">
        <f t="shared" si="19"/>
        <v>4.1959471442360723</v>
      </c>
      <c r="L34" s="33">
        <f t="shared" si="20"/>
        <v>70</v>
      </c>
      <c r="M34" s="33">
        <f t="shared" si="21"/>
        <v>9.6666666666666661</v>
      </c>
      <c r="N34" s="33">
        <f t="shared" si="0"/>
        <v>0</v>
      </c>
      <c r="O34" s="34">
        <f t="shared" si="1"/>
        <v>320.63255238732228</v>
      </c>
      <c r="P34" s="55">
        <v>29</v>
      </c>
      <c r="Q34" s="35">
        <f t="shared" si="15"/>
        <v>46.475000000000009</v>
      </c>
      <c r="R34" s="33">
        <f t="shared" si="22"/>
        <v>399.42500000000007</v>
      </c>
      <c r="S34" s="33">
        <f t="shared" si="23"/>
        <v>151.78150000000002</v>
      </c>
      <c r="T34" s="33">
        <f t="shared" si="2"/>
        <v>38.98315927483695</v>
      </c>
      <c r="U34" s="33">
        <f t="shared" si="16"/>
        <v>70</v>
      </c>
      <c r="V34" s="33">
        <f t="shared" si="3"/>
        <v>9.6666666666666661</v>
      </c>
      <c r="W34" s="33">
        <v>0</v>
      </c>
      <c r="X34" s="33">
        <f t="shared" si="4"/>
        <v>624.35955934811875</v>
      </c>
      <c r="Y34" s="38">
        <f t="shared" si="5"/>
        <v>303.72700696079647</v>
      </c>
      <c r="AA34" s="71">
        <v>29</v>
      </c>
      <c r="AB34" s="142">
        <f t="shared" si="6"/>
        <v>0</v>
      </c>
      <c r="AC34" s="304">
        <f t="shared" si="39"/>
        <v>0</v>
      </c>
      <c r="AD34" s="101">
        <f t="shared" si="8"/>
        <v>0</v>
      </c>
      <c r="AE34" s="101">
        <f t="shared" si="9"/>
        <v>0</v>
      </c>
      <c r="AF34" s="195">
        <f t="shared" si="34"/>
        <v>0</v>
      </c>
      <c r="AG34" s="195">
        <f t="shared" si="35"/>
        <v>31.158623784165574</v>
      </c>
      <c r="AH34" s="193">
        <f t="shared" si="36"/>
        <v>6.4906298287301691</v>
      </c>
      <c r="AI34" s="198">
        <f t="shared" si="37"/>
        <v>37.649253612895741</v>
      </c>
      <c r="AK34" s="71">
        <v>29</v>
      </c>
      <c r="AL34" s="142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3">
        <f t="shared" si="32"/>
        <v>0</v>
      </c>
      <c r="AR34" s="193">
        <f t="shared" si="32"/>
        <v>0</v>
      </c>
      <c r="AS34" s="193">
        <f t="shared" si="32"/>
        <v>0</v>
      </c>
      <c r="AT34" s="193">
        <f t="shared" si="32"/>
        <v>0</v>
      </c>
      <c r="AU34" s="33"/>
      <c r="AV34" s="33"/>
      <c r="AW34" s="33"/>
      <c r="AX34" s="33"/>
      <c r="AY34" s="163">
        <f t="shared" si="24"/>
        <v>41.28</v>
      </c>
    </row>
    <row r="35" spans="2:51" ht="16" thickBot="1">
      <c r="B35" s="40">
        <f t="shared" si="31"/>
        <v>36</v>
      </c>
      <c r="C35" s="151">
        <f t="shared" si="38"/>
        <v>40</v>
      </c>
      <c r="D35" s="136">
        <f>D36+70</f>
        <v>487</v>
      </c>
      <c r="E35" s="140">
        <f t="shared" si="29"/>
        <v>1.3</v>
      </c>
      <c r="F35" s="42">
        <f t="shared" si="30"/>
        <v>633.1</v>
      </c>
      <c r="G35" s="51">
        <f t="shared" si="33"/>
        <v>45.174999999999997</v>
      </c>
      <c r="I35" s="87">
        <v>30</v>
      </c>
      <c r="J35" s="158">
        <f>IF($I35&lt;=$F$10,IF(AND(D8=B100,F12=C194),($F$11*$F$13+J34*50%),$F$11*$F$13+J34),)</f>
        <v>6.51</v>
      </c>
      <c r="K35" s="53">
        <f t="shared" si="19"/>
        <v>2.4123050520281013</v>
      </c>
      <c r="L35" s="53">
        <f t="shared" si="20"/>
        <v>70</v>
      </c>
      <c r="M35" s="53">
        <f t="shared" si="21"/>
        <v>10</v>
      </c>
      <c r="N35" s="54">
        <f t="shared" si="0"/>
        <v>0</v>
      </c>
      <c r="O35" s="69">
        <f t="shared" si="1"/>
        <v>308.87301463228226</v>
      </c>
      <c r="P35" s="87">
        <v>30</v>
      </c>
      <c r="Q35" s="53">
        <f t="shared" si="15"/>
        <v>46.475000000000009</v>
      </c>
      <c r="R35" s="54">
        <f t="shared" si="22"/>
        <v>445.90000000000009</v>
      </c>
      <c r="S35" s="53">
        <f t="shared" si="23"/>
        <v>169.44200000000004</v>
      </c>
      <c r="T35" s="54">
        <f t="shared" si="2"/>
        <v>42.965026244287607</v>
      </c>
      <c r="U35" s="54">
        <f t="shared" si="16"/>
        <v>70</v>
      </c>
      <c r="V35" s="53">
        <f t="shared" si="3"/>
        <v>10</v>
      </c>
      <c r="W35" s="54">
        <v>0</v>
      </c>
      <c r="X35" s="69">
        <f t="shared" si="4"/>
        <v>663.27557070880096</v>
      </c>
      <c r="Y35" s="65">
        <f t="shared" si="5"/>
        <v>354.40255607651869</v>
      </c>
      <c r="AA35" s="73">
        <v>30</v>
      </c>
      <c r="AB35" s="142">
        <f t="shared" si="6"/>
        <v>0</v>
      </c>
      <c r="AC35" s="304">
        <f t="shared" si="39"/>
        <v>0</v>
      </c>
      <c r="AD35" s="101">
        <f t="shared" si="8"/>
        <v>0</v>
      </c>
      <c r="AE35" s="101">
        <f t="shared" si="9"/>
        <v>0</v>
      </c>
      <c r="AF35" s="199">
        <f t="shared" si="34"/>
        <v>0</v>
      </c>
      <c r="AG35" s="194">
        <f t="shared" si="35"/>
        <v>30.306589578226756</v>
      </c>
      <c r="AH35" s="200">
        <f t="shared" si="36"/>
        <v>4.5895683660667821</v>
      </c>
      <c r="AI35" s="201">
        <f t="shared" si="37"/>
        <v>34.896157944293535</v>
      </c>
      <c r="AK35" s="73">
        <v>30</v>
      </c>
      <c r="AL35" s="142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4">
        <f t="shared" si="32"/>
        <v>0</v>
      </c>
      <c r="AR35" s="194">
        <f t="shared" si="32"/>
        <v>0</v>
      </c>
      <c r="AS35" s="194">
        <f t="shared" si="32"/>
        <v>0</v>
      </c>
      <c r="AT35" s="194">
        <f t="shared" si="32"/>
        <v>0</v>
      </c>
      <c r="AU35" s="53"/>
      <c r="AV35" s="53"/>
      <c r="AW35" s="53"/>
      <c r="AX35" s="53"/>
      <c r="AY35" s="164">
        <f t="shared" si="24"/>
        <v>41.28</v>
      </c>
    </row>
    <row r="36" spans="2:51">
      <c r="B36" s="40">
        <f t="shared" si="31"/>
        <v>40</v>
      </c>
      <c r="C36" s="151">
        <f t="shared" si="38"/>
        <v>41</v>
      </c>
      <c r="D36" s="136">
        <v>417</v>
      </c>
      <c r="E36" s="140">
        <f t="shared" si="29"/>
        <v>1.3</v>
      </c>
      <c r="F36" s="42">
        <f t="shared" si="30"/>
        <v>542.1</v>
      </c>
      <c r="G36" s="51">
        <f t="shared" si="33"/>
        <v>-91</v>
      </c>
      <c r="I36" s="55">
        <v>31</v>
      </c>
      <c r="J36" s="33">
        <f t="shared" si="18"/>
        <v>6.93</v>
      </c>
      <c r="K36" s="33">
        <f t="shared" si="19"/>
        <v>2.5493176393392645</v>
      </c>
      <c r="L36" s="33">
        <f t="shared" si="20"/>
        <v>70</v>
      </c>
      <c r="M36" s="33">
        <f t="shared" si="21"/>
        <v>10</v>
      </c>
      <c r="N36" s="33">
        <f t="shared" si="0"/>
        <v>0</v>
      </c>
      <c r="O36" s="34">
        <f t="shared" si="1"/>
        <v>309.84314488851584</v>
      </c>
      <c r="P36" s="55">
        <v>31</v>
      </c>
      <c r="Q36" s="33">
        <f t="shared" si="15"/>
        <v>-91</v>
      </c>
      <c r="R36" s="33">
        <f t="shared" si="22"/>
        <v>354.90000000000009</v>
      </c>
      <c r="S36" s="33">
        <f t="shared" si="23"/>
        <v>134.86200000000002</v>
      </c>
      <c r="T36" s="33">
        <f t="shared" si="2"/>
        <v>35.11741273245844</v>
      </c>
      <c r="U36" s="33">
        <f t="shared" si="16"/>
        <v>70</v>
      </c>
      <c r="V36" s="33">
        <f t="shared" si="3"/>
        <v>10</v>
      </c>
      <c r="W36" s="33">
        <v>0</v>
      </c>
      <c r="X36" s="33">
        <f t="shared" si="4"/>
        <v>589.3808105090319</v>
      </c>
      <c r="Y36" s="38">
        <f t="shared" si="5"/>
        <v>279.53766562051607</v>
      </c>
      <c r="AA36" s="71">
        <v>31</v>
      </c>
      <c r="AB36" s="33">
        <f t="shared" si="6"/>
        <v>70</v>
      </c>
      <c r="AC36" s="304">
        <f t="shared" si="39"/>
        <v>0</v>
      </c>
      <c r="AD36" s="100">
        <f t="shared" si="8"/>
        <v>0.56000000000000005</v>
      </c>
      <c r="AE36" s="100">
        <f t="shared" si="9"/>
        <v>0.44</v>
      </c>
      <c r="AF36" s="193">
        <f t="shared" si="34"/>
        <v>0</v>
      </c>
      <c r="AG36" s="193">
        <f t="shared" si="35"/>
        <v>55.065363634827719</v>
      </c>
      <c r="AH36" s="193">
        <f t="shared" si="36"/>
        <v>20.472455767689766</v>
      </c>
      <c r="AI36" s="198">
        <f t="shared" si="37"/>
        <v>75.537819402517485</v>
      </c>
      <c r="AK36" s="71">
        <v>31</v>
      </c>
      <c r="AL36" s="33"/>
      <c r="AM36" s="33"/>
      <c r="AN36" s="33"/>
      <c r="AO36" s="33"/>
      <c r="AP36" s="33"/>
      <c r="AQ36" s="193"/>
      <c r="AR36" s="193"/>
      <c r="AS36" s="193"/>
      <c r="AT36" s="193"/>
      <c r="AU36" s="33"/>
      <c r="AV36" s="33"/>
      <c r="AW36" s="33"/>
      <c r="AX36" s="33"/>
      <c r="AY36" s="76"/>
    </row>
    <row r="37" spans="2:51">
      <c r="B37" s="40">
        <f t="shared" si="31"/>
        <v>41</v>
      </c>
      <c r="C37" s="151">
        <f t="shared" si="38"/>
        <v>45</v>
      </c>
      <c r="D37" s="136">
        <f>D38+70</f>
        <v>548</v>
      </c>
      <c r="E37" s="140">
        <f t="shared" si="29"/>
        <v>1.3</v>
      </c>
      <c r="F37" s="42">
        <f t="shared" si="30"/>
        <v>712.4</v>
      </c>
      <c r="G37" s="51">
        <f t="shared" si="33"/>
        <v>42.574999999999989</v>
      </c>
      <c r="I37" s="55">
        <v>32</v>
      </c>
      <c r="J37" s="33">
        <f t="shared" si="18"/>
        <v>7.35</v>
      </c>
      <c r="K37" s="33">
        <f t="shared" si="19"/>
        <v>2.6853664437437366</v>
      </c>
      <c r="L37" s="33">
        <f t="shared" si="20"/>
        <v>70</v>
      </c>
      <c r="M37" s="33">
        <f t="shared" si="21"/>
        <v>10</v>
      </c>
      <c r="N37" s="33">
        <f t="shared" si="0"/>
        <v>0</v>
      </c>
      <c r="O37" s="34">
        <f t="shared" si="1"/>
        <v>310.811596556187</v>
      </c>
      <c r="P37" s="55">
        <v>32</v>
      </c>
      <c r="Q37" s="33">
        <f t="shared" si="15"/>
        <v>47.124999999999986</v>
      </c>
      <c r="R37" s="33">
        <f t="shared" si="22"/>
        <v>402.02500000000009</v>
      </c>
      <c r="S37" s="33">
        <f t="shared" si="23"/>
        <v>152.76950000000005</v>
      </c>
      <c r="T37" s="33">
        <f t="shared" si="2"/>
        <v>39.207292726674602</v>
      </c>
      <c r="U37" s="33">
        <f t="shared" si="16"/>
        <v>70</v>
      </c>
      <c r="V37" s="33">
        <f t="shared" si="3"/>
        <v>10</v>
      </c>
      <c r="W37" s="33">
        <v>0</v>
      </c>
      <c r="X37" s="33">
        <f t="shared" si="4"/>
        <v>627.69291399895837</v>
      </c>
      <c r="Y37" s="38">
        <f t="shared" si="5"/>
        <v>316.88131744277138</v>
      </c>
      <c r="AA37" s="71">
        <v>32</v>
      </c>
      <c r="AB37" s="33">
        <f t="shared" si="6"/>
        <v>0</v>
      </c>
      <c r="AC37" s="304">
        <f t="shared" si="39"/>
        <v>0</v>
      </c>
      <c r="AD37" s="100">
        <f t="shared" si="8"/>
        <v>0</v>
      </c>
      <c r="AE37" s="100">
        <f t="shared" si="9"/>
        <v>0</v>
      </c>
      <c r="AF37" s="193">
        <f t="shared" si="34"/>
        <v>0</v>
      </c>
      <c r="AG37" s="193">
        <f t="shared" si="35"/>
        <v>53.559598370471733</v>
      </c>
      <c r="AH37" s="193">
        <f t="shared" si="36"/>
        <v>14.476212300875082</v>
      </c>
      <c r="AI37" s="198">
        <f t="shared" si="37"/>
        <v>68.035810671346809</v>
      </c>
      <c r="AK37" s="71">
        <v>32</v>
      </c>
      <c r="AL37" s="33"/>
      <c r="AM37" s="33"/>
      <c r="AN37" s="33"/>
      <c r="AO37" s="33"/>
      <c r="AP37" s="33"/>
      <c r="AQ37" s="193"/>
      <c r="AR37" s="193"/>
      <c r="AS37" s="193"/>
      <c r="AT37" s="193"/>
      <c r="AU37" s="33"/>
      <c r="AV37" s="33"/>
      <c r="AW37" s="33"/>
      <c r="AX37" s="33"/>
      <c r="AY37" s="76"/>
    </row>
    <row r="38" spans="2:51">
      <c r="B38" s="40">
        <f t="shared" si="31"/>
        <v>45</v>
      </c>
      <c r="C38" s="151">
        <f t="shared" si="38"/>
        <v>46</v>
      </c>
      <c r="D38" s="136">
        <v>478</v>
      </c>
      <c r="E38" s="140">
        <f t="shared" si="29"/>
        <v>1.3</v>
      </c>
      <c r="F38" s="42">
        <f t="shared" si="30"/>
        <v>621.4</v>
      </c>
      <c r="G38" s="51">
        <f t="shared" si="33"/>
        <v>-91</v>
      </c>
      <c r="I38" s="55">
        <v>33</v>
      </c>
      <c r="J38" s="33">
        <f t="shared" si="18"/>
        <v>7.77</v>
      </c>
      <c r="K38" s="33">
        <f t="shared" si="19"/>
        <v>2.8205128136956583</v>
      </c>
      <c r="L38" s="33">
        <f t="shared" si="20"/>
        <v>70</v>
      </c>
      <c r="M38" s="33">
        <f t="shared" si="21"/>
        <v>10</v>
      </c>
      <c r="N38" s="33">
        <f t="shared" si="0"/>
        <v>0</v>
      </c>
      <c r="O38" s="34">
        <f t="shared" si="1"/>
        <v>311.7784764838533</v>
      </c>
      <c r="P38" s="55">
        <v>33</v>
      </c>
      <c r="Q38" s="33">
        <f t="shared" si="15"/>
        <v>47.124999999999986</v>
      </c>
      <c r="R38" s="33">
        <f t="shared" si="22"/>
        <v>449.15000000000009</v>
      </c>
      <c r="S38" s="33">
        <f t="shared" si="23"/>
        <v>170.67700000000005</v>
      </c>
      <c r="T38" s="33">
        <f t="shared" si="2"/>
        <v>43.241613973756543</v>
      </c>
      <c r="U38" s="33">
        <f t="shared" si="16"/>
        <v>70</v>
      </c>
      <c r="V38" s="33">
        <f t="shared" si="3"/>
        <v>10</v>
      </c>
      <c r="W38" s="33">
        <v>0</v>
      </c>
      <c r="X38" s="33">
        <f t="shared" si="4"/>
        <v>665.90825267095931</v>
      </c>
      <c r="Y38" s="38">
        <f t="shared" si="5"/>
        <v>354.12977618710602</v>
      </c>
      <c r="AA38" s="71">
        <v>33</v>
      </c>
      <c r="AB38" s="33">
        <f t="shared" si="6"/>
        <v>0</v>
      </c>
      <c r="AC38" s="304">
        <f t="shared" si="39"/>
        <v>0</v>
      </c>
      <c r="AD38" s="100">
        <f t="shared" si="8"/>
        <v>0</v>
      </c>
      <c r="AE38" s="100">
        <f t="shared" si="9"/>
        <v>0</v>
      </c>
      <c r="AF38" s="193">
        <f t="shared" si="34"/>
        <v>0</v>
      </c>
      <c r="AG38" s="193">
        <f t="shared" si="35"/>
        <v>52.09500833645432</v>
      </c>
      <c r="AH38" s="193">
        <f t="shared" si="36"/>
        <v>10.236227883844885</v>
      </c>
      <c r="AI38" s="198">
        <f t="shared" si="37"/>
        <v>62.331236220299203</v>
      </c>
      <c r="AK38" s="71">
        <v>33</v>
      </c>
      <c r="AL38" s="33"/>
      <c r="AM38" s="33"/>
      <c r="AN38" s="33"/>
      <c r="AO38" s="33"/>
      <c r="AP38" s="33"/>
      <c r="AQ38" s="193"/>
      <c r="AR38" s="193"/>
      <c r="AS38" s="193"/>
      <c r="AT38" s="193"/>
      <c r="AU38" s="33"/>
      <c r="AV38" s="33"/>
      <c r="AW38" s="33"/>
      <c r="AX38" s="33"/>
      <c r="AY38" s="76"/>
    </row>
    <row r="39" spans="2:51">
      <c r="B39" s="40">
        <f t="shared" si="31"/>
        <v>46</v>
      </c>
      <c r="C39" s="151">
        <f t="shared" si="38"/>
        <v>50</v>
      </c>
      <c r="D39" s="136">
        <f>D40+70</f>
        <v>601</v>
      </c>
      <c r="E39" s="140">
        <f t="shared" si="29"/>
        <v>1.3</v>
      </c>
      <c r="F39" s="42">
        <f t="shared" si="30"/>
        <v>781.30000000000007</v>
      </c>
      <c r="G39" s="51">
        <f t="shared" si="33"/>
        <v>39.975000000000023</v>
      </c>
      <c r="I39" s="55">
        <v>34</v>
      </c>
      <c r="J39" s="33">
        <f t="shared" si="18"/>
        <v>8.19</v>
      </c>
      <c r="K39" s="33">
        <f t="shared" si="19"/>
        <v>2.9548110908066181</v>
      </c>
      <c r="L39" s="33">
        <f t="shared" si="20"/>
        <v>70</v>
      </c>
      <c r="M39" s="33">
        <f t="shared" si="21"/>
        <v>10</v>
      </c>
      <c r="N39" s="33">
        <f t="shared" si="0"/>
        <v>0</v>
      </c>
      <c r="O39" s="34">
        <f t="shared" si="1"/>
        <v>312.74387931648818</v>
      </c>
      <c r="P39" s="55">
        <v>34</v>
      </c>
      <c r="Q39" s="33">
        <f t="shared" si="15"/>
        <v>47.124999999999986</v>
      </c>
      <c r="R39" s="33">
        <f t="shared" si="22"/>
        <v>496.27500000000009</v>
      </c>
      <c r="S39" s="33">
        <f t="shared" si="23"/>
        <v>188.58450000000005</v>
      </c>
      <c r="T39" s="33">
        <f t="shared" si="2"/>
        <v>47.226869830453126</v>
      </c>
      <c r="U39" s="33">
        <f t="shared" si="16"/>
        <v>70</v>
      </c>
      <c r="V39" s="33">
        <f t="shared" si="3"/>
        <v>10</v>
      </c>
      <c r="W39" s="33">
        <v>0</v>
      </c>
      <c r="X39" s="33">
        <f t="shared" si="4"/>
        <v>704.0381357880392</v>
      </c>
      <c r="Y39" s="38">
        <f t="shared" si="5"/>
        <v>391.29425647155102</v>
      </c>
      <c r="AA39" s="71">
        <v>34</v>
      </c>
      <c r="AB39" s="33">
        <f t="shared" si="6"/>
        <v>0</v>
      </c>
      <c r="AC39" s="304">
        <f t="shared" si="39"/>
        <v>0</v>
      </c>
      <c r="AD39" s="100">
        <f t="shared" si="8"/>
        <v>0</v>
      </c>
      <c r="AE39" s="100">
        <f t="shared" si="9"/>
        <v>0</v>
      </c>
      <c r="AF39" s="193">
        <f t="shared" si="34"/>
        <v>0</v>
      </c>
      <c r="AG39" s="193">
        <f t="shared" si="35"/>
        <v>50.67046759393655</v>
      </c>
      <c r="AH39" s="193">
        <f t="shared" si="36"/>
        <v>7.2381061504375417</v>
      </c>
      <c r="AI39" s="198">
        <f t="shared" si="37"/>
        <v>57.908573744374095</v>
      </c>
      <c r="AK39" s="71">
        <v>34</v>
      </c>
      <c r="AL39" s="33"/>
      <c r="AM39" s="33"/>
      <c r="AN39" s="33"/>
      <c r="AO39" s="33"/>
      <c r="AP39" s="33"/>
      <c r="AQ39" s="193"/>
      <c r="AR39" s="193"/>
      <c r="AS39" s="193"/>
      <c r="AT39" s="193"/>
      <c r="AU39" s="33"/>
      <c r="AV39" s="33"/>
      <c r="AW39" s="33"/>
      <c r="AX39" s="33"/>
      <c r="AY39" s="76"/>
    </row>
    <row r="40" spans="2:51">
      <c r="B40" s="40">
        <f t="shared" si="31"/>
        <v>50</v>
      </c>
      <c r="C40" s="151">
        <f t="shared" si="38"/>
        <v>51</v>
      </c>
      <c r="D40" s="136">
        <v>531</v>
      </c>
      <c r="E40" s="140">
        <f t="shared" si="29"/>
        <v>1.3</v>
      </c>
      <c r="F40" s="42">
        <f t="shared" si="30"/>
        <v>690.30000000000007</v>
      </c>
      <c r="G40" s="51">
        <f t="shared" si="33"/>
        <v>-91</v>
      </c>
      <c r="I40" s="55">
        <v>35</v>
      </c>
      <c r="J40" s="33">
        <f t="shared" si="18"/>
        <v>8.61</v>
      </c>
      <c r="K40" s="33">
        <f t="shared" si="19"/>
        <v>3.0883097283778902</v>
      </c>
      <c r="L40" s="33">
        <f t="shared" si="20"/>
        <v>70</v>
      </c>
      <c r="M40" s="33">
        <f t="shared" si="21"/>
        <v>10</v>
      </c>
      <c r="N40" s="33">
        <f t="shared" si="0"/>
        <v>0</v>
      </c>
      <c r="O40" s="34">
        <f t="shared" si="1"/>
        <v>313.70788944359145</v>
      </c>
      <c r="P40" s="55">
        <v>35</v>
      </c>
      <c r="Q40" s="33">
        <f t="shared" si="15"/>
        <v>47.124999999999986</v>
      </c>
      <c r="R40" s="33">
        <f t="shared" si="22"/>
        <v>543.40000000000009</v>
      </c>
      <c r="S40" s="33">
        <f t="shared" si="23"/>
        <v>206.49200000000005</v>
      </c>
      <c r="T40" s="33">
        <f t="shared" si="2"/>
        <v>51.168249475614097</v>
      </c>
      <c r="U40" s="33">
        <f t="shared" si="16"/>
        <v>70</v>
      </c>
      <c r="V40" s="33">
        <f t="shared" si="3"/>
        <v>10</v>
      </c>
      <c r="W40" s="33">
        <v>0</v>
      </c>
      <c r="X40" s="33">
        <f t="shared" si="4"/>
        <v>742.09160117002796</v>
      </c>
      <c r="Y40" s="38">
        <f t="shared" si="5"/>
        <v>428.3837117264365</v>
      </c>
      <c r="AA40" s="71">
        <v>35</v>
      </c>
      <c r="AB40" s="33">
        <f t="shared" si="6"/>
        <v>0</v>
      </c>
      <c r="AC40" s="304">
        <f t="shared" si="39"/>
        <v>0</v>
      </c>
      <c r="AD40" s="100">
        <f t="shared" si="8"/>
        <v>0</v>
      </c>
      <c r="AE40" s="100">
        <f t="shared" si="9"/>
        <v>0</v>
      </c>
      <c r="AF40" s="193">
        <f t="shared" si="34"/>
        <v>0</v>
      </c>
      <c r="AG40" s="193">
        <f t="shared" si="35"/>
        <v>49.284880992936273</v>
      </c>
      <c r="AH40" s="193">
        <f t="shared" si="36"/>
        <v>5.1181139419224433</v>
      </c>
      <c r="AI40" s="198">
        <f t="shared" si="37"/>
        <v>54.402994934858718</v>
      </c>
      <c r="AK40" s="71">
        <v>35</v>
      </c>
      <c r="AL40" s="33"/>
      <c r="AM40" s="33"/>
      <c r="AN40" s="33"/>
      <c r="AO40" s="33"/>
      <c r="AP40" s="33"/>
      <c r="AQ40" s="193"/>
      <c r="AR40" s="193"/>
      <c r="AS40" s="193"/>
      <c r="AT40" s="193"/>
      <c r="AU40" s="33"/>
      <c r="AV40" s="33"/>
      <c r="AW40" s="33"/>
      <c r="AX40" s="33"/>
      <c r="AY40" s="76"/>
    </row>
    <row r="41" spans="2:51">
      <c r="B41" s="40">
        <f t="shared" si="31"/>
        <v>51</v>
      </c>
      <c r="C41" s="151">
        <f t="shared" si="38"/>
        <v>55</v>
      </c>
      <c r="D41" s="136">
        <f>D42+63</f>
        <v>646</v>
      </c>
      <c r="E41" s="140">
        <f t="shared" si="29"/>
        <v>1.3</v>
      </c>
      <c r="F41" s="42">
        <f t="shared" si="30"/>
        <v>839.80000000000007</v>
      </c>
      <c r="G41" s="51">
        <f t="shared" si="33"/>
        <v>37.375</v>
      </c>
      <c r="I41" s="55">
        <v>36</v>
      </c>
      <c r="J41" s="33">
        <f t="shared" si="18"/>
        <v>9.0299999999999994</v>
      </c>
      <c r="K41" s="33">
        <f t="shared" si="19"/>
        <v>3.2210521854900231</v>
      </c>
      <c r="L41" s="33">
        <f t="shared" si="20"/>
        <v>70</v>
      </c>
      <c r="M41" s="33">
        <f t="shared" si="21"/>
        <v>10</v>
      </c>
      <c r="N41" s="33">
        <f t="shared" si="0"/>
        <v>0</v>
      </c>
      <c r="O41" s="34">
        <f t="shared" si="1"/>
        <v>314.67058255639512</v>
      </c>
      <c r="P41" s="55">
        <v>36</v>
      </c>
      <c r="Q41" s="33">
        <f t="shared" si="15"/>
        <v>-90.999999999999943</v>
      </c>
      <c r="R41" s="33">
        <f t="shared" si="22"/>
        <v>452.40000000000015</v>
      </c>
      <c r="S41" s="33">
        <f t="shared" si="23"/>
        <v>171.91200000000006</v>
      </c>
      <c r="T41" s="33">
        <f t="shared" si="2"/>
        <v>43.51796884103733</v>
      </c>
      <c r="U41" s="33">
        <f t="shared" si="16"/>
        <v>70</v>
      </c>
      <c r="V41" s="33">
        <f t="shared" si="3"/>
        <v>10</v>
      </c>
      <c r="W41" s="33">
        <v>0</v>
      </c>
      <c r="X41" s="33">
        <f t="shared" si="4"/>
        <v>668.54052906480672</v>
      </c>
      <c r="Y41" s="38">
        <f t="shared" si="5"/>
        <v>353.8699465084116</v>
      </c>
      <c r="AA41" s="71">
        <v>36</v>
      </c>
      <c r="AB41" s="33">
        <f t="shared" si="6"/>
        <v>70</v>
      </c>
      <c r="AC41" s="304">
        <f t="shared" si="39"/>
        <v>0.1</v>
      </c>
      <c r="AD41" s="100">
        <f t="shared" si="8"/>
        <v>0.44800000000000006</v>
      </c>
      <c r="AE41" s="100">
        <f t="shared" si="9"/>
        <v>0.35200000000000004</v>
      </c>
      <c r="AF41" s="193">
        <f t="shared" si="34"/>
        <v>4.5872598869099299</v>
      </c>
      <c r="AG41" s="193">
        <f t="shared" si="35"/>
        <v>68.407190804302672</v>
      </c>
      <c r="AH41" s="193">
        <f t="shared" si="36"/>
        <v>17.400765757878521</v>
      </c>
      <c r="AI41" s="198">
        <f t="shared" si="37"/>
        <v>90.395216449091123</v>
      </c>
      <c r="AK41" s="71">
        <v>36</v>
      </c>
      <c r="AL41" s="33"/>
      <c r="AM41" s="33"/>
      <c r="AN41" s="33"/>
      <c r="AO41" s="33"/>
      <c r="AP41" s="33"/>
      <c r="AQ41" s="193"/>
      <c r="AR41" s="193"/>
      <c r="AS41" s="193"/>
      <c r="AT41" s="193"/>
      <c r="AU41" s="33"/>
      <c r="AV41" s="33"/>
      <c r="AW41" s="33"/>
      <c r="AX41" s="33"/>
      <c r="AY41" s="76"/>
    </row>
    <row r="42" spans="2:51">
      <c r="B42" s="40">
        <f t="shared" si="31"/>
        <v>55</v>
      </c>
      <c r="C42" s="151">
        <f t="shared" si="38"/>
        <v>56</v>
      </c>
      <c r="D42" s="136">
        <v>583</v>
      </c>
      <c r="E42" s="140">
        <f t="shared" si="29"/>
        <v>1.3</v>
      </c>
      <c r="F42" s="42">
        <f t="shared" si="30"/>
        <v>757.9</v>
      </c>
      <c r="G42" s="51">
        <f t="shared" si="33"/>
        <v>-81.900000000000091</v>
      </c>
      <c r="I42" s="55">
        <v>37</v>
      </c>
      <c r="J42" s="33">
        <f t="shared" si="18"/>
        <v>9.4499999999999993</v>
      </c>
      <c r="K42" s="33">
        <f t="shared" si="19"/>
        <v>3.3530776500429536</v>
      </c>
      <c r="L42" s="33">
        <f t="shared" si="20"/>
        <v>70</v>
      </c>
      <c r="M42" s="33">
        <f t="shared" si="21"/>
        <v>10</v>
      </c>
      <c r="N42" s="33">
        <f t="shared" si="0"/>
        <v>0</v>
      </c>
      <c r="O42" s="34">
        <f t="shared" si="1"/>
        <v>315.63202690715815</v>
      </c>
      <c r="P42" s="55">
        <v>37</v>
      </c>
      <c r="Q42" s="33">
        <f t="shared" si="15"/>
        <v>45.174999999999997</v>
      </c>
      <c r="R42" s="33">
        <f t="shared" si="22"/>
        <v>497.57500000000016</v>
      </c>
      <c r="S42" s="33">
        <f t="shared" si="23"/>
        <v>189.07850000000008</v>
      </c>
      <c r="T42" s="33">
        <f t="shared" si="2"/>
        <v>47.336164673796766</v>
      </c>
      <c r="U42" s="33">
        <f t="shared" si="16"/>
        <v>70</v>
      </c>
      <c r="V42" s="33">
        <f t="shared" si="3"/>
        <v>10</v>
      </c>
      <c r="W42" s="33">
        <v>0</v>
      </c>
      <c r="X42" s="33">
        <f t="shared" si="4"/>
        <v>705.08887430686275</v>
      </c>
      <c r="Y42" s="38">
        <f t="shared" si="5"/>
        <v>389.4568473997046</v>
      </c>
      <c r="AA42" s="71">
        <v>37</v>
      </c>
      <c r="AB42" s="33">
        <f t="shared" si="6"/>
        <v>0</v>
      </c>
      <c r="AC42" s="304">
        <f t="shared" si="39"/>
        <v>0</v>
      </c>
      <c r="AD42" s="100">
        <f t="shared" si="8"/>
        <v>0</v>
      </c>
      <c r="AE42" s="100">
        <f t="shared" si="9"/>
        <v>0</v>
      </c>
      <c r="AF42" s="193">
        <f t="shared" si="34"/>
        <v>4.4973065184798822</v>
      </c>
      <c r="AG42" s="193">
        <f t="shared" si="35"/>
        <v>66.536592574381203</v>
      </c>
      <c r="AH42" s="193">
        <f t="shared" si="36"/>
        <v>12.304199465234577</v>
      </c>
      <c r="AI42" s="198">
        <f t="shared" si="37"/>
        <v>83.338098558095666</v>
      </c>
      <c r="AK42" s="71">
        <v>37</v>
      </c>
      <c r="AL42" s="33"/>
      <c r="AM42" s="33"/>
      <c r="AN42" s="33"/>
      <c r="AO42" s="33"/>
      <c r="AP42" s="33"/>
      <c r="AQ42" s="193"/>
      <c r="AR42" s="193"/>
      <c r="AS42" s="193"/>
      <c r="AT42" s="193"/>
      <c r="AU42" s="33"/>
      <c r="AV42" s="33"/>
      <c r="AW42" s="33"/>
      <c r="AX42" s="33"/>
      <c r="AY42" s="76"/>
    </row>
    <row r="43" spans="2:51">
      <c r="B43" s="40">
        <f t="shared" si="31"/>
        <v>56</v>
      </c>
      <c r="C43" s="151">
        <f t="shared" si="38"/>
        <v>60</v>
      </c>
      <c r="D43" s="136">
        <f>D44+56</f>
        <v>690</v>
      </c>
      <c r="E43" s="140">
        <f t="shared" si="29"/>
        <v>1.3</v>
      </c>
      <c r="F43" s="42">
        <f t="shared" si="30"/>
        <v>897</v>
      </c>
      <c r="G43" s="51">
        <f t="shared" si="33"/>
        <v>34.775000000000006</v>
      </c>
      <c r="I43" s="55">
        <v>38</v>
      </c>
      <c r="J43" s="33">
        <f t="shared" si="18"/>
        <v>9.8699999999999992</v>
      </c>
      <c r="K43" s="33">
        <f t="shared" si="19"/>
        <v>3.4844216296255963</v>
      </c>
      <c r="L43" s="33">
        <f t="shared" si="20"/>
        <v>70</v>
      </c>
      <c r="M43" s="33">
        <f t="shared" si="21"/>
        <v>10</v>
      </c>
      <c r="N43" s="33">
        <f t="shared" si="0"/>
        <v>0</v>
      </c>
      <c r="O43" s="34">
        <f t="shared" si="1"/>
        <v>316.59228433826456</v>
      </c>
      <c r="P43" s="55">
        <v>38</v>
      </c>
      <c r="Q43" s="33">
        <f t="shared" si="15"/>
        <v>45.174999999999997</v>
      </c>
      <c r="R43" s="33">
        <f t="shared" si="22"/>
        <v>542.75000000000011</v>
      </c>
      <c r="S43" s="33">
        <f t="shared" si="23"/>
        <v>206.24500000000003</v>
      </c>
      <c r="T43" s="33">
        <f t="shared" si="2"/>
        <v>51.114164051940591</v>
      </c>
      <c r="U43" s="33">
        <f t="shared" si="16"/>
        <v>70</v>
      </c>
      <c r="V43" s="33">
        <f t="shared" si="3"/>
        <v>10</v>
      </c>
      <c r="W43" s="33">
        <v>0</v>
      </c>
      <c r="X43" s="33">
        <f t="shared" si="4"/>
        <v>741.56721072379662</v>
      </c>
      <c r="Y43" s="38">
        <f t="shared" si="5"/>
        <v>424.97492638553206</v>
      </c>
      <c r="AA43" s="71">
        <v>38</v>
      </c>
      <c r="AB43" s="33">
        <f t="shared" si="6"/>
        <v>0</v>
      </c>
      <c r="AC43" s="304">
        <f t="shared" si="39"/>
        <v>0</v>
      </c>
      <c r="AD43" s="100">
        <f t="shared" si="8"/>
        <v>0</v>
      </c>
      <c r="AE43" s="100">
        <f t="shared" si="9"/>
        <v>0</v>
      </c>
      <c r="AF43" s="193">
        <f t="shared" si="34"/>
        <v>4.4091170807386106</v>
      </c>
      <c r="AG43" s="193">
        <f t="shared" si="35"/>
        <v>64.717145951427412</v>
      </c>
      <c r="AH43" s="193">
        <f t="shared" si="36"/>
        <v>8.7003828789392621</v>
      </c>
      <c r="AI43" s="198">
        <f t="shared" si="37"/>
        <v>77.826645911105288</v>
      </c>
      <c r="AK43" s="71">
        <v>38</v>
      </c>
      <c r="AL43" s="33"/>
      <c r="AM43" s="33"/>
      <c r="AN43" s="33"/>
      <c r="AO43" s="33"/>
      <c r="AP43" s="33"/>
      <c r="AQ43" s="193"/>
      <c r="AR43" s="193"/>
      <c r="AS43" s="193"/>
      <c r="AT43" s="193"/>
      <c r="AU43" s="33"/>
      <c r="AV43" s="33"/>
      <c r="AW43" s="33"/>
      <c r="AX43" s="33"/>
      <c r="AY43" s="76"/>
    </row>
    <row r="44" spans="2:51">
      <c r="B44" s="40">
        <f t="shared" si="31"/>
        <v>60</v>
      </c>
      <c r="C44" s="151">
        <f t="shared" si="38"/>
        <v>61</v>
      </c>
      <c r="D44" s="136">
        <v>634</v>
      </c>
      <c r="E44" s="140">
        <f t="shared" si="29"/>
        <v>1.3</v>
      </c>
      <c r="F44" s="42">
        <f t="shared" si="30"/>
        <v>824.2</v>
      </c>
      <c r="G44" s="51">
        <f t="shared" si="33"/>
        <v>-72.799999999999955</v>
      </c>
      <c r="I44" s="55">
        <v>39</v>
      </c>
      <c r="J44" s="33">
        <f t="shared" si="18"/>
        <v>10.29</v>
      </c>
      <c r="K44" s="33">
        <f t="shared" si="19"/>
        <v>3.615116438976083</v>
      </c>
      <c r="L44" s="33">
        <f t="shared" si="20"/>
        <v>70</v>
      </c>
      <c r="M44" s="33">
        <f t="shared" si="21"/>
        <v>10</v>
      </c>
      <c r="N44" s="33">
        <f t="shared" si="0"/>
        <v>0</v>
      </c>
      <c r="O44" s="34">
        <f t="shared" si="1"/>
        <v>317.5514111312167</v>
      </c>
      <c r="P44" s="55">
        <v>39</v>
      </c>
      <c r="Q44" s="33">
        <f t="shared" si="15"/>
        <v>45.174999999999997</v>
      </c>
      <c r="R44" s="33">
        <f t="shared" si="22"/>
        <v>587.92500000000007</v>
      </c>
      <c r="S44" s="33">
        <f t="shared" si="23"/>
        <v>223.41150000000002</v>
      </c>
      <c r="T44" s="33">
        <f t="shared" si="2"/>
        <v>54.855693043486085</v>
      </c>
      <c r="U44" s="33">
        <f t="shared" si="16"/>
        <v>70</v>
      </c>
      <c r="V44" s="33">
        <f t="shared" si="3"/>
        <v>10</v>
      </c>
      <c r="W44" s="33">
        <v>0</v>
      </c>
      <c r="X44" s="33">
        <f t="shared" si="4"/>
        <v>777.98202788407161</v>
      </c>
      <c r="Y44" s="38">
        <f t="shared" si="5"/>
        <v>460.43061675285492</v>
      </c>
      <c r="AA44" s="71">
        <v>39</v>
      </c>
      <c r="AB44" s="33">
        <f t="shared" si="6"/>
        <v>0</v>
      </c>
      <c r="AC44" s="304">
        <f t="shared" si="39"/>
        <v>0</v>
      </c>
      <c r="AD44" s="100">
        <f t="shared" si="8"/>
        <v>0</v>
      </c>
      <c r="AE44" s="100">
        <f t="shared" si="9"/>
        <v>0</v>
      </c>
      <c r="AF44" s="193">
        <f t="shared" si="34"/>
        <v>4.3226569840811999</v>
      </c>
      <c r="AG44" s="193">
        <f t="shared" si="35"/>
        <v>62.94745219205884</v>
      </c>
      <c r="AH44" s="193">
        <f t="shared" si="36"/>
        <v>6.1520997326172893</v>
      </c>
      <c r="AI44" s="198">
        <f t="shared" si="37"/>
        <v>73.422208908757327</v>
      </c>
      <c r="AK44" s="71">
        <v>39</v>
      </c>
      <c r="AL44" s="33"/>
      <c r="AM44" s="33"/>
      <c r="AN44" s="33"/>
      <c r="AO44" s="33"/>
      <c r="AP44" s="33"/>
      <c r="AQ44" s="193"/>
      <c r="AR44" s="193"/>
      <c r="AS44" s="193"/>
      <c r="AT44" s="193"/>
      <c r="AU44" s="33"/>
      <c r="AV44" s="33"/>
      <c r="AW44" s="33"/>
      <c r="AX44" s="33"/>
      <c r="AY44" s="76"/>
    </row>
    <row r="45" spans="2:51">
      <c r="B45" s="40">
        <f t="shared" si="31"/>
        <v>61</v>
      </c>
      <c r="C45" s="151">
        <f t="shared" si="38"/>
        <v>65</v>
      </c>
      <c r="D45" s="136">
        <f>D46+52</f>
        <v>734</v>
      </c>
      <c r="E45" s="140">
        <f t="shared" si="29"/>
        <v>1.3</v>
      </c>
      <c r="F45" s="42">
        <f t="shared" si="30"/>
        <v>954.2</v>
      </c>
      <c r="G45" s="51">
        <f t="shared" si="33"/>
        <v>32.5</v>
      </c>
      <c r="I45" s="55">
        <v>40</v>
      </c>
      <c r="J45" s="33">
        <f t="shared" si="18"/>
        <v>10.709999999999999</v>
      </c>
      <c r="K45" s="33">
        <f t="shared" si="19"/>
        <v>3.7451916056153398</v>
      </c>
      <c r="L45" s="33">
        <f t="shared" si="20"/>
        <v>70</v>
      </c>
      <c r="M45" s="33">
        <f t="shared" si="21"/>
        <v>10</v>
      </c>
      <c r="N45" s="33">
        <f t="shared" si="0"/>
        <v>0</v>
      </c>
      <c r="O45" s="34">
        <f t="shared" si="1"/>
        <v>318.50945871311336</v>
      </c>
      <c r="P45" s="55">
        <v>40</v>
      </c>
      <c r="Q45" s="33">
        <f t="shared" si="15"/>
        <v>45.174999999999997</v>
      </c>
      <c r="R45" s="33">
        <f t="shared" si="22"/>
        <v>633.1</v>
      </c>
      <c r="S45" s="33">
        <f t="shared" si="23"/>
        <v>240.578</v>
      </c>
      <c r="T45" s="33">
        <f t="shared" si="2"/>
        <v>58.563872582629628</v>
      </c>
      <c r="U45" s="33">
        <f t="shared" si="16"/>
        <v>70</v>
      </c>
      <c r="V45" s="33">
        <f t="shared" si="3"/>
        <v>10</v>
      </c>
      <c r="W45" s="33">
        <v>0</v>
      </c>
      <c r="X45" s="33">
        <f t="shared" si="4"/>
        <v>814.3387614147465</v>
      </c>
      <c r="Y45" s="38">
        <f t="shared" si="5"/>
        <v>495.82930270163314</v>
      </c>
      <c r="AA45" s="71">
        <v>40</v>
      </c>
      <c r="AB45" s="33">
        <f t="shared" si="6"/>
        <v>0</v>
      </c>
      <c r="AC45" s="304">
        <f t="shared" si="39"/>
        <v>0</v>
      </c>
      <c r="AD45" s="100">
        <f t="shared" si="8"/>
        <v>0</v>
      </c>
      <c r="AE45" s="100">
        <f t="shared" si="9"/>
        <v>0</v>
      </c>
      <c r="AF45" s="193">
        <f t="shared" si="34"/>
        <v>4.237892317183789</v>
      </c>
      <c r="AG45" s="193">
        <f t="shared" si="35"/>
        <v>61.226150801604348</v>
      </c>
      <c r="AH45" s="193">
        <f t="shared" si="36"/>
        <v>4.350191439469631</v>
      </c>
      <c r="AI45" s="198">
        <f t="shared" si="37"/>
        <v>69.814234558257766</v>
      </c>
      <c r="AK45" s="71">
        <v>40</v>
      </c>
      <c r="AL45" s="33"/>
      <c r="AM45" s="33"/>
      <c r="AN45" s="33"/>
      <c r="AO45" s="33"/>
      <c r="AP45" s="33"/>
      <c r="AQ45" s="193"/>
      <c r="AR45" s="193"/>
      <c r="AS45" s="193"/>
      <c r="AT45" s="193"/>
      <c r="AU45" s="33"/>
      <c r="AV45" s="33"/>
      <c r="AW45" s="33"/>
      <c r="AX45" s="33"/>
      <c r="AY45" s="76"/>
    </row>
    <row r="46" spans="2:51">
      <c r="B46" s="40">
        <f t="shared" si="31"/>
        <v>65</v>
      </c>
      <c r="C46" s="151">
        <f t="shared" si="38"/>
        <v>66</v>
      </c>
      <c r="D46" s="136">
        <v>682</v>
      </c>
      <c r="E46" s="140">
        <f t="shared" si="29"/>
        <v>1.3</v>
      </c>
      <c r="F46" s="42">
        <f t="shared" si="30"/>
        <v>886.6</v>
      </c>
      <c r="G46" s="51">
        <f t="shared" si="33"/>
        <v>-67.600000000000023</v>
      </c>
      <c r="I46" s="55">
        <v>41</v>
      </c>
      <c r="J46" s="33">
        <f t="shared" si="18"/>
        <v>11.129999999999999</v>
      </c>
      <c r="K46" s="33">
        <f t="shared" si="19"/>
        <v>3.8746742100615323</v>
      </c>
      <c r="L46" s="33">
        <f t="shared" si="20"/>
        <v>70</v>
      </c>
      <c r="M46" s="33">
        <f t="shared" si="21"/>
        <v>10</v>
      </c>
      <c r="N46" s="33">
        <f t="shared" si="0"/>
        <v>0</v>
      </c>
      <c r="O46" s="34">
        <f t="shared" si="1"/>
        <v>319.46647424919053</v>
      </c>
      <c r="P46" s="55">
        <v>41</v>
      </c>
      <c r="Q46" s="33">
        <f t="shared" si="15"/>
        <v>-91</v>
      </c>
      <c r="R46" s="33">
        <f t="shared" si="22"/>
        <v>542.1</v>
      </c>
      <c r="S46" s="33">
        <f t="shared" si="23"/>
        <v>205.99800000000002</v>
      </c>
      <c r="T46" s="33">
        <f t="shared" si="2"/>
        <v>51.060071088166737</v>
      </c>
      <c r="U46" s="33">
        <f t="shared" si="16"/>
        <v>70</v>
      </c>
      <c r="V46" s="33">
        <f t="shared" si="3"/>
        <v>10</v>
      </c>
      <c r="W46" s="33">
        <v>0</v>
      </c>
      <c r="X46" s="33">
        <f t="shared" si="4"/>
        <v>741.04280714522372</v>
      </c>
      <c r="Y46" s="38">
        <f t="shared" si="5"/>
        <v>421.57633289603319</v>
      </c>
      <c r="AA46" s="71">
        <v>41</v>
      </c>
      <c r="AB46" s="33">
        <f t="shared" si="6"/>
        <v>70</v>
      </c>
      <c r="AC46" s="304">
        <f t="shared" si="39"/>
        <v>0.15</v>
      </c>
      <c r="AD46" s="100">
        <f t="shared" si="8"/>
        <v>0.39200000000000002</v>
      </c>
      <c r="AE46" s="100">
        <f t="shared" si="9"/>
        <v>0.308</v>
      </c>
      <c r="AF46" s="193">
        <f t="shared" si="34"/>
        <v>11.035679664067789</v>
      </c>
      <c r="AG46" s="193">
        <f t="shared" si="35"/>
        <v>77.463175027851435</v>
      </c>
      <c r="AH46" s="193">
        <f t="shared" si="36"/>
        <v>15.135048463635925</v>
      </c>
      <c r="AI46" s="198">
        <f t="shared" si="37"/>
        <v>103.63390315555515</v>
      </c>
      <c r="AK46" s="71">
        <v>41</v>
      </c>
      <c r="AL46" s="33"/>
      <c r="AM46" s="33"/>
      <c r="AN46" s="33"/>
      <c r="AO46" s="33"/>
      <c r="AP46" s="33"/>
      <c r="AQ46" s="193"/>
      <c r="AR46" s="193"/>
      <c r="AS46" s="193"/>
      <c r="AT46" s="193"/>
      <c r="AU46" s="33"/>
      <c r="AV46" s="33"/>
      <c r="AW46" s="33"/>
      <c r="AX46" s="33"/>
      <c r="AY46" s="76"/>
    </row>
    <row r="47" spans="2:51">
      <c r="B47" s="40">
        <f t="shared" si="31"/>
        <v>66</v>
      </c>
      <c r="C47" s="151">
        <f t="shared" si="38"/>
        <v>70</v>
      </c>
      <c r="D47" s="136">
        <f>D48+49</f>
        <v>773</v>
      </c>
      <c r="E47" s="140">
        <f t="shared" si="29"/>
        <v>1.3</v>
      </c>
      <c r="F47" s="42">
        <f t="shared" si="30"/>
        <v>1004.9000000000001</v>
      </c>
      <c r="G47" s="51">
        <f t="shared" si="33"/>
        <v>29.575000000000017</v>
      </c>
      <c r="I47" s="55">
        <v>42</v>
      </c>
      <c r="J47" s="33">
        <f t="shared" si="18"/>
        <v>11.549999999999999</v>
      </c>
      <c r="K47" s="33">
        <f t="shared" si="19"/>
        <v>4.0035891732474047</v>
      </c>
      <c r="L47" s="33">
        <f t="shared" si="20"/>
        <v>70</v>
      </c>
      <c r="M47" s="33">
        <f t="shared" si="21"/>
        <v>10</v>
      </c>
      <c r="N47" s="33">
        <f t="shared" si="0"/>
        <v>0</v>
      </c>
      <c r="O47" s="34">
        <f t="shared" si="1"/>
        <v>320.4225011434059</v>
      </c>
      <c r="P47" s="55">
        <v>42</v>
      </c>
      <c r="Q47" s="33">
        <f t="shared" si="15"/>
        <v>42.574999999999989</v>
      </c>
      <c r="R47" s="33">
        <f t="shared" si="22"/>
        <v>584.67499999999995</v>
      </c>
      <c r="S47" s="33">
        <f t="shared" si="23"/>
        <v>222.17649999999998</v>
      </c>
      <c r="T47" s="33">
        <f t="shared" si="2"/>
        <v>54.587665864376653</v>
      </c>
      <c r="U47" s="33">
        <f t="shared" si="16"/>
        <v>70</v>
      </c>
      <c r="V47" s="33">
        <f t="shared" si="3"/>
        <v>10</v>
      </c>
      <c r="W47" s="33">
        <v>0</v>
      </c>
      <c r="X47" s="33">
        <f t="shared" si="4"/>
        <v>775.36425554712275</v>
      </c>
      <c r="Y47" s="38">
        <f t="shared" si="5"/>
        <v>454.94175440371686</v>
      </c>
      <c r="AA47" s="71">
        <v>42</v>
      </c>
      <c r="AB47" s="33">
        <f t="shared" si="6"/>
        <v>0</v>
      </c>
      <c r="AC47" s="304">
        <f t="shared" si="39"/>
        <v>0</v>
      </c>
      <c r="AD47" s="100">
        <f t="shared" si="8"/>
        <v>0</v>
      </c>
      <c r="AE47" s="100">
        <f t="shared" si="9"/>
        <v>0</v>
      </c>
      <c r="AF47" s="193">
        <f t="shared" si="34"/>
        <v>10.819276716955374</v>
      </c>
      <c r="AG47" s="193">
        <f t="shared" si="35"/>
        <v>75.344940433103503</v>
      </c>
      <c r="AH47" s="193">
        <f t="shared" si="36"/>
        <v>10.702095402224002</v>
      </c>
      <c r="AI47" s="198">
        <f t="shared" si="37"/>
        <v>96.866312552282878</v>
      </c>
      <c r="AK47" s="71">
        <v>42</v>
      </c>
      <c r="AL47" s="33"/>
      <c r="AM47" s="33"/>
      <c r="AN47" s="33"/>
      <c r="AO47" s="33"/>
      <c r="AP47" s="33"/>
      <c r="AQ47" s="193"/>
      <c r="AR47" s="193"/>
      <c r="AS47" s="193"/>
      <c r="AT47" s="193"/>
      <c r="AU47" s="33"/>
      <c r="AV47" s="33"/>
      <c r="AW47" s="33"/>
      <c r="AX47" s="33"/>
      <c r="AY47" s="76"/>
    </row>
    <row r="48" spans="2:51">
      <c r="B48" s="40">
        <f t="shared" si="31"/>
        <v>70</v>
      </c>
      <c r="C48" s="151">
        <f t="shared" si="38"/>
        <v>71</v>
      </c>
      <c r="D48" s="136">
        <v>724</v>
      </c>
      <c r="E48" s="140">
        <f t="shared" si="29"/>
        <v>1.3</v>
      </c>
      <c r="F48" s="42">
        <f t="shared" si="30"/>
        <v>941.2</v>
      </c>
      <c r="G48" s="51">
        <f t="shared" si="33"/>
        <v>-63.700000000000045</v>
      </c>
      <c r="I48" s="55">
        <v>43</v>
      </c>
      <c r="J48" s="33">
        <f t="shared" si="18"/>
        <v>11.969999999999999</v>
      </c>
      <c r="K48" s="33">
        <f t="shared" si="19"/>
        <v>4.1319595009564551</v>
      </c>
      <c r="L48" s="33">
        <f t="shared" si="20"/>
        <v>70</v>
      </c>
      <c r="M48" s="33">
        <f t="shared" si="21"/>
        <v>10</v>
      </c>
      <c r="N48" s="33">
        <f t="shared" si="0"/>
        <v>0</v>
      </c>
      <c r="O48" s="34">
        <f t="shared" si="1"/>
        <v>321.37757946416582</v>
      </c>
      <c r="P48" s="55">
        <v>43</v>
      </c>
      <c r="Q48" s="33">
        <f t="shared" si="15"/>
        <v>42.574999999999989</v>
      </c>
      <c r="R48" s="33">
        <f t="shared" si="22"/>
        <v>627.25</v>
      </c>
      <c r="S48" s="33">
        <f t="shared" si="23"/>
        <v>238.35499999999999</v>
      </c>
      <c r="T48" s="33">
        <f t="shared" si="2"/>
        <v>58.085459170335689</v>
      </c>
      <c r="U48" s="33">
        <f t="shared" si="16"/>
        <v>70</v>
      </c>
      <c r="V48" s="33">
        <f t="shared" si="3"/>
        <v>10</v>
      </c>
      <c r="W48" s="33">
        <v>0</v>
      </c>
      <c r="X48" s="33">
        <f t="shared" si="4"/>
        <v>809.63379972166786</v>
      </c>
      <c r="Y48" s="38">
        <f t="shared" si="5"/>
        <v>488.25622025750204</v>
      </c>
      <c r="AA48" s="71">
        <v>43</v>
      </c>
      <c r="AB48" s="33">
        <f t="shared" si="6"/>
        <v>0</v>
      </c>
      <c r="AC48" s="304">
        <f t="shared" si="39"/>
        <v>0</v>
      </c>
      <c r="AD48" s="100">
        <f t="shared" si="8"/>
        <v>0</v>
      </c>
      <c r="AE48" s="100">
        <f t="shared" si="9"/>
        <v>0</v>
      </c>
      <c r="AF48" s="193">
        <f t="shared" si="34"/>
        <v>10.607117299643068</v>
      </c>
      <c r="AG48" s="193">
        <f t="shared" si="35"/>
        <v>73.284629074742071</v>
      </c>
      <c r="AH48" s="193">
        <f t="shared" si="36"/>
        <v>7.5675242318179636</v>
      </c>
      <c r="AI48" s="198">
        <f t="shared" si="37"/>
        <v>91.459270606203106</v>
      </c>
      <c r="AK48" s="71">
        <v>43</v>
      </c>
      <c r="AL48" s="33"/>
      <c r="AM48" s="33"/>
      <c r="AN48" s="33"/>
      <c r="AO48" s="33"/>
      <c r="AP48" s="33"/>
      <c r="AQ48" s="193"/>
      <c r="AR48" s="193"/>
      <c r="AS48" s="193"/>
      <c r="AT48" s="193"/>
      <c r="AU48" s="33"/>
      <c r="AV48" s="33"/>
      <c r="AW48" s="33"/>
      <c r="AX48" s="33"/>
      <c r="AY48" s="76"/>
    </row>
    <row r="49" spans="2:51">
      <c r="B49" s="40">
        <f t="shared" si="31"/>
        <v>71</v>
      </c>
      <c r="C49" s="151">
        <f t="shared" si="38"/>
        <v>75</v>
      </c>
      <c r="D49" s="136">
        <f>D50+47</f>
        <v>809</v>
      </c>
      <c r="E49" s="140">
        <f t="shared" si="29"/>
        <v>1.3</v>
      </c>
      <c r="F49" s="42">
        <f t="shared" si="30"/>
        <v>1051.7</v>
      </c>
      <c r="G49" s="51">
        <f t="shared" si="33"/>
        <v>27.625</v>
      </c>
      <c r="I49" s="55">
        <v>44</v>
      </c>
      <c r="J49" s="33">
        <f t="shared" si="18"/>
        <v>12.389999999999999</v>
      </c>
      <c r="K49" s="33">
        <f t="shared" si="19"/>
        <v>4.259806492988357</v>
      </c>
      <c r="L49" s="33">
        <f t="shared" si="20"/>
        <v>70</v>
      </c>
      <c r="M49" s="33">
        <f t="shared" si="21"/>
        <v>10</v>
      </c>
      <c r="N49" s="33">
        <f t="shared" si="0"/>
        <v>0</v>
      </c>
      <c r="O49" s="34">
        <f t="shared" si="1"/>
        <v>322.3317463086214</v>
      </c>
      <c r="P49" s="55">
        <v>44</v>
      </c>
      <c r="Q49" s="33">
        <f t="shared" si="15"/>
        <v>42.574999999999989</v>
      </c>
      <c r="R49" s="33">
        <f t="shared" si="22"/>
        <v>669.82500000000005</v>
      </c>
      <c r="S49" s="33">
        <f t="shared" si="23"/>
        <v>254.53350000000003</v>
      </c>
      <c r="T49" s="33">
        <f t="shared" si="2"/>
        <v>61.555703932744464</v>
      </c>
      <c r="U49" s="33">
        <f t="shared" si="16"/>
        <v>70</v>
      </c>
      <c r="V49" s="33">
        <f t="shared" si="3"/>
        <v>10</v>
      </c>
      <c r="W49" s="33">
        <v>0</v>
      </c>
      <c r="X49" s="33">
        <f t="shared" si="4"/>
        <v>843.85536351619658</v>
      </c>
      <c r="Y49" s="38">
        <f t="shared" si="5"/>
        <v>521.52361720757517</v>
      </c>
      <c r="AA49" s="71">
        <v>44</v>
      </c>
      <c r="AB49" s="33">
        <f t="shared" si="6"/>
        <v>0</v>
      </c>
      <c r="AC49" s="304">
        <f t="shared" si="39"/>
        <v>0</v>
      </c>
      <c r="AD49" s="100">
        <f t="shared" si="8"/>
        <v>0</v>
      </c>
      <c r="AE49" s="100">
        <f t="shared" si="9"/>
        <v>0</v>
      </c>
      <c r="AF49" s="193">
        <f t="shared" si="34"/>
        <v>10.399118199099791</v>
      </c>
      <c r="AG49" s="193">
        <f t="shared" si="35"/>
        <v>71.280657038822099</v>
      </c>
      <c r="AH49" s="193">
        <f t="shared" si="36"/>
        <v>5.3510477011120017</v>
      </c>
      <c r="AI49" s="198">
        <f t="shared" si="37"/>
        <v>87.030822939033897</v>
      </c>
      <c r="AK49" s="71">
        <v>44</v>
      </c>
      <c r="AL49" s="33"/>
      <c r="AM49" s="33"/>
      <c r="AN49" s="33"/>
      <c r="AO49" s="33"/>
      <c r="AP49" s="33"/>
      <c r="AQ49" s="193"/>
      <c r="AR49" s="193"/>
      <c r="AS49" s="193"/>
      <c r="AT49" s="193"/>
      <c r="AU49" s="33"/>
      <c r="AV49" s="33"/>
      <c r="AW49" s="33"/>
      <c r="AX49" s="33"/>
      <c r="AY49" s="76"/>
    </row>
    <row r="50" spans="2:51">
      <c r="B50" s="40">
        <f t="shared" si="31"/>
        <v>75</v>
      </c>
      <c r="C50" s="151">
        <f t="shared" si="38"/>
        <v>76</v>
      </c>
      <c r="D50" s="136">
        <v>762</v>
      </c>
      <c r="E50" s="140">
        <f t="shared" si="29"/>
        <v>1.3</v>
      </c>
      <c r="F50" s="42">
        <f t="shared" si="30"/>
        <v>990.6</v>
      </c>
      <c r="G50" s="51">
        <f t="shared" si="33"/>
        <v>-61.100000000000023</v>
      </c>
      <c r="I50" s="55">
        <v>45</v>
      </c>
      <c r="J50" s="33">
        <f t="shared" si="18"/>
        <v>12.809999999999999</v>
      </c>
      <c r="K50" s="33">
        <f t="shared" si="19"/>
        <v>4.387149923166203</v>
      </c>
      <c r="L50" s="33">
        <f t="shared" si="20"/>
        <v>70</v>
      </c>
      <c r="M50" s="33">
        <f t="shared" si="21"/>
        <v>10</v>
      </c>
      <c r="N50" s="33">
        <f t="shared" si="0"/>
        <v>0</v>
      </c>
      <c r="O50" s="34">
        <f t="shared" si="1"/>
        <v>323.28503611618117</v>
      </c>
      <c r="P50" s="55">
        <v>45</v>
      </c>
      <c r="Q50" s="33">
        <f t="shared" si="15"/>
        <v>42.574999999999989</v>
      </c>
      <c r="R50" s="33">
        <f t="shared" si="22"/>
        <v>712.40000000000009</v>
      </c>
      <c r="S50" s="33">
        <f t="shared" si="23"/>
        <v>270.71200000000005</v>
      </c>
      <c r="T50" s="33">
        <f t="shared" si="2"/>
        <v>65.000350489411971</v>
      </c>
      <c r="U50" s="33">
        <f t="shared" si="16"/>
        <v>70</v>
      </c>
      <c r="V50" s="33">
        <f t="shared" si="3"/>
        <v>10</v>
      </c>
      <c r="W50" s="33">
        <v>0</v>
      </c>
      <c r="X50" s="33">
        <f t="shared" si="4"/>
        <v>878.03234376905914</v>
      </c>
      <c r="Y50" s="38">
        <f t="shared" si="5"/>
        <v>554.74730765287791</v>
      </c>
      <c r="AA50" s="71">
        <v>45</v>
      </c>
      <c r="AB50" s="33">
        <f t="shared" si="6"/>
        <v>0</v>
      </c>
      <c r="AC50" s="304">
        <f t="shared" si="39"/>
        <v>0</v>
      </c>
      <c r="AD50" s="100">
        <f t="shared" si="8"/>
        <v>0</v>
      </c>
      <c r="AE50" s="100">
        <f t="shared" si="9"/>
        <v>0</v>
      </c>
      <c r="AF50" s="193">
        <f t="shared" si="34"/>
        <v>10.195197834051243</v>
      </c>
      <c r="AG50" s="193">
        <f t="shared" si="35"/>
        <v>69.33148372360867</v>
      </c>
      <c r="AH50" s="193">
        <f t="shared" si="36"/>
        <v>3.7837621159089827</v>
      </c>
      <c r="AI50" s="198">
        <f t="shared" si="37"/>
        <v>83.310443673568898</v>
      </c>
      <c r="AK50" s="71">
        <v>45</v>
      </c>
      <c r="AL50" s="33"/>
      <c r="AM50" s="33"/>
      <c r="AN50" s="33"/>
      <c r="AO50" s="33"/>
      <c r="AP50" s="33"/>
      <c r="AQ50" s="193"/>
      <c r="AR50" s="193"/>
      <c r="AS50" s="193"/>
      <c r="AT50" s="193"/>
      <c r="AU50" s="33"/>
      <c r="AV50" s="33"/>
      <c r="AW50" s="33"/>
      <c r="AX50" s="33"/>
      <c r="AY50" s="76"/>
    </row>
    <row r="51" spans="2:51">
      <c r="B51" s="40">
        <f t="shared" si="31"/>
        <v>76</v>
      </c>
      <c r="C51" s="151">
        <f t="shared" si="38"/>
        <v>80</v>
      </c>
      <c r="D51" s="136">
        <f>D52+45</f>
        <v>840</v>
      </c>
      <c r="E51" s="140">
        <f t="shared" si="29"/>
        <v>1.3</v>
      </c>
      <c r="F51" s="42">
        <f t="shared" si="30"/>
        <v>1092</v>
      </c>
      <c r="G51" s="51">
        <f t="shared" si="33"/>
        <v>25.349999999999994</v>
      </c>
      <c r="I51" s="55">
        <v>46</v>
      </c>
      <c r="J51" s="33">
        <f t="shared" si="18"/>
        <v>13.229999999999999</v>
      </c>
      <c r="K51" s="33">
        <f t="shared" si="19"/>
        <v>4.5140081950731146</v>
      </c>
      <c r="L51" s="33">
        <f t="shared" si="20"/>
        <v>70</v>
      </c>
      <c r="M51" s="33">
        <f t="shared" si="21"/>
        <v>10</v>
      </c>
      <c r="N51" s="33">
        <f t="shared" si="0"/>
        <v>0</v>
      </c>
      <c r="O51" s="34">
        <f t="shared" si="1"/>
        <v>324.23748093975234</v>
      </c>
      <c r="P51" s="55">
        <v>46</v>
      </c>
      <c r="Q51" s="33">
        <f t="shared" si="15"/>
        <v>-91</v>
      </c>
      <c r="R51" s="33">
        <f t="shared" si="22"/>
        <v>621.40000000000009</v>
      </c>
      <c r="S51" s="33">
        <f t="shared" si="23"/>
        <v>236.13200000000003</v>
      </c>
      <c r="T51" s="33">
        <f t="shared" si="2"/>
        <v>57.606526104436526</v>
      </c>
      <c r="U51" s="33">
        <f t="shared" si="16"/>
        <v>70</v>
      </c>
      <c r="V51" s="33">
        <f t="shared" si="3"/>
        <v>10</v>
      </c>
      <c r="W51" s="33">
        <v>0</v>
      </c>
      <c r="X51" s="33">
        <f t="shared" si="4"/>
        <v>804.92793296522689</v>
      </c>
      <c r="Y51" s="38">
        <f t="shared" si="5"/>
        <v>480.69045202547454</v>
      </c>
      <c r="AA51" s="71">
        <v>46</v>
      </c>
      <c r="AB51" s="33">
        <f t="shared" si="6"/>
        <v>70</v>
      </c>
      <c r="AC51" s="304">
        <f t="shared" si="39"/>
        <v>0.2</v>
      </c>
      <c r="AD51" s="100">
        <f t="shared" si="8"/>
        <v>0.33600000000000002</v>
      </c>
      <c r="AE51" s="100">
        <f t="shared" si="9"/>
        <v>0.26400000000000001</v>
      </c>
      <c r="AF51" s="193">
        <f t="shared" si="34"/>
        <v>19.169795996802016</v>
      </c>
      <c r="AG51" s="193">
        <f t="shared" si="35"/>
        <v>82.788116260625429</v>
      </c>
      <c r="AH51" s="193">
        <f t="shared" si="36"/>
        <v>13.011808362550811</v>
      </c>
      <c r="AI51" s="198">
        <f t="shared" si="37"/>
        <v>114.96972061997825</v>
      </c>
      <c r="AK51" s="71">
        <v>46</v>
      </c>
      <c r="AL51" s="33"/>
      <c r="AM51" s="33"/>
      <c r="AN51" s="33"/>
      <c r="AO51" s="33"/>
      <c r="AP51" s="33"/>
      <c r="AQ51" s="193"/>
      <c r="AR51" s="193"/>
      <c r="AS51" s="193"/>
      <c r="AT51" s="193"/>
      <c r="AU51" s="33"/>
      <c r="AV51" s="33"/>
      <c r="AW51" s="33"/>
      <c r="AX51" s="33"/>
      <c r="AY51" s="76"/>
    </row>
    <row r="52" spans="2:51">
      <c r="B52" s="40">
        <f t="shared" si="31"/>
        <v>80</v>
      </c>
      <c r="C52" s="151">
        <f t="shared" si="38"/>
        <v>81</v>
      </c>
      <c r="D52" s="136">
        <v>795</v>
      </c>
      <c r="E52" s="140">
        <f t="shared" si="29"/>
        <v>1.3</v>
      </c>
      <c r="F52" s="42">
        <f t="shared" si="30"/>
        <v>1033.5</v>
      </c>
      <c r="G52" s="51">
        <f t="shared" si="33"/>
        <v>-58.5</v>
      </c>
      <c r="I52" s="55">
        <v>47</v>
      </c>
      <c r="J52" s="33">
        <f t="shared" si="18"/>
        <v>13.649999999999999</v>
      </c>
      <c r="K52" s="33">
        <f t="shared" si="19"/>
        <v>4.6403984774572109</v>
      </c>
      <c r="L52" s="33">
        <f t="shared" si="20"/>
        <v>70</v>
      </c>
      <c r="M52" s="33">
        <f t="shared" si="21"/>
        <v>10</v>
      </c>
      <c r="N52" s="33">
        <f t="shared" si="0"/>
        <v>0</v>
      </c>
      <c r="O52" s="34">
        <f t="shared" si="1"/>
        <v>325.18911068157132</v>
      </c>
      <c r="P52" s="55">
        <v>47</v>
      </c>
      <c r="Q52" s="33">
        <f t="shared" si="15"/>
        <v>39.975000000000023</v>
      </c>
      <c r="R52" s="33">
        <f t="shared" si="22"/>
        <v>661.37500000000011</v>
      </c>
      <c r="S52" s="33">
        <f t="shared" si="23"/>
        <v>251.32250000000005</v>
      </c>
      <c r="T52" s="33">
        <f t="shared" si="2"/>
        <v>60.869047304979112</v>
      </c>
      <c r="U52" s="33">
        <f t="shared" si="16"/>
        <v>70</v>
      </c>
      <c r="V52" s="33">
        <f t="shared" si="3"/>
        <v>10</v>
      </c>
      <c r="W52" s="33">
        <v>0</v>
      </c>
      <c r="X52" s="33">
        <f t="shared" si="4"/>
        <v>837.06694488950541</v>
      </c>
      <c r="Y52" s="38">
        <f t="shared" si="5"/>
        <v>511.87783420793409</v>
      </c>
      <c r="AA52" s="71">
        <v>47</v>
      </c>
      <c r="AB52" s="33">
        <f t="shared" si="6"/>
        <v>0</v>
      </c>
      <c r="AC52" s="304">
        <f t="shared" si="39"/>
        <v>0</v>
      </c>
      <c r="AD52" s="100">
        <f t="shared" si="8"/>
        <v>0</v>
      </c>
      <c r="AE52" s="100">
        <f t="shared" si="9"/>
        <v>0</v>
      </c>
      <c r="AF52" s="193">
        <f t="shared" si="34"/>
        <v>18.793887989725757</v>
      </c>
      <c r="AG52" s="193">
        <f t="shared" si="35"/>
        <v>80.524270867840812</v>
      </c>
      <c r="AH52" s="193">
        <f t="shared" si="36"/>
        <v>9.2007379286595068</v>
      </c>
      <c r="AI52" s="198">
        <f t="shared" si="37"/>
        <v>108.51889678622608</v>
      </c>
      <c r="AK52" s="71">
        <v>47</v>
      </c>
      <c r="AL52" s="33"/>
      <c r="AM52" s="33"/>
      <c r="AN52" s="33"/>
      <c r="AO52" s="33"/>
      <c r="AP52" s="33"/>
      <c r="AQ52" s="193"/>
      <c r="AR52" s="193"/>
      <c r="AS52" s="193"/>
      <c r="AT52" s="193"/>
      <c r="AU52" s="33"/>
      <c r="AV52" s="33"/>
      <c r="AW52" s="33"/>
      <c r="AX52" s="33"/>
      <c r="AY52" s="76"/>
    </row>
    <row r="53" spans="2:51">
      <c r="B53" s="40"/>
      <c r="C53" s="151"/>
      <c r="D53" s="136"/>
      <c r="E53" s="140"/>
      <c r="F53" s="42"/>
      <c r="G53" s="51"/>
      <c r="I53" s="55">
        <v>48</v>
      </c>
      <c r="J53" s="33">
        <f t="shared" si="18"/>
        <v>14.069999999999999</v>
      </c>
      <c r="K53" s="33">
        <f t="shared" si="19"/>
        <v>4.7663368225031704</v>
      </c>
      <c r="L53" s="33">
        <f t="shared" si="20"/>
        <v>70</v>
      </c>
      <c r="M53" s="33">
        <f t="shared" si="21"/>
        <v>10</v>
      </c>
      <c r="N53" s="33">
        <f t="shared" si="0"/>
        <v>0</v>
      </c>
      <c r="O53" s="34">
        <f t="shared" si="1"/>
        <v>326.139953299193</v>
      </c>
      <c r="P53" s="55">
        <v>48</v>
      </c>
      <c r="Q53" s="33">
        <f t="shared" si="15"/>
        <v>39.975000000000023</v>
      </c>
      <c r="R53" s="33">
        <f t="shared" si="22"/>
        <v>701.35000000000014</v>
      </c>
      <c r="S53" s="33">
        <f t="shared" si="23"/>
        <v>266.51300000000003</v>
      </c>
      <c r="T53" s="33">
        <f t="shared" si="2"/>
        <v>64.108680952806353</v>
      </c>
      <c r="U53" s="33">
        <f t="shared" si="16"/>
        <v>70</v>
      </c>
      <c r="V53" s="33">
        <f t="shared" si="3"/>
        <v>10</v>
      </c>
      <c r="W53" s="33">
        <v>0</v>
      </c>
      <c r="X53" s="33">
        <f t="shared" si="4"/>
        <v>869.1660943261378</v>
      </c>
      <c r="Y53" s="38">
        <f t="shared" si="5"/>
        <v>543.02614102694474</v>
      </c>
      <c r="AA53" s="71">
        <v>48</v>
      </c>
      <c r="AB53" s="33">
        <f t="shared" si="6"/>
        <v>0</v>
      </c>
      <c r="AC53" s="304">
        <f t="shared" si="39"/>
        <v>0</v>
      </c>
      <c r="AD53" s="100">
        <f t="shared" si="8"/>
        <v>0</v>
      </c>
      <c r="AE53" s="100">
        <f t="shared" si="9"/>
        <v>0</v>
      </c>
      <c r="AF53" s="193">
        <f t="shared" si="34"/>
        <v>18.425351309387018</v>
      </c>
      <c r="AG53" s="193">
        <f t="shared" si="35"/>
        <v>78.322330446372348</v>
      </c>
      <c r="AH53" s="193">
        <f t="shared" si="36"/>
        <v>6.5059041812754073</v>
      </c>
      <c r="AI53" s="198">
        <f t="shared" si="37"/>
        <v>103.25358593703479</v>
      </c>
      <c r="AK53" s="71">
        <v>48</v>
      </c>
      <c r="AL53" s="33"/>
      <c r="AM53" s="33"/>
      <c r="AN53" s="33"/>
      <c r="AO53" s="33"/>
      <c r="AP53" s="33"/>
      <c r="AQ53" s="193"/>
      <c r="AR53" s="193"/>
      <c r="AS53" s="193"/>
      <c r="AT53" s="193"/>
      <c r="AU53" s="33"/>
      <c r="AV53" s="33"/>
      <c r="AW53" s="33"/>
      <c r="AX53" s="33"/>
      <c r="AY53" s="76"/>
    </row>
    <row r="54" spans="2:51">
      <c r="B54" s="40"/>
      <c r="C54" s="151"/>
      <c r="D54" s="136"/>
      <c r="E54" s="140"/>
      <c r="F54" s="42"/>
      <c r="G54" s="51"/>
      <c r="I54" s="55">
        <v>49</v>
      </c>
      <c r="J54" s="33">
        <f t="shared" si="18"/>
        <v>14.489999999999998</v>
      </c>
      <c r="K54" s="33">
        <f t="shared" si="19"/>
        <v>4.8918382695850156</v>
      </c>
      <c r="L54" s="33">
        <f t="shared" si="20"/>
        <v>70</v>
      </c>
      <c r="M54" s="33">
        <f t="shared" si="21"/>
        <v>10</v>
      </c>
      <c r="N54" s="33">
        <f t="shared" si="0"/>
        <v>0</v>
      </c>
      <c r="O54" s="34">
        <f t="shared" si="1"/>
        <v>327.09003498619393</v>
      </c>
      <c r="P54" s="55">
        <v>49</v>
      </c>
      <c r="Q54" s="33">
        <f t="shared" si="15"/>
        <v>39.975000000000023</v>
      </c>
      <c r="R54" s="33">
        <f t="shared" si="22"/>
        <v>741.32500000000016</v>
      </c>
      <c r="S54" s="33">
        <f t="shared" si="23"/>
        <v>281.70350000000008</v>
      </c>
      <c r="T54" s="33">
        <f t="shared" si="2"/>
        <v>67.326880218660449</v>
      </c>
      <c r="U54" s="33">
        <f t="shared" si="16"/>
        <v>70</v>
      </c>
      <c r="V54" s="33">
        <f t="shared" si="3"/>
        <v>10</v>
      </c>
      <c r="W54" s="33">
        <v>0</v>
      </c>
      <c r="X54" s="33">
        <f t="shared" si="4"/>
        <v>901.22791221416708</v>
      </c>
      <c r="Y54" s="38">
        <f t="shared" si="5"/>
        <v>574.13787722797315</v>
      </c>
      <c r="AA54" s="71">
        <v>49</v>
      </c>
      <c r="AB54" s="33">
        <f t="shared" si="6"/>
        <v>0</v>
      </c>
      <c r="AC54" s="304">
        <f t="shared" si="39"/>
        <v>0</v>
      </c>
      <c r="AD54" s="100">
        <f t="shared" si="8"/>
        <v>0</v>
      </c>
      <c r="AE54" s="100">
        <f t="shared" si="9"/>
        <v>0</v>
      </c>
      <c r="AF54" s="193">
        <f t="shared" si="34"/>
        <v>18.064041408564542</v>
      </c>
      <c r="AG54" s="193">
        <f t="shared" si="35"/>
        <v>76.180602201523939</v>
      </c>
      <c r="AH54" s="193">
        <f t="shared" si="36"/>
        <v>4.6003689643297543</v>
      </c>
      <c r="AI54" s="198">
        <f t="shared" si="37"/>
        <v>98.845012574418234</v>
      </c>
      <c r="AK54" s="71">
        <v>49</v>
      </c>
      <c r="AL54" s="33"/>
      <c r="AM54" s="33"/>
      <c r="AN54" s="33"/>
      <c r="AO54" s="33"/>
      <c r="AP54" s="33"/>
      <c r="AQ54" s="193"/>
      <c r="AR54" s="193"/>
      <c r="AS54" s="193"/>
      <c r="AT54" s="193"/>
      <c r="AU54" s="33"/>
      <c r="AV54" s="33"/>
      <c r="AW54" s="33"/>
      <c r="AX54" s="33"/>
      <c r="AY54" s="76"/>
    </row>
    <row r="55" spans="2:51">
      <c r="B55" s="40"/>
      <c r="C55" s="151"/>
      <c r="D55" s="136"/>
      <c r="E55" s="140"/>
      <c r="F55" s="42"/>
      <c r="G55" s="51"/>
      <c r="I55" s="55">
        <v>50</v>
      </c>
      <c r="J55" s="33">
        <f t="shared" si="18"/>
        <v>14.909999999999998</v>
      </c>
      <c r="K55" s="33">
        <f t="shared" si="19"/>
        <v>5.0169169366515129</v>
      </c>
      <c r="L55" s="33">
        <f t="shared" si="20"/>
        <v>70</v>
      </c>
      <c r="M55" s="33">
        <f t="shared" si="21"/>
        <v>10</v>
      </c>
      <c r="N55" s="33">
        <f t="shared" si="0"/>
        <v>0</v>
      </c>
      <c r="O55" s="34">
        <f t="shared" si="1"/>
        <v>328.03938033133471</v>
      </c>
      <c r="P55" s="55">
        <v>50</v>
      </c>
      <c r="Q55" s="33">
        <f t="shared" si="15"/>
        <v>39.975000000000023</v>
      </c>
      <c r="R55" s="33">
        <f t="shared" si="22"/>
        <v>781.30000000000018</v>
      </c>
      <c r="S55" s="33">
        <f t="shared" si="23"/>
        <v>296.89400000000006</v>
      </c>
      <c r="T55" s="33">
        <f t="shared" si="2"/>
        <v>70.524932701260425</v>
      </c>
      <c r="U55" s="33">
        <f t="shared" si="16"/>
        <v>70</v>
      </c>
      <c r="V55" s="33">
        <f t="shared" si="3"/>
        <v>10</v>
      </c>
      <c r="W55" s="33">
        <v>0</v>
      </c>
      <c r="X55" s="33">
        <f t="shared" si="4"/>
        <v>933.25464112136194</v>
      </c>
      <c r="Y55" s="38">
        <f t="shared" si="5"/>
        <v>605.21526079002729</v>
      </c>
      <c r="AA55" s="71">
        <v>50</v>
      </c>
      <c r="AB55" s="33">
        <f t="shared" si="6"/>
        <v>0</v>
      </c>
      <c r="AC55" s="304">
        <f t="shared" si="39"/>
        <v>0</v>
      </c>
      <c r="AD55" s="100">
        <f t="shared" si="8"/>
        <v>0</v>
      </c>
      <c r="AE55" s="100">
        <f t="shared" si="9"/>
        <v>0</v>
      </c>
      <c r="AF55" s="193">
        <f t="shared" si="34"/>
        <v>17.709816574519916</v>
      </c>
      <c r="AG55" s="193">
        <f t="shared" si="35"/>
        <v>74.097439628159506</v>
      </c>
      <c r="AH55" s="193">
        <f t="shared" si="36"/>
        <v>3.2529520906377041</v>
      </c>
      <c r="AI55" s="198">
        <f t="shared" si="37"/>
        <v>95.060208293317132</v>
      </c>
      <c r="AK55" s="71">
        <v>50</v>
      </c>
      <c r="AL55" s="33"/>
      <c r="AM55" s="33"/>
      <c r="AN55" s="33"/>
      <c r="AO55" s="33"/>
      <c r="AP55" s="33"/>
      <c r="AQ55" s="193"/>
      <c r="AR55" s="193"/>
      <c r="AS55" s="193"/>
      <c r="AT55" s="193"/>
      <c r="AU55" s="33"/>
      <c r="AV55" s="33"/>
      <c r="AW55" s="33"/>
      <c r="AX55" s="33"/>
      <c r="AY55" s="76"/>
    </row>
    <row r="56" spans="2:51">
      <c r="B56" s="40"/>
      <c r="C56" s="151"/>
      <c r="D56" s="136"/>
      <c r="E56" s="140"/>
      <c r="F56" s="42"/>
      <c r="G56" s="51"/>
      <c r="I56" s="55">
        <v>51</v>
      </c>
      <c r="J56" s="33">
        <f t="shared" si="18"/>
        <v>15.329999999999998</v>
      </c>
      <c r="K56" s="33">
        <f t="shared" si="19"/>
        <v>5.1415861010251849</v>
      </c>
      <c r="L56" s="33">
        <f t="shared" si="20"/>
        <v>70</v>
      </c>
      <c r="M56" s="33">
        <f t="shared" si="21"/>
        <v>10</v>
      </c>
      <c r="N56" s="33">
        <f t="shared" si="0"/>
        <v>0</v>
      </c>
      <c r="O56" s="34">
        <f t="shared" si="1"/>
        <v>328.98801245928553</v>
      </c>
      <c r="P56" s="55">
        <v>51</v>
      </c>
      <c r="Q56" s="33">
        <f t="shared" si="15"/>
        <v>-91</v>
      </c>
      <c r="R56" s="33">
        <f t="shared" si="22"/>
        <v>690.30000000000018</v>
      </c>
      <c r="S56" s="33">
        <f t="shared" si="23"/>
        <v>262.31400000000008</v>
      </c>
      <c r="T56" s="33">
        <f t="shared" si="2"/>
        <v>63.215374593233328</v>
      </c>
      <c r="U56" s="33">
        <f t="shared" si="16"/>
        <v>70</v>
      </c>
      <c r="V56" s="33">
        <f t="shared" si="3"/>
        <v>10</v>
      </c>
      <c r="W56" s="33">
        <v>0</v>
      </c>
      <c r="X56" s="33">
        <f t="shared" si="4"/>
        <v>860.29699408321483</v>
      </c>
      <c r="Y56" s="38">
        <f t="shared" si="5"/>
        <v>531.3089816239293</v>
      </c>
      <c r="AA56" s="71">
        <v>51</v>
      </c>
      <c r="AB56" s="33">
        <f t="shared" si="6"/>
        <v>70</v>
      </c>
      <c r="AC56" s="304">
        <f t="shared" si="39"/>
        <v>0.25</v>
      </c>
      <c r="AD56" s="100">
        <f t="shared" si="8"/>
        <v>0.28000000000000003</v>
      </c>
      <c r="AE56" s="100">
        <f t="shared" si="9"/>
        <v>0.22</v>
      </c>
      <c r="AF56" s="193">
        <f t="shared" si="34"/>
        <v>28.830687590689912</v>
      </c>
      <c r="AG56" s="193">
        <f t="shared" si="35"/>
        <v>84.864995916098408</v>
      </c>
      <c r="AH56" s="193">
        <f t="shared" si="36"/>
        <v>10.913754908827219</v>
      </c>
      <c r="AI56" s="198">
        <f t="shared" si="37"/>
        <v>124.60943841561554</v>
      </c>
      <c r="AK56" s="71">
        <v>51</v>
      </c>
      <c r="AL56" s="33"/>
      <c r="AM56" s="33"/>
      <c r="AN56" s="33"/>
      <c r="AO56" s="33"/>
      <c r="AP56" s="33"/>
      <c r="AQ56" s="193"/>
      <c r="AR56" s="193"/>
      <c r="AS56" s="193"/>
      <c r="AT56" s="193"/>
      <c r="AU56" s="33"/>
      <c r="AV56" s="33"/>
      <c r="AW56" s="33"/>
      <c r="AX56" s="33"/>
      <c r="AY56" s="76"/>
    </row>
    <row r="57" spans="2:51">
      <c r="B57" s="40"/>
      <c r="C57" s="151"/>
      <c r="D57" s="136"/>
      <c r="E57" s="140"/>
      <c r="F57" s="42"/>
      <c r="G57" s="51"/>
      <c r="I57" s="55">
        <v>52</v>
      </c>
      <c r="J57" s="33">
        <f t="shared" si="18"/>
        <v>15.749999999999998</v>
      </c>
      <c r="K57" s="33">
        <f t="shared" si="19"/>
        <v>5.2658582710976578</v>
      </c>
      <c r="L57" s="33">
        <f t="shared" si="20"/>
        <v>70</v>
      </c>
      <c r="M57" s="33">
        <f t="shared" si="21"/>
        <v>10</v>
      </c>
      <c r="N57" s="33">
        <f t="shared" si="0"/>
        <v>0</v>
      </c>
      <c r="O57" s="34">
        <f t="shared" si="1"/>
        <v>329.9359531554951</v>
      </c>
      <c r="P57" s="55">
        <v>52</v>
      </c>
      <c r="Q57" s="33">
        <f t="shared" si="15"/>
        <v>37.375</v>
      </c>
      <c r="R57" s="33">
        <f t="shared" si="22"/>
        <v>727.67500000000018</v>
      </c>
      <c r="S57" s="33">
        <f t="shared" si="23"/>
        <v>276.51650000000006</v>
      </c>
      <c r="T57" s="33">
        <f t="shared" si="2"/>
        <v>66.230309673849604</v>
      </c>
      <c r="U57" s="33">
        <f t="shared" si="16"/>
        <v>70</v>
      </c>
      <c r="V57" s="33">
        <f t="shared" si="3"/>
        <v>10</v>
      </c>
      <c r="W57" s="33">
        <v>0</v>
      </c>
      <c r="X57" s="33">
        <f t="shared" si="4"/>
        <v>890.28402684862147</v>
      </c>
      <c r="Y57" s="38">
        <f t="shared" si="5"/>
        <v>560.34807369312637</v>
      </c>
      <c r="AA57" s="71">
        <v>52</v>
      </c>
      <c r="AB57" s="33">
        <f t="shared" si="6"/>
        <v>0</v>
      </c>
      <c r="AC57" s="304">
        <f t="shared" si="39"/>
        <v>0</v>
      </c>
      <c r="AD57" s="100">
        <f t="shared" si="8"/>
        <v>0</v>
      </c>
      <c r="AE57" s="100">
        <f t="shared" si="9"/>
        <v>0</v>
      </c>
      <c r="AF57" s="193">
        <f t="shared" si="34"/>
        <v>28.265335392019541</v>
      </c>
      <c r="AG57" s="193">
        <f t="shared" si="35"/>
        <v>82.544358139916525</v>
      </c>
      <c r="AH57" s="193">
        <f t="shared" si="36"/>
        <v>7.7171901042396973</v>
      </c>
      <c r="AI57" s="198">
        <f t="shared" si="37"/>
        <v>118.52688363617575</v>
      </c>
      <c r="AK57" s="71">
        <v>52</v>
      </c>
      <c r="AL57" s="33"/>
      <c r="AM57" s="33"/>
      <c r="AN57" s="33"/>
      <c r="AO57" s="33"/>
      <c r="AP57" s="33"/>
      <c r="AQ57" s="193"/>
      <c r="AR57" s="193"/>
      <c r="AS57" s="193"/>
      <c r="AT57" s="193"/>
      <c r="AU57" s="33"/>
      <c r="AV57" s="33"/>
      <c r="AW57" s="33"/>
      <c r="AX57" s="33"/>
      <c r="AY57" s="76"/>
    </row>
    <row r="58" spans="2:51">
      <c r="B58" s="40"/>
      <c r="C58" s="151"/>
      <c r="D58" s="136"/>
      <c r="E58" s="140"/>
      <c r="F58" s="42"/>
      <c r="G58" s="51"/>
      <c r="I58" s="55">
        <v>53</v>
      </c>
      <c r="J58" s="33">
        <f t="shared" si="18"/>
        <v>16.169999999999998</v>
      </c>
      <c r="K58" s="33">
        <f t="shared" si="19"/>
        <v>5.3897452501624228</v>
      </c>
      <c r="L58" s="33">
        <f t="shared" si="20"/>
        <v>70</v>
      </c>
      <c r="M58" s="33">
        <f t="shared" si="21"/>
        <v>10</v>
      </c>
      <c r="N58" s="33">
        <f t="shared" si="0"/>
        <v>0</v>
      </c>
      <c r="O58" s="34">
        <f t="shared" si="1"/>
        <v>330.88322297736619</v>
      </c>
      <c r="P58" s="55">
        <v>53</v>
      </c>
      <c r="Q58" s="33">
        <f t="shared" si="15"/>
        <v>37.375</v>
      </c>
      <c r="R58" s="33">
        <f t="shared" si="22"/>
        <v>765.05000000000018</v>
      </c>
      <c r="S58" s="33">
        <f t="shared" si="23"/>
        <v>290.71900000000005</v>
      </c>
      <c r="T58" s="33">
        <f t="shared" si="2"/>
        <v>69.227265207405196</v>
      </c>
      <c r="U58" s="33">
        <f t="shared" si="16"/>
        <v>70</v>
      </c>
      <c r="V58" s="33">
        <f t="shared" si="3"/>
        <v>10</v>
      </c>
      <c r="W58" s="33">
        <v>0</v>
      </c>
      <c r="X58" s="33">
        <f t="shared" si="4"/>
        <v>920.23974523623076</v>
      </c>
      <c r="Y58" s="38">
        <f t="shared" si="5"/>
        <v>589.35652225886452</v>
      </c>
      <c r="AA58" s="71">
        <v>53</v>
      </c>
      <c r="AB58" s="33">
        <f t="shared" si="6"/>
        <v>0</v>
      </c>
      <c r="AC58" s="304">
        <f t="shared" si="39"/>
        <v>0</v>
      </c>
      <c r="AD58" s="100">
        <f t="shared" si="8"/>
        <v>0</v>
      </c>
      <c r="AE58" s="100">
        <f t="shared" si="9"/>
        <v>0</v>
      </c>
      <c r="AF58" s="193">
        <f t="shared" si="34"/>
        <v>27.711069405134303</v>
      </c>
      <c r="AG58" s="193">
        <f t="shared" si="35"/>
        <v>80.287178325761374</v>
      </c>
      <c r="AH58" s="193">
        <f t="shared" si="36"/>
        <v>5.4568774544136103</v>
      </c>
      <c r="AI58" s="198">
        <f t="shared" si="37"/>
        <v>113.4551251853093</v>
      </c>
      <c r="AK58" s="71">
        <v>53</v>
      </c>
      <c r="AL58" s="33"/>
      <c r="AM58" s="33"/>
      <c r="AN58" s="33"/>
      <c r="AO58" s="33"/>
      <c r="AP58" s="33"/>
      <c r="AQ58" s="193"/>
      <c r="AR58" s="193"/>
      <c r="AS58" s="193"/>
      <c r="AT58" s="193"/>
      <c r="AU58" s="33"/>
      <c r="AV58" s="33"/>
      <c r="AW58" s="33"/>
      <c r="AX58" s="33"/>
      <c r="AY58" s="76"/>
    </row>
    <row r="59" spans="2:51">
      <c r="B59" s="40"/>
      <c r="C59" s="151"/>
      <c r="D59" s="136"/>
      <c r="E59" s="140"/>
      <c r="F59" s="42"/>
      <c r="G59" s="51"/>
      <c r="I59" s="55">
        <v>54</v>
      </c>
      <c r="J59" s="33">
        <f t="shared" si="18"/>
        <v>16.59</v>
      </c>
      <c r="K59" s="33">
        <f t="shared" si="19"/>
        <v>5.5132581934290155</v>
      </c>
      <c r="L59" s="33">
        <f t="shared" si="20"/>
        <v>70</v>
      </c>
      <c r="M59" s="33">
        <f t="shared" si="21"/>
        <v>10</v>
      </c>
      <c r="N59" s="33">
        <f t="shared" si="0"/>
        <v>0</v>
      </c>
      <c r="O59" s="34">
        <f t="shared" si="1"/>
        <v>331.82984135355554</v>
      </c>
      <c r="P59" s="55">
        <v>54</v>
      </c>
      <c r="Q59" s="33">
        <f t="shared" si="15"/>
        <v>37.375</v>
      </c>
      <c r="R59" s="33">
        <f t="shared" si="22"/>
        <v>802.42500000000018</v>
      </c>
      <c r="S59" s="33">
        <f t="shared" si="23"/>
        <v>304.92150000000009</v>
      </c>
      <c r="T59" s="33">
        <f t="shared" si="2"/>
        <v>72.207219803551865</v>
      </c>
      <c r="U59" s="33">
        <f t="shared" si="16"/>
        <v>70</v>
      </c>
      <c r="V59" s="33">
        <f t="shared" si="3"/>
        <v>10</v>
      </c>
      <c r="W59" s="33">
        <v>0</v>
      </c>
      <c r="X59" s="33">
        <f t="shared" si="4"/>
        <v>950.16585365785295</v>
      </c>
      <c r="Y59" s="38">
        <f t="shared" si="5"/>
        <v>618.33601230429736</v>
      </c>
      <c r="AA59" s="71">
        <v>54</v>
      </c>
      <c r="AB59" s="33">
        <f t="shared" si="6"/>
        <v>0</v>
      </c>
      <c r="AC59" s="304">
        <f t="shared" si="39"/>
        <v>0</v>
      </c>
      <c r="AD59" s="100">
        <f t="shared" si="8"/>
        <v>0</v>
      </c>
      <c r="AE59" s="100">
        <f t="shared" si="9"/>
        <v>0</v>
      </c>
      <c r="AF59" s="193">
        <f t="shared" si="34"/>
        <v>27.167672236183016</v>
      </c>
      <c r="AG59" s="193">
        <f t="shared" si="35"/>
        <v>78.091721212324217</v>
      </c>
      <c r="AH59" s="193">
        <f t="shared" si="36"/>
        <v>3.8585950521198495</v>
      </c>
      <c r="AI59" s="198">
        <f t="shared" si="37"/>
        <v>109.11798850062709</v>
      </c>
      <c r="AK59" s="71">
        <v>54</v>
      </c>
      <c r="AL59" s="33"/>
      <c r="AM59" s="33"/>
      <c r="AN59" s="33"/>
      <c r="AO59" s="33"/>
      <c r="AP59" s="33"/>
      <c r="AQ59" s="193"/>
      <c r="AR59" s="193"/>
      <c r="AS59" s="193"/>
      <c r="AT59" s="193"/>
      <c r="AU59" s="33"/>
      <c r="AV59" s="33"/>
      <c r="AW59" s="33"/>
      <c r="AX59" s="33"/>
      <c r="AY59" s="76"/>
    </row>
    <row r="60" spans="2:51">
      <c r="B60" s="40"/>
      <c r="C60" s="151"/>
      <c r="D60" s="136"/>
      <c r="E60" s="140"/>
      <c r="F60" s="42"/>
      <c r="G60" s="51"/>
      <c r="I60" s="55">
        <v>55</v>
      </c>
      <c r="J60" s="33">
        <f t="shared" si="18"/>
        <v>17.010000000000002</v>
      </c>
      <c r="K60" s="33">
        <f t="shared" si="19"/>
        <v>5.6364076591011436</v>
      </c>
      <c r="L60" s="33">
        <f t="shared" si="20"/>
        <v>70</v>
      </c>
      <c r="M60" s="33">
        <f t="shared" si="21"/>
        <v>10</v>
      </c>
      <c r="N60" s="33">
        <f t="shared" si="0"/>
        <v>0</v>
      </c>
      <c r="O60" s="34">
        <f t="shared" si="1"/>
        <v>332.7758266729345</v>
      </c>
      <c r="P60" s="55">
        <v>55</v>
      </c>
      <c r="Q60" s="33">
        <f t="shared" si="15"/>
        <v>37.375</v>
      </c>
      <c r="R60" s="33">
        <f t="shared" si="22"/>
        <v>839.80000000000018</v>
      </c>
      <c r="S60" s="33">
        <f t="shared" si="23"/>
        <v>319.12400000000008</v>
      </c>
      <c r="T60" s="33">
        <f t="shared" si="2"/>
        <v>75.171055757402456</v>
      </c>
      <c r="U60" s="33">
        <f t="shared" si="16"/>
        <v>70</v>
      </c>
      <c r="V60" s="33">
        <f t="shared" si="3"/>
        <v>10</v>
      </c>
      <c r="W60" s="33">
        <v>0</v>
      </c>
      <c r="X60" s="33">
        <f t="shared" si="4"/>
        <v>980.06388877747588</v>
      </c>
      <c r="Y60" s="38">
        <f t="shared" si="5"/>
        <v>647.28806210454138</v>
      </c>
      <c r="AA60" s="71">
        <v>55</v>
      </c>
      <c r="AB60" s="33">
        <f t="shared" si="6"/>
        <v>0</v>
      </c>
      <c r="AC60" s="304">
        <f t="shared" si="39"/>
        <v>0</v>
      </c>
      <c r="AD60" s="100">
        <f t="shared" si="8"/>
        <v>0</v>
      </c>
      <c r="AE60" s="100">
        <f t="shared" si="9"/>
        <v>0</v>
      </c>
      <c r="AF60" s="193">
        <f t="shared" si="34"/>
        <v>26.634930754275317</v>
      </c>
      <c r="AG60" s="193">
        <f t="shared" si="35"/>
        <v>75.956298989108078</v>
      </c>
      <c r="AH60" s="193">
        <f t="shared" si="36"/>
        <v>2.7284387272068056</v>
      </c>
      <c r="AI60" s="198">
        <f t="shared" si="37"/>
        <v>105.3196684705902</v>
      </c>
      <c r="AK60" s="71">
        <v>55</v>
      </c>
      <c r="AL60" s="33"/>
      <c r="AM60" s="33"/>
      <c r="AN60" s="33"/>
      <c r="AO60" s="33"/>
      <c r="AP60" s="33"/>
      <c r="AQ60" s="193"/>
      <c r="AR60" s="193"/>
      <c r="AS60" s="193"/>
      <c r="AT60" s="193"/>
      <c r="AU60" s="33"/>
      <c r="AV60" s="33"/>
      <c r="AW60" s="33"/>
      <c r="AX60" s="33"/>
      <c r="AY60" s="76"/>
    </row>
    <row r="61" spans="2:51">
      <c r="B61" s="40"/>
      <c r="C61" s="151"/>
      <c r="D61" s="136"/>
      <c r="E61" s="140"/>
      <c r="F61" s="42"/>
      <c r="G61" s="51"/>
      <c r="I61" s="55">
        <v>56</v>
      </c>
      <c r="J61" s="33">
        <f t="shared" si="18"/>
        <v>17.430000000000003</v>
      </c>
      <c r="K61" s="33">
        <f t="shared" si="19"/>
        <v>5.7592036542680249</v>
      </c>
      <c r="L61" s="33">
        <f t="shared" si="20"/>
        <v>70</v>
      </c>
      <c r="M61" s="33">
        <f t="shared" si="21"/>
        <v>10</v>
      </c>
      <c r="N61" s="33">
        <f t="shared" si="0"/>
        <v>0</v>
      </c>
      <c r="O61" s="34">
        <f t="shared" si="1"/>
        <v>333.72119636451686</v>
      </c>
      <c r="P61" s="55">
        <v>56</v>
      </c>
      <c r="Q61" s="33">
        <f t="shared" si="15"/>
        <v>-81.900000000000091</v>
      </c>
      <c r="R61" s="33">
        <f t="shared" si="22"/>
        <v>757.90000000000009</v>
      </c>
      <c r="S61" s="33">
        <f t="shared" si="23"/>
        <v>288.00200000000001</v>
      </c>
      <c r="T61" s="33">
        <f t="shared" si="2"/>
        <v>68.655278298015077</v>
      </c>
      <c r="U61" s="33">
        <f t="shared" si="16"/>
        <v>70</v>
      </c>
      <c r="V61" s="33">
        <f t="shared" si="3"/>
        <v>10</v>
      </c>
      <c r="W61" s="33">
        <v>0</v>
      </c>
      <c r="X61" s="33">
        <f t="shared" si="4"/>
        <v>914.51142636904285</v>
      </c>
      <c r="Y61" s="38">
        <f t="shared" si="5"/>
        <v>580.79023000452594</v>
      </c>
      <c r="AA61" s="71">
        <v>56</v>
      </c>
      <c r="AB61" s="33">
        <f t="shared" si="6"/>
        <v>63</v>
      </c>
      <c r="AC61" s="304">
        <f t="shared" si="39"/>
        <v>0.3</v>
      </c>
      <c r="AD61" s="100">
        <f t="shared" si="8"/>
        <v>0.22400000000000003</v>
      </c>
      <c r="AE61" s="100">
        <f t="shared" si="9"/>
        <v>0.17600000000000002</v>
      </c>
      <c r="AF61" s="193">
        <f t="shared" si="34"/>
        <v>38.498237702544422</v>
      </c>
      <c r="AG61" s="193">
        <f t="shared" si="35"/>
        <v>83.090773362136616</v>
      </c>
      <c r="AH61" s="193">
        <f t="shared" si="36"/>
        <v>8.1310682332568121</v>
      </c>
      <c r="AI61" s="198">
        <f t="shared" si="37"/>
        <v>129.72007929793784</v>
      </c>
      <c r="AK61" s="71">
        <v>56</v>
      </c>
      <c r="AL61" s="33"/>
      <c r="AM61" s="33"/>
      <c r="AN61" s="33"/>
      <c r="AO61" s="33"/>
      <c r="AP61" s="33"/>
      <c r="AQ61" s="193"/>
      <c r="AR61" s="193"/>
      <c r="AS61" s="193"/>
      <c r="AT61" s="193"/>
      <c r="AU61" s="33"/>
      <c r="AV61" s="33"/>
      <c r="AW61" s="33"/>
      <c r="AX61" s="33"/>
      <c r="AY61" s="76"/>
    </row>
    <row r="62" spans="2:51">
      <c r="B62" s="40"/>
      <c r="C62" s="151"/>
      <c r="D62" s="136"/>
      <c r="E62" s="140"/>
      <c r="F62" s="42"/>
      <c r="G62" s="51"/>
      <c r="I62" s="55">
        <v>57</v>
      </c>
      <c r="J62" s="33">
        <f t="shared" si="18"/>
        <v>17.850000000000005</v>
      </c>
      <c r="K62" s="33">
        <f t="shared" si="19"/>
        <v>5.8816556762478864</v>
      </c>
      <c r="L62" s="33">
        <f t="shared" si="20"/>
        <v>70</v>
      </c>
      <c r="M62" s="33">
        <f t="shared" si="21"/>
        <v>10</v>
      </c>
      <c r="N62" s="33">
        <f t="shared" si="0"/>
        <v>0</v>
      </c>
      <c r="O62" s="34">
        <f t="shared" si="1"/>
        <v>334.66596696946505</v>
      </c>
      <c r="P62" s="55">
        <v>57</v>
      </c>
      <c r="Q62" s="33">
        <f t="shared" si="15"/>
        <v>34.775000000000006</v>
      </c>
      <c r="R62" s="33">
        <f t="shared" si="22"/>
        <v>792.67500000000007</v>
      </c>
      <c r="S62" s="33">
        <f t="shared" si="23"/>
        <v>301.21650000000005</v>
      </c>
      <c r="T62" s="33">
        <f t="shared" si="2"/>
        <v>71.431428506410597</v>
      </c>
      <c r="U62" s="33">
        <f t="shared" si="16"/>
        <v>70</v>
      </c>
      <c r="V62" s="33">
        <f t="shared" si="3"/>
        <v>10</v>
      </c>
      <c r="W62" s="33">
        <v>0</v>
      </c>
      <c r="X62" s="33">
        <f t="shared" si="4"/>
        <v>942.36180881533176</v>
      </c>
      <c r="Y62" s="38">
        <f t="shared" si="5"/>
        <v>607.69584184586665</v>
      </c>
      <c r="AA62" s="71">
        <v>57</v>
      </c>
      <c r="AB62" s="33">
        <f t="shared" si="6"/>
        <v>0</v>
      </c>
      <c r="AC62" s="304">
        <f t="shared" si="39"/>
        <v>0</v>
      </c>
      <c r="AD62" s="100">
        <f t="shared" si="8"/>
        <v>0</v>
      </c>
      <c r="AE62" s="100">
        <f t="shared" si="9"/>
        <v>0</v>
      </c>
      <c r="AF62" s="193">
        <f t="shared" si="34"/>
        <v>37.743310742803907</v>
      </c>
      <c r="AG62" s="193">
        <f t="shared" si="35"/>
        <v>80.81865179499512</v>
      </c>
      <c r="AH62" s="193">
        <f t="shared" si="36"/>
        <v>5.7495334860264125</v>
      </c>
      <c r="AI62" s="198">
        <f t="shared" si="37"/>
        <v>124.31149602382543</v>
      </c>
      <c r="AK62" s="71">
        <v>57</v>
      </c>
      <c r="AL62" s="33"/>
      <c r="AM62" s="33"/>
      <c r="AN62" s="33"/>
      <c r="AO62" s="33"/>
      <c r="AP62" s="33"/>
      <c r="AQ62" s="193"/>
      <c r="AR62" s="193"/>
      <c r="AS62" s="193"/>
      <c r="AT62" s="193"/>
      <c r="AU62" s="33"/>
      <c r="AV62" s="33"/>
      <c r="AW62" s="33"/>
      <c r="AX62" s="33"/>
      <c r="AY62" s="76"/>
    </row>
    <row r="63" spans="2:51">
      <c r="B63" s="40"/>
      <c r="C63" s="151"/>
      <c r="D63" s="136"/>
      <c r="E63" s="140"/>
      <c r="F63" s="42"/>
      <c r="G63" s="51"/>
      <c r="I63" s="55">
        <v>58</v>
      </c>
      <c r="J63" s="33">
        <f t="shared" si="18"/>
        <v>18.270000000000007</v>
      </c>
      <c r="K63" s="33">
        <f t="shared" si="19"/>
        <v>6.0037727499306985</v>
      </c>
      <c r="L63" s="33">
        <f t="shared" si="20"/>
        <v>70</v>
      </c>
      <c r="M63" s="33">
        <f t="shared" si="21"/>
        <v>10</v>
      </c>
      <c r="N63" s="33">
        <f t="shared" si="0"/>
        <v>0</v>
      </c>
      <c r="O63" s="34">
        <f t="shared" si="1"/>
        <v>335.61015420612932</v>
      </c>
      <c r="P63" s="55">
        <v>58</v>
      </c>
      <c r="Q63" s="33">
        <f t="shared" si="15"/>
        <v>34.775000000000006</v>
      </c>
      <c r="R63" s="33">
        <f t="shared" si="22"/>
        <v>827.45</v>
      </c>
      <c r="S63" s="33">
        <f t="shared" si="23"/>
        <v>314.43100000000004</v>
      </c>
      <c r="T63" s="33">
        <f t="shared" si="2"/>
        <v>74.193433594118389</v>
      </c>
      <c r="U63" s="33">
        <f t="shared" si="16"/>
        <v>70</v>
      </c>
      <c r="V63" s="33">
        <f t="shared" si="3"/>
        <v>10</v>
      </c>
      <c r="W63" s="33">
        <v>0</v>
      </c>
      <c r="X63" s="33">
        <f t="shared" si="4"/>
        <v>970.18755517642296</v>
      </c>
      <c r="Y63" s="38">
        <f t="shared" si="5"/>
        <v>634.57740097029364</v>
      </c>
      <c r="AA63" s="71">
        <v>58</v>
      </c>
      <c r="AB63" s="33">
        <f t="shared" si="6"/>
        <v>0</v>
      </c>
      <c r="AC63" s="304">
        <f t="shared" si="39"/>
        <v>0</v>
      </c>
      <c r="AD63" s="100">
        <f t="shared" si="8"/>
        <v>0</v>
      </c>
      <c r="AE63" s="100">
        <f t="shared" si="9"/>
        <v>0</v>
      </c>
      <c r="AF63" s="193">
        <f t="shared" si="34"/>
        <v>37.003187440283924</v>
      </c>
      <c r="AG63" s="193">
        <f t="shared" si="35"/>
        <v>78.6086615115928</v>
      </c>
      <c r="AH63" s="193">
        <f t="shared" si="36"/>
        <v>4.0655341166284069</v>
      </c>
      <c r="AI63" s="198">
        <f t="shared" si="37"/>
        <v>119.67738306850514</v>
      </c>
      <c r="AK63" s="71">
        <v>58</v>
      </c>
      <c r="AL63" s="33"/>
      <c r="AM63" s="33"/>
      <c r="AN63" s="33"/>
      <c r="AO63" s="33"/>
      <c r="AP63" s="33"/>
      <c r="AQ63" s="193"/>
      <c r="AR63" s="193"/>
      <c r="AS63" s="193"/>
      <c r="AT63" s="193"/>
      <c r="AU63" s="33"/>
      <c r="AV63" s="33"/>
      <c r="AW63" s="33"/>
      <c r="AX63" s="33"/>
      <c r="AY63" s="76"/>
    </row>
    <row r="64" spans="2:51">
      <c r="B64" s="40"/>
      <c r="C64" s="151"/>
      <c r="D64" s="136"/>
      <c r="E64" s="140"/>
      <c r="F64" s="42"/>
      <c r="G64" s="51"/>
      <c r="I64" s="55">
        <v>59</v>
      </c>
      <c r="J64" s="33">
        <f t="shared" si="18"/>
        <v>18.690000000000008</v>
      </c>
      <c r="K64" s="33">
        <f t="shared" si="19"/>
        <v>6.1255634615903167</v>
      </c>
      <c r="L64" s="33">
        <f t="shared" si="20"/>
        <v>70</v>
      </c>
      <c r="M64" s="33">
        <f t="shared" si="21"/>
        <v>10</v>
      </c>
      <c r="N64" s="33">
        <f t="shared" si="0"/>
        <v>0</v>
      </c>
      <c r="O64" s="34">
        <f t="shared" si="1"/>
        <v>336.55377302893652</v>
      </c>
      <c r="P64" s="55">
        <v>59</v>
      </c>
      <c r="Q64" s="33">
        <f t="shared" si="15"/>
        <v>34.775000000000006</v>
      </c>
      <c r="R64" s="33">
        <f t="shared" si="22"/>
        <v>862.22500000000002</v>
      </c>
      <c r="S64" s="33">
        <f t="shared" si="23"/>
        <v>327.64550000000003</v>
      </c>
      <c r="T64" s="33">
        <f t="shared" si="2"/>
        <v>76.941956007781016</v>
      </c>
      <c r="U64" s="33">
        <f t="shared" si="16"/>
        <v>70</v>
      </c>
      <c r="V64" s="33">
        <f t="shared" si="3"/>
        <v>10</v>
      </c>
      <c r="W64" s="33">
        <v>0</v>
      </c>
      <c r="X64" s="33">
        <f t="shared" si="4"/>
        <v>997.98981921355187</v>
      </c>
      <c r="Y64" s="38">
        <f t="shared" si="5"/>
        <v>661.43604618461541</v>
      </c>
      <c r="AA64" s="71">
        <v>59</v>
      </c>
      <c r="AB64" s="33">
        <f t="shared" si="6"/>
        <v>0</v>
      </c>
      <c r="AC64" s="304">
        <f t="shared" si="39"/>
        <v>0</v>
      </c>
      <c r="AD64" s="100">
        <f t="shared" si="8"/>
        <v>0</v>
      </c>
      <c r="AE64" s="100">
        <f t="shared" si="9"/>
        <v>0</v>
      </c>
      <c r="AF64" s="193">
        <f t="shared" si="34"/>
        <v>36.277577504295721</v>
      </c>
      <c r="AG64" s="193">
        <f t="shared" si="35"/>
        <v>76.459103528708454</v>
      </c>
      <c r="AH64" s="193">
        <f t="shared" si="36"/>
        <v>2.8747667430132071</v>
      </c>
      <c r="AI64" s="198">
        <f t="shared" si="37"/>
        <v>115.61144777601739</v>
      </c>
      <c r="AK64" s="71">
        <v>59</v>
      </c>
      <c r="AL64" s="33"/>
      <c r="AM64" s="33"/>
      <c r="AN64" s="33"/>
      <c r="AO64" s="33"/>
      <c r="AP64" s="33"/>
      <c r="AQ64" s="193"/>
      <c r="AR64" s="193"/>
      <c r="AS64" s="193"/>
      <c r="AT64" s="193"/>
      <c r="AU64" s="33"/>
      <c r="AV64" s="33"/>
      <c r="AW64" s="33"/>
      <c r="AX64" s="33"/>
      <c r="AY64" s="76"/>
    </row>
    <row r="65" spans="2:51">
      <c r="B65" s="40"/>
      <c r="C65" s="151"/>
      <c r="D65" s="136"/>
      <c r="E65" s="140"/>
      <c r="F65" s="42"/>
      <c r="G65" s="51"/>
      <c r="I65" s="55">
        <v>60</v>
      </c>
      <c r="J65" s="33">
        <f t="shared" si="18"/>
        <v>19.11000000000001</v>
      </c>
      <c r="K65" s="33">
        <f t="shared" si="19"/>
        <v>6.2470359895716525</v>
      </c>
      <c r="L65" s="33">
        <f t="shared" si="20"/>
        <v>70</v>
      </c>
      <c r="M65" s="33">
        <f t="shared" si="21"/>
        <v>10</v>
      </c>
      <c r="N65" s="33">
        <f t="shared" si="0"/>
        <v>0</v>
      </c>
      <c r="O65" s="34">
        <f t="shared" si="1"/>
        <v>337.49683768183735</v>
      </c>
      <c r="P65" s="55">
        <v>60</v>
      </c>
      <c r="Q65" s="33">
        <f t="shared" si="15"/>
        <v>34.775000000000006</v>
      </c>
      <c r="R65" s="33">
        <f t="shared" si="22"/>
        <v>897</v>
      </c>
      <c r="S65" s="33">
        <f t="shared" si="23"/>
        <v>340.86</v>
      </c>
      <c r="T65" s="33">
        <f t="shared" si="2"/>
        <v>79.677601734543515</v>
      </c>
      <c r="U65" s="33">
        <f t="shared" si="16"/>
        <v>70</v>
      </c>
      <c r="V65" s="33">
        <f t="shared" si="3"/>
        <v>10</v>
      </c>
      <c r="W65" s="33">
        <v>0</v>
      </c>
      <c r="X65" s="33">
        <f t="shared" si="4"/>
        <v>1025.76965635433</v>
      </c>
      <c r="Y65" s="38">
        <f t="shared" si="5"/>
        <v>688.27281867249258</v>
      </c>
      <c r="AA65" s="71">
        <v>60</v>
      </c>
      <c r="AB65" s="33">
        <f t="shared" si="6"/>
        <v>0</v>
      </c>
      <c r="AC65" s="304">
        <f t="shared" si="39"/>
        <v>0</v>
      </c>
      <c r="AD65" s="100">
        <f t="shared" si="8"/>
        <v>0</v>
      </c>
      <c r="AE65" s="100">
        <f t="shared" si="9"/>
        <v>0</v>
      </c>
      <c r="AF65" s="193">
        <f t="shared" si="34"/>
        <v>35.566196336573888</v>
      </c>
      <c r="AG65" s="193">
        <f t="shared" si="35"/>
        <v>74.368325321906411</v>
      </c>
      <c r="AH65" s="193">
        <f t="shared" si="36"/>
        <v>2.0327670583142039</v>
      </c>
      <c r="AI65" s="198">
        <f t="shared" si="37"/>
        <v>111.9672887167945</v>
      </c>
      <c r="AK65" s="71">
        <v>60</v>
      </c>
      <c r="AL65" s="33"/>
      <c r="AM65" s="33"/>
      <c r="AN65" s="33"/>
      <c r="AO65" s="33"/>
      <c r="AP65" s="33"/>
      <c r="AQ65" s="193"/>
      <c r="AR65" s="193"/>
      <c r="AS65" s="193"/>
      <c r="AT65" s="193"/>
      <c r="AU65" s="33"/>
      <c r="AV65" s="33"/>
      <c r="AW65" s="33"/>
      <c r="AX65" s="33"/>
      <c r="AY65" s="76"/>
    </row>
    <row r="66" spans="2:51">
      <c r="B66" s="40"/>
      <c r="C66" s="151"/>
      <c r="D66" s="136"/>
      <c r="E66" s="140"/>
      <c r="F66" s="42"/>
      <c r="G66" s="51"/>
      <c r="I66" s="55">
        <v>61</v>
      </c>
      <c r="J66" s="33">
        <f t="shared" si="18"/>
        <v>19.530000000000012</v>
      </c>
      <c r="K66" s="33">
        <f t="shared" si="19"/>
        <v>6.3681981322039647</v>
      </c>
      <c r="L66" s="33">
        <f t="shared" si="20"/>
        <v>70</v>
      </c>
      <c r="M66" s="33">
        <f t="shared" si="21"/>
        <v>10</v>
      </c>
      <c r="N66" s="33">
        <f t="shared" si="0"/>
        <v>0</v>
      </c>
      <c r="O66" s="34">
        <f t="shared" si="1"/>
        <v>338.43936174692197</v>
      </c>
      <c r="P66" s="55">
        <v>61</v>
      </c>
      <c r="Q66" s="33">
        <f t="shared" si="15"/>
        <v>-72.799999999999955</v>
      </c>
      <c r="R66" s="33">
        <f t="shared" si="22"/>
        <v>824.2</v>
      </c>
      <c r="S66" s="33">
        <f t="shared" si="23"/>
        <v>313.19600000000003</v>
      </c>
      <c r="T66" s="33">
        <f t="shared" si="2"/>
        <v>73.935883217548451</v>
      </c>
      <c r="U66" s="33">
        <f t="shared" si="16"/>
        <v>70</v>
      </c>
      <c r="V66" s="33">
        <f t="shared" si="3"/>
        <v>10</v>
      </c>
      <c r="W66" s="33">
        <v>0</v>
      </c>
      <c r="X66" s="33">
        <f t="shared" si="4"/>
        <v>967.5880299372302</v>
      </c>
      <c r="Y66" s="38">
        <f t="shared" si="5"/>
        <v>629.14866819030817</v>
      </c>
      <c r="AA66" s="71">
        <v>61</v>
      </c>
      <c r="AB66" s="33">
        <f t="shared" si="6"/>
        <v>56</v>
      </c>
      <c r="AC66" s="304">
        <f t="shared" si="39"/>
        <v>0.35</v>
      </c>
      <c r="AD66" s="100">
        <f t="shared" si="8"/>
        <v>0.16800000000000004</v>
      </c>
      <c r="AE66" s="100">
        <f t="shared" si="9"/>
        <v>0.13200000000000003</v>
      </c>
      <c r="AF66" s="193">
        <f t="shared" si="34"/>
        <v>47.713092602999211</v>
      </c>
      <c r="AG66" s="193">
        <f t="shared" si="35"/>
        <v>78.475721797287875</v>
      </c>
      <c r="AH66" s="193">
        <f t="shared" si="36"/>
        <v>5.5718971763045291</v>
      </c>
      <c r="AI66" s="198">
        <f t="shared" si="37"/>
        <v>131.7607115765916</v>
      </c>
      <c r="AK66" s="71">
        <v>61</v>
      </c>
      <c r="AL66" s="33"/>
      <c r="AM66" s="33"/>
      <c r="AN66" s="33"/>
      <c r="AO66" s="33"/>
      <c r="AP66" s="33"/>
      <c r="AQ66" s="193"/>
      <c r="AR66" s="193"/>
      <c r="AS66" s="193"/>
      <c r="AT66" s="193"/>
      <c r="AU66" s="33"/>
      <c r="AV66" s="33"/>
      <c r="AW66" s="33"/>
      <c r="AX66" s="33"/>
      <c r="AY66" s="76"/>
    </row>
    <row r="67" spans="2:51">
      <c r="B67" s="40"/>
      <c r="C67" s="151"/>
      <c r="D67" s="136"/>
      <c r="E67" s="140"/>
      <c r="F67" s="42"/>
      <c r="G67" s="51"/>
      <c r="I67" s="55">
        <v>62</v>
      </c>
      <c r="J67" s="33">
        <f t="shared" si="18"/>
        <v>19.950000000000014</v>
      </c>
      <c r="K67" s="33">
        <f t="shared" si="19"/>
        <v>6.4890573332452952</v>
      </c>
      <c r="L67" s="33">
        <f t="shared" si="20"/>
        <v>70</v>
      </c>
      <c r="M67" s="33">
        <f t="shared" si="21"/>
        <v>10</v>
      </c>
      <c r="N67" s="33">
        <f t="shared" si="0"/>
        <v>0</v>
      </c>
      <c r="O67" s="34">
        <f t="shared" si="1"/>
        <v>339.38135818873559</v>
      </c>
      <c r="P67" s="55">
        <v>62</v>
      </c>
      <c r="Q67" s="33">
        <f t="shared" si="15"/>
        <v>32.5</v>
      </c>
      <c r="R67" s="33">
        <f t="shared" si="22"/>
        <v>856.7</v>
      </c>
      <c r="S67" s="33">
        <f t="shared" si="23"/>
        <v>325.54600000000005</v>
      </c>
      <c r="T67" s="33">
        <f t="shared" si="2"/>
        <v>76.506150291256716</v>
      </c>
      <c r="U67" s="33">
        <f t="shared" si="16"/>
        <v>70</v>
      </c>
      <c r="V67" s="33">
        <f t="shared" si="3"/>
        <v>10</v>
      </c>
      <c r="W67" s="33">
        <v>0</v>
      </c>
      <c r="X67" s="33">
        <f t="shared" si="4"/>
        <v>993.57416175727224</v>
      </c>
      <c r="Y67" s="38">
        <f t="shared" si="5"/>
        <v>654.19280356853665</v>
      </c>
      <c r="AA67" s="71">
        <v>62</v>
      </c>
      <c r="AB67" s="33">
        <f t="shared" si="6"/>
        <v>0</v>
      </c>
      <c r="AC67" s="304">
        <f t="shared" si="39"/>
        <v>0</v>
      </c>
      <c r="AD67" s="100">
        <f t="shared" si="8"/>
        <v>0</v>
      </c>
      <c r="AE67" s="100">
        <f t="shared" si="9"/>
        <v>0</v>
      </c>
      <c r="AF67" s="193">
        <f t="shared" si="34"/>
        <v>46.777467959167289</v>
      </c>
      <c r="AG67" s="193">
        <f t="shared" si="35"/>
        <v>76.329799057882184</v>
      </c>
      <c r="AH67" s="193">
        <f t="shared" si="36"/>
        <v>3.9399262774391088</v>
      </c>
      <c r="AI67" s="198">
        <f t="shared" si="37"/>
        <v>127.04719329448859</v>
      </c>
      <c r="AK67" s="71">
        <v>62</v>
      </c>
      <c r="AL67" s="33"/>
      <c r="AM67" s="33"/>
      <c r="AN67" s="33"/>
      <c r="AO67" s="33"/>
      <c r="AP67" s="33"/>
      <c r="AQ67" s="193"/>
      <c r="AR67" s="193"/>
      <c r="AS67" s="193"/>
      <c r="AT67" s="193"/>
      <c r="AU67" s="33"/>
      <c r="AV67" s="33"/>
      <c r="AW67" s="33"/>
      <c r="AX67" s="33"/>
      <c r="AY67" s="76"/>
    </row>
    <row r="68" spans="2:51">
      <c r="B68" s="40"/>
      <c r="C68" s="151"/>
      <c r="D68" s="136"/>
      <c r="E68" s="140"/>
      <c r="F68" s="42"/>
      <c r="G68" s="51"/>
      <c r="I68" s="55">
        <v>63</v>
      </c>
      <c r="J68" s="33">
        <f t="shared" si="18"/>
        <v>20.370000000000015</v>
      </c>
      <c r="K68" s="33">
        <f t="shared" si="19"/>
        <v>6.609620705123719</v>
      </c>
      <c r="L68" s="33">
        <f t="shared" si="20"/>
        <v>70</v>
      </c>
      <c r="M68" s="33">
        <f t="shared" si="21"/>
        <v>10</v>
      </c>
      <c r="N68" s="33">
        <f t="shared" si="0"/>
        <v>0</v>
      </c>
      <c r="O68" s="34">
        <f t="shared" si="1"/>
        <v>340.32283939475718</v>
      </c>
      <c r="P68" s="55">
        <v>63</v>
      </c>
      <c r="Q68" s="33">
        <f t="shared" si="15"/>
        <v>32.5</v>
      </c>
      <c r="R68" s="33">
        <f t="shared" si="22"/>
        <v>889.2</v>
      </c>
      <c r="S68" s="33">
        <f t="shared" si="23"/>
        <v>337.89600000000002</v>
      </c>
      <c r="T68" s="33">
        <f t="shared" si="2"/>
        <v>79.065089779515802</v>
      </c>
      <c r="U68" s="33">
        <f t="shared" si="16"/>
        <v>70</v>
      </c>
      <c r="V68" s="33">
        <f t="shared" si="3"/>
        <v>10</v>
      </c>
      <c r="W68" s="33">
        <v>0</v>
      </c>
      <c r="X68" s="33">
        <f t="shared" si="4"/>
        <v>1019.5405646993232</v>
      </c>
      <c r="Y68" s="38">
        <f t="shared" si="5"/>
        <v>679.2177253045661</v>
      </c>
      <c r="AA68" s="71">
        <v>63</v>
      </c>
      <c r="AB68" s="33">
        <f t="shared" si="6"/>
        <v>0</v>
      </c>
      <c r="AC68" s="304">
        <f t="shared" si="39"/>
        <v>0</v>
      </c>
      <c r="AD68" s="100">
        <f t="shared" si="8"/>
        <v>0</v>
      </c>
      <c r="AE68" s="100">
        <f t="shared" si="9"/>
        <v>0</v>
      </c>
      <c r="AF68" s="193">
        <f t="shared" si="34"/>
        <v>45.860190343926227</v>
      </c>
      <c r="AG68" s="193">
        <f t="shared" si="35"/>
        <v>74.242556688634721</v>
      </c>
      <c r="AH68" s="193">
        <f t="shared" si="36"/>
        <v>2.785948588152265</v>
      </c>
      <c r="AI68" s="198">
        <f t="shared" si="37"/>
        <v>122.88869562071322</v>
      </c>
      <c r="AK68" s="71">
        <v>63</v>
      </c>
      <c r="AL68" s="33"/>
      <c r="AM68" s="33"/>
      <c r="AN68" s="33"/>
      <c r="AO68" s="33"/>
      <c r="AP68" s="33"/>
      <c r="AQ68" s="193"/>
      <c r="AR68" s="193"/>
      <c r="AS68" s="193"/>
      <c r="AT68" s="193"/>
      <c r="AU68" s="33"/>
      <c r="AV68" s="33"/>
      <c r="AW68" s="33"/>
      <c r="AX68" s="33"/>
      <c r="AY68" s="76"/>
    </row>
    <row r="69" spans="2:51">
      <c r="B69" s="40"/>
      <c r="C69" s="151"/>
      <c r="D69" s="136"/>
      <c r="E69" s="140"/>
      <c r="F69" s="42"/>
      <c r="G69" s="51"/>
      <c r="I69" s="55">
        <v>64</v>
      </c>
      <c r="J69" s="33">
        <f t="shared" si="18"/>
        <v>20.790000000000017</v>
      </c>
      <c r="K69" s="33">
        <f t="shared" si="19"/>
        <v>6.7298950502076895</v>
      </c>
      <c r="L69" s="33">
        <f t="shared" si="20"/>
        <v>70</v>
      </c>
      <c r="M69" s="33">
        <f t="shared" si="21"/>
        <v>10</v>
      </c>
      <c r="N69" s="33">
        <f t="shared" ref="N69:N132" si="40">IF(P70&lt;=$F$18,0,)</f>
        <v>0</v>
      </c>
      <c r="O69" s="34">
        <f t="shared" ref="O69:O132" si="41">((J69+K69)*0.475+L69+M69+N69)*44/12</f>
        <v>341.26381721244508</v>
      </c>
      <c r="P69" s="55">
        <v>64</v>
      </c>
      <c r="Q69" s="33">
        <f t="shared" si="15"/>
        <v>32.5</v>
      </c>
      <c r="R69" s="33">
        <f t="shared" si="22"/>
        <v>921.7</v>
      </c>
      <c r="S69" s="33">
        <f t="shared" si="23"/>
        <v>350.24600000000004</v>
      </c>
      <c r="T69" s="33">
        <f t="shared" ref="T69:T132" si="42">IF(S69=0,0,EXP(-1.0587+0.8836*LN(S69)+0.284))</f>
        <v>81.613163121368046</v>
      </c>
      <c r="U69" s="33">
        <f t="shared" si="16"/>
        <v>70</v>
      </c>
      <c r="V69" s="33">
        <f t="shared" ref="V69:V132" si="43">IF(P69&lt;=$F$18,IF(P69&lt;=30,P69*($F$16-$F$6)/30,$F$16-$F$6),)</f>
        <v>10</v>
      </c>
      <c r="W69" s="33">
        <v>0</v>
      </c>
      <c r="X69" s="33">
        <f t="shared" ref="X69:X132" si="44">((S69+T69)*0.475+U69+V69+W69)*44/12</f>
        <v>1045.4880424363826</v>
      </c>
      <c r="Y69" s="38">
        <f t="shared" ref="Y69:Y132" si="45">IF(P69&lt;=$F$18,X69-O69,)</f>
        <v>704.22422522393754</v>
      </c>
      <c r="AA69" s="71">
        <v>64</v>
      </c>
      <c r="AB69" s="33">
        <f t="shared" ref="AB69:AB132" si="46">IF(AA69&lt;=$F$18,IFERROR(VLOOKUP($AA69,$B$82:$G$94,2,FALSE),0),)</f>
        <v>0</v>
      </c>
      <c r="AC69" s="304">
        <f t="shared" si="39"/>
        <v>0</v>
      </c>
      <c r="AD69" s="100">
        <f t="shared" ref="AD69:AD132" si="47">IF(AA69&lt;=$F$18,IFERROR(VLOOKUP($AA69,$B$82:$G$94,4,FALSE),0),)</f>
        <v>0</v>
      </c>
      <c r="AE69" s="100">
        <f t="shared" ref="AE69:AE132" si="48">IF(AA69&lt;=$F$18,IFERROR(VLOOKUP($AA69,$B$82:$G$94,5,FALSE),0),)</f>
        <v>0</v>
      </c>
      <c r="AF69" s="193">
        <f t="shared" si="34"/>
        <v>44.96089998323594</v>
      </c>
      <c r="AG69" s="193">
        <f t="shared" si="35"/>
        <v>72.21239007173763</v>
      </c>
      <c r="AH69" s="193">
        <f t="shared" si="36"/>
        <v>1.9699631387195549</v>
      </c>
      <c r="AI69" s="198">
        <f t="shared" si="37"/>
        <v>119.14325319369311</v>
      </c>
      <c r="AK69" s="71">
        <v>64</v>
      </c>
      <c r="AL69" s="33"/>
      <c r="AM69" s="33"/>
      <c r="AN69" s="33"/>
      <c r="AO69" s="33"/>
      <c r="AP69" s="33"/>
      <c r="AQ69" s="193"/>
      <c r="AR69" s="193"/>
      <c r="AS69" s="193"/>
      <c r="AT69" s="193"/>
      <c r="AU69" s="33"/>
      <c r="AV69" s="33"/>
      <c r="AW69" s="33"/>
      <c r="AX69" s="33"/>
      <c r="AY69" s="76"/>
    </row>
    <row r="70" spans="2:51">
      <c r="B70" s="40"/>
      <c r="C70" s="151"/>
      <c r="D70" s="136"/>
      <c r="E70" s="140"/>
      <c r="F70" s="42"/>
      <c r="G70" s="51"/>
      <c r="I70" s="55">
        <v>65</v>
      </c>
      <c r="J70" s="33">
        <f t="shared" si="18"/>
        <v>21.210000000000019</v>
      </c>
      <c r="K70" s="33">
        <f t="shared" si="19"/>
        <v>6.8498868803090076</v>
      </c>
      <c r="L70" s="33">
        <f t="shared" si="20"/>
        <v>70</v>
      </c>
      <c r="M70" s="33">
        <f t="shared" si="21"/>
        <v>10</v>
      </c>
      <c r="N70" s="33">
        <f t="shared" si="40"/>
        <v>0</v>
      </c>
      <c r="O70" s="34">
        <f t="shared" si="41"/>
        <v>342.20430298320485</v>
      </c>
      <c r="P70" s="55">
        <v>65</v>
      </c>
      <c r="Q70" s="33">
        <f t="shared" ref="Q70:Q133" si="49">IF(P70&lt;=$F$18,LOOKUP(P70-1,$B$25:$B$78,$G$25:$G$78),)</f>
        <v>32.5</v>
      </c>
      <c r="R70" s="33">
        <f t="shared" si="22"/>
        <v>954.2</v>
      </c>
      <c r="S70" s="33">
        <f t="shared" si="23"/>
        <v>362.596</v>
      </c>
      <c r="T70" s="33">
        <f t="shared" si="42"/>
        <v>84.150797369257219</v>
      </c>
      <c r="U70" s="33">
        <f t="shared" ref="U70:U133" si="50">IF(P70&lt;=$F$18,$F$5+($F$15-$F$5)*(1-EXP(-0.0175*P70)),)</f>
        <v>70</v>
      </c>
      <c r="V70" s="33">
        <f t="shared" si="43"/>
        <v>10</v>
      </c>
      <c r="W70" s="33">
        <v>0</v>
      </c>
      <c r="X70" s="33">
        <f t="shared" si="44"/>
        <v>1071.4173387514563</v>
      </c>
      <c r="Y70" s="38">
        <f t="shared" si="45"/>
        <v>729.21303576825153</v>
      </c>
      <c r="AA70" s="71">
        <v>65</v>
      </c>
      <c r="AB70" s="33">
        <f t="shared" si="46"/>
        <v>0</v>
      </c>
      <c r="AC70" s="304">
        <f t="shared" si="39"/>
        <v>0</v>
      </c>
      <c r="AD70" s="100">
        <f t="shared" si="47"/>
        <v>0</v>
      </c>
      <c r="AE70" s="100">
        <f t="shared" si="48"/>
        <v>0</v>
      </c>
      <c r="AF70" s="193">
        <f t="shared" si="34"/>
        <v>44.079244158005835</v>
      </c>
      <c r="AG70" s="193">
        <f t="shared" si="35"/>
        <v>70.237738467741408</v>
      </c>
      <c r="AH70" s="193">
        <f t="shared" si="36"/>
        <v>1.3929742940761327</v>
      </c>
      <c r="AI70" s="198">
        <f t="shared" si="37"/>
        <v>115.70995691982337</v>
      </c>
      <c r="AK70" s="71">
        <v>65</v>
      </c>
      <c r="AL70" s="33"/>
      <c r="AM70" s="33"/>
      <c r="AN70" s="33"/>
      <c r="AO70" s="33"/>
      <c r="AP70" s="33"/>
      <c r="AQ70" s="193"/>
      <c r="AR70" s="193"/>
      <c r="AS70" s="193"/>
      <c r="AT70" s="193"/>
      <c r="AU70" s="33"/>
      <c r="AV70" s="33"/>
      <c r="AW70" s="33"/>
      <c r="AX70" s="33"/>
      <c r="AY70" s="76"/>
    </row>
    <row r="71" spans="2:51">
      <c r="B71" s="40"/>
      <c r="C71" s="151"/>
      <c r="D71" s="136"/>
      <c r="E71" s="140"/>
      <c r="F71" s="42"/>
      <c r="G71" s="51"/>
      <c r="I71" s="55">
        <v>66</v>
      </c>
      <c r="J71" s="33">
        <f t="shared" ref="J71:J134" si="51">IF($I71&lt;=$F$10,$F$11*$F$13+J70,)</f>
        <v>21.63000000000002</v>
      </c>
      <c r="K71" s="33">
        <f t="shared" ref="K71:K134" si="52">IF(J71=0,0,EXP(-1.0587+0.8836*LN(J71)+0.284))</f>
        <v>6.9696024345973786</v>
      </c>
      <c r="L71" s="33">
        <f t="shared" ref="L71:L134" si="53">IF(I71&lt;=$F$10,$F$5+($F$8-$F$5)*(1-EXP(-0.0175*I71)),)</f>
        <v>70</v>
      </c>
      <c r="M71" s="33">
        <f t="shared" ref="M71:M134" si="54">IF(I71&lt;=$F$10,IF(I71&lt;=30,I71*($F$9-$F$6)/30,$F$9-$F$6),)</f>
        <v>10</v>
      </c>
      <c r="N71" s="33">
        <f t="shared" si="40"/>
        <v>0</v>
      </c>
      <c r="O71" s="34">
        <f t="shared" si="41"/>
        <v>343.14430757359042</v>
      </c>
      <c r="P71" s="55">
        <v>66</v>
      </c>
      <c r="Q71" s="33">
        <f t="shared" si="49"/>
        <v>-67.600000000000023</v>
      </c>
      <c r="R71" s="33">
        <f t="shared" ref="R71:R134" si="55">IF(P71&lt;=$F$18,Q71+R70,)</f>
        <v>886.6</v>
      </c>
      <c r="S71" s="33">
        <f t="shared" ref="S71:S134" si="56">$F$19*R71</f>
        <v>336.90800000000002</v>
      </c>
      <c r="T71" s="33">
        <f t="shared" si="42"/>
        <v>78.860780378734333</v>
      </c>
      <c r="U71" s="33">
        <f t="shared" si="50"/>
        <v>70</v>
      </c>
      <c r="V71" s="33">
        <f t="shared" si="43"/>
        <v>10</v>
      </c>
      <c r="W71" s="33">
        <v>0</v>
      </c>
      <c r="X71" s="33">
        <f t="shared" si="44"/>
        <v>1017.4639591596291</v>
      </c>
      <c r="Y71" s="38">
        <f t="shared" si="45"/>
        <v>674.31965158603862</v>
      </c>
      <c r="AA71" s="71">
        <v>66</v>
      </c>
      <c r="AB71" s="33">
        <f t="shared" si="46"/>
        <v>52</v>
      </c>
      <c r="AC71" s="304">
        <f t="shared" si="39"/>
        <v>0.4</v>
      </c>
      <c r="AD71" s="100">
        <f t="shared" si="47"/>
        <v>0.11199999999999999</v>
      </c>
      <c r="AE71" s="100">
        <f t="shared" si="48"/>
        <v>8.7999999999999981E-2</v>
      </c>
      <c r="AF71" s="193">
        <f t="shared" si="34"/>
        <v>56.845592158283907</v>
      </c>
      <c r="AG71" s="193">
        <f t="shared" si="35"/>
        <v>72.118656632279837</v>
      </c>
      <c r="AH71" s="193">
        <f t="shared" si="36"/>
        <v>3.5444424961394438</v>
      </c>
      <c r="AI71" s="198">
        <f t="shared" si="37"/>
        <v>132.5086912867032</v>
      </c>
      <c r="AK71" s="71">
        <v>66</v>
      </c>
      <c r="AL71" s="33"/>
      <c r="AM71" s="33"/>
      <c r="AN71" s="33"/>
      <c r="AO71" s="33"/>
      <c r="AP71" s="33"/>
      <c r="AQ71" s="193"/>
      <c r="AR71" s="193"/>
      <c r="AS71" s="193"/>
      <c r="AT71" s="193"/>
      <c r="AU71" s="33"/>
      <c r="AV71" s="33"/>
      <c r="AW71" s="33"/>
      <c r="AX71" s="33"/>
      <c r="AY71" s="76"/>
    </row>
    <row r="72" spans="2:51">
      <c r="B72" s="40"/>
      <c r="C72" s="151"/>
      <c r="D72" s="136"/>
      <c r="E72" s="140"/>
      <c r="F72" s="42"/>
      <c r="G72" s="51"/>
      <c r="I72" s="55">
        <v>67</v>
      </c>
      <c r="J72" s="33">
        <f t="shared" si="51"/>
        <v>22.050000000000022</v>
      </c>
      <c r="K72" s="33">
        <f t="shared" si="52"/>
        <v>7.0890476960841928</v>
      </c>
      <c r="L72" s="33">
        <f t="shared" si="53"/>
        <v>70</v>
      </c>
      <c r="M72" s="33">
        <f t="shared" si="54"/>
        <v>10</v>
      </c>
      <c r="N72" s="33">
        <f t="shared" si="40"/>
        <v>0</v>
      </c>
      <c r="O72" s="34">
        <f t="shared" si="41"/>
        <v>344.08384140401336</v>
      </c>
      <c r="P72" s="55">
        <v>67</v>
      </c>
      <c r="Q72" s="33">
        <f t="shared" si="49"/>
        <v>29.575000000000017</v>
      </c>
      <c r="R72" s="33">
        <f t="shared" si="55"/>
        <v>916.17500000000007</v>
      </c>
      <c r="S72" s="33">
        <f t="shared" si="56"/>
        <v>348.1465</v>
      </c>
      <c r="T72" s="33">
        <f t="shared" si="42"/>
        <v>81.180738475963196</v>
      </c>
      <c r="U72" s="33">
        <f t="shared" si="50"/>
        <v>70</v>
      </c>
      <c r="V72" s="33">
        <f t="shared" si="43"/>
        <v>10</v>
      </c>
      <c r="W72" s="33">
        <v>0</v>
      </c>
      <c r="X72" s="33">
        <f t="shared" si="44"/>
        <v>1041.0782736789695</v>
      </c>
      <c r="Y72" s="38">
        <f t="shared" si="45"/>
        <v>696.99443227495613</v>
      </c>
      <c r="AA72" s="71">
        <v>67</v>
      </c>
      <c r="AB72" s="33">
        <f t="shared" si="46"/>
        <v>0</v>
      </c>
      <c r="AC72" s="304">
        <f t="shared" si="39"/>
        <v>0</v>
      </c>
      <c r="AD72" s="100">
        <f t="shared" si="47"/>
        <v>0</v>
      </c>
      <c r="AE72" s="100">
        <f t="shared" si="48"/>
        <v>0</v>
      </c>
      <c r="AF72" s="193">
        <f t="shared" si="34"/>
        <v>55.730884768447559</v>
      </c>
      <c r="AG72" s="193">
        <f t="shared" si="35"/>
        <v>70.146568174114819</v>
      </c>
      <c r="AH72" s="193">
        <f t="shared" si="36"/>
        <v>2.5062993245459744</v>
      </c>
      <c r="AI72" s="198">
        <f t="shared" si="37"/>
        <v>128.38375226710835</v>
      </c>
      <c r="AK72" s="71">
        <v>67</v>
      </c>
      <c r="AL72" s="33"/>
      <c r="AM72" s="33"/>
      <c r="AN72" s="33"/>
      <c r="AO72" s="33"/>
      <c r="AP72" s="33"/>
      <c r="AQ72" s="193"/>
      <c r="AR72" s="193"/>
      <c r="AS72" s="193"/>
      <c r="AT72" s="193"/>
      <c r="AU72" s="33"/>
      <c r="AV72" s="33"/>
      <c r="AW72" s="33"/>
      <c r="AX72" s="33"/>
      <c r="AY72" s="76"/>
    </row>
    <row r="73" spans="2:51">
      <c r="B73" s="40"/>
      <c r="C73" s="151"/>
      <c r="D73" s="136"/>
      <c r="E73" s="140"/>
      <c r="F73" s="42"/>
      <c r="G73" s="51"/>
      <c r="I73" s="55">
        <v>68</v>
      </c>
      <c r="J73" s="33">
        <f t="shared" si="51"/>
        <v>22.470000000000024</v>
      </c>
      <c r="K73" s="33">
        <f t="shared" si="52"/>
        <v>7.208228406814932</v>
      </c>
      <c r="L73" s="33">
        <f t="shared" si="53"/>
        <v>70</v>
      </c>
      <c r="M73" s="33">
        <f t="shared" si="54"/>
        <v>10</v>
      </c>
      <c r="N73" s="33">
        <f t="shared" si="40"/>
        <v>0</v>
      </c>
      <c r="O73" s="34">
        <f t="shared" si="41"/>
        <v>345.0229144752027</v>
      </c>
      <c r="P73" s="55">
        <v>68</v>
      </c>
      <c r="Q73" s="33">
        <f t="shared" si="49"/>
        <v>29.575000000000017</v>
      </c>
      <c r="R73" s="33">
        <f t="shared" si="55"/>
        <v>945.75000000000011</v>
      </c>
      <c r="S73" s="33">
        <f t="shared" si="56"/>
        <v>359.38500000000005</v>
      </c>
      <c r="T73" s="33">
        <f t="shared" si="42"/>
        <v>83.491994084734486</v>
      </c>
      <c r="U73" s="33">
        <f t="shared" si="50"/>
        <v>70</v>
      </c>
      <c r="V73" s="33">
        <f t="shared" si="43"/>
        <v>10</v>
      </c>
      <c r="W73" s="33">
        <v>0</v>
      </c>
      <c r="X73" s="33">
        <f t="shared" si="44"/>
        <v>1064.6774313642461</v>
      </c>
      <c r="Y73" s="38">
        <f t="shared" si="45"/>
        <v>719.65451688904341</v>
      </c>
      <c r="AA73" s="71">
        <v>68</v>
      </c>
      <c r="AB73" s="33">
        <f t="shared" si="46"/>
        <v>0</v>
      </c>
      <c r="AC73" s="304">
        <f t="shared" si="39"/>
        <v>0</v>
      </c>
      <c r="AD73" s="100">
        <f t="shared" si="47"/>
        <v>0</v>
      </c>
      <c r="AE73" s="100">
        <f t="shared" si="48"/>
        <v>0</v>
      </c>
      <c r="AF73" s="193">
        <f t="shared" si="34"/>
        <v>54.638036110621535</v>
      </c>
      <c r="AG73" s="193">
        <f t="shared" si="35"/>
        <v>68.228406578545957</v>
      </c>
      <c r="AH73" s="193">
        <f t="shared" si="36"/>
        <v>1.7722212480697224</v>
      </c>
      <c r="AI73" s="198">
        <f t="shared" si="37"/>
        <v>124.63866393723721</v>
      </c>
      <c r="AK73" s="71">
        <v>68</v>
      </c>
      <c r="AL73" s="33"/>
      <c r="AM73" s="33"/>
      <c r="AN73" s="33"/>
      <c r="AO73" s="33"/>
      <c r="AP73" s="33"/>
      <c r="AQ73" s="193"/>
      <c r="AR73" s="193"/>
      <c r="AS73" s="193"/>
      <c r="AT73" s="193"/>
      <c r="AU73" s="33"/>
      <c r="AV73" s="33"/>
      <c r="AW73" s="33"/>
      <c r="AX73" s="33"/>
      <c r="AY73" s="76"/>
    </row>
    <row r="74" spans="2:51">
      <c r="B74" s="40"/>
      <c r="C74" s="151"/>
      <c r="D74" s="136"/>
      <c r="E74" s="140"/>
      <c r="F74" s="42"/>
      <c r="G74" s="51"/>
      <c r="I74" s="55">
        <v>69</v>
      </c>
      <c r="J74" s="33">
        <f t="shared" si="51"/>
        <v>22.890000000000025</v>
      </c>
      <c r="K74" s="33">
        <f t="shared" si="52"/>
        <v>7.3271500818935387</v>
      </c>
      <c r="L74" s="33">
        <f t="shared" si="53"/>
        <v>70</v>
      </c>
      <c r="M74" s="33">
        <f t="shared" si="54"/>
        <v>10</v>
      </c>
      <c r="N74" s="33">
        <f t="shared" si="40"/>
        <v>0</v>
      </c>
      <c r="O74" s="34">
        <f t="shared" si="41"/>
        <v>345.96153639263122</v>
      </c>
      <c r="P74" s="55">
        <v>69</v>
      </c>
      <c r="Q74" s="33">
        <f t="shared" si="49"/>
        <v>29.575000000000017</v>
      </c>
      <c r="R74" s="33">
        <f t="shared" si="55"/>
        <v>975.32500000000016</v>
      </c>
      <c r="S74" s="33">
        <f t="shared" si="56"/>
        <v>370.62350000000009</v>
      </c>
      <c r="T74" s="33">
        <f t="shared" si="42"/>
        <v>85.794850569830828</v>
      </c>
      <c r="U74" s="33">
        <f t="shared" si="50"/>
        <v>70</v>
      </c>
      <c r="V74" s="33">
        <f t="shared" si="43"/>
        <v>10</v>
      </c>
      <c r="W74" s="33">
        <v>0</v>
      </c>
      <c r="X74" s="33">
        <f t="shared" si="44"/>
        <v>1088.2619605757889</v>
      </c>
      <c r="Y74" s="38">
        <f t="shared" si="45"/>
        <v>742.3004241831577</v>
      </c>
      <c r="AA74" s="71">
        <v>69</v>
      </c>
      <c r="AB74" s="33">
        <f t="shared" si="46"/>
        <v>0</v>
      </c>
      <c r="AC74" s="304">
        <f t="shared" si="39"/>
        <v>0</v>
      </c>
      <c r="AD74" s="100">
        <f t="shared" si="47"/>
        <v>0</v>
      </c>
      <c r="AE74" s="100">
        <f t="shared" si="48"/>
        <v>0</v>
      </c>
      <c r="AF74" s="193">
        <f t="shared" si="34"/>
        <v>53.566617548403613</v>
      </c>
      <c r="AG74" s="193">
        <f t="shared" si="35"/>
        <v>66.362697212679649</v>
      </c>
      <c r="AH74" s="193">
        <f t="shared" si="36"/>
        <v>1.2531496622729874</v>
      </c>
      <c r="AI74" s="198">
        <f t="shared" si="37"/>
        <v>121.18246442335625</v>
      </c>
      <c r="AK74" s="71">
        <v>69</v>
      </c>
      <c r="AL74" s="33"/>
      <c r="AM74" s="33"/>
      <c r="AN74" s="33"/>
      <c r="AO74" s="33"/>
      <c r="AP74" s="33"/>
      <c r="AQ74" s="193"/>
      <c r="AR74" s="193"/>
      <c r="AS74" s="193"/>
      <c r="AT74" s="193"/>
      <c r="AU74" s="33"/>
      <c r="AV74" s="33"/>
      <c r="AW74" s="33"/>
      <c r="AX74" s="33"/>
      <c r="AY74" s="76"/>
    </row>
    <row r="75" spans="2:51">
      <c r="B75" s="40"/>
      <c r="C75" s="151"/>
      <c r="D75" s="136"/>
      <c r="E75" s="140"/>
      <c r="F75" s="42"/>
      <c r="G75" s="51"/>
      <c r="I75" s="55">
        <v>70</v>
      </c>
      <c r="J75" s="33">
        <f t="shared" si="51"/>
        <v>23.310000000000027</v>
      </c>
      <c r="K75" s="33">
        <f t="shared" si="52"/>
        <v>7.4458180224483508</v>
      </c>
      <c r="L75" s="33">
        <f t="shared" si="53"/>
        <v>70</v>
      </c>
      <c r="M75" s="33">
        <f t="shared" si="54"/>
        <v>10</v>
      </c>
      <c r="N75" s="33">
        <f t="shared" si="40"/>
        <v>0</v>
      </c>
      <c r="O75" s="34">
        <f t="shared" si="41"/>
        <v>346.89971638909759</v>
      </c>
      <c r="P75" s="55">
        <v>70</v>
      </c>
      <c r="Q75" s="33">
        <f t="shared" si="49"/>
        <v>29.575000000000017</v>
      </c>
      <c r="R75" s="33">
        <f t="shared" si="55"/>
        <v>1004.9000000000002</v>
      </c>
      <c r="S75" s="33">
        <f t="shared" si="56"/>
        <v>381.86200000000008</v>
      </c>
      <c r="T75" s="33">
        <f t="shared" si="42"/>
        <v>88.089591852559622</v>
      </c>
      <c r="U75" s="33">
        <f t="shared" si="50"/>
        <v>70</v>
      </c>
      <c r="V75" s="33">
        <f t="shared" si="43"/>
        <v>10</v>
      </c>
      <c r="W75" s="33">
        <v>0</v>
      </c>
      <c r="X75" s="33">
        <f t="shared" si="44"/>
        <v>1111.8323558098748</v>
      </c>
      <c r="Y75" s="38">
        <f t="shared" si="45"/>
        <v>764.93263942077715</v>
      </c>
      <c r="AA75" s="71">
        <v>70</v>
      </c>
      <c r="AB75" s="33">
        <f t="shared" si="46"/>
        <v>0</v>
      </c>
      <c r="AC75" s="304">
        <f t="shared" si="39"/>
        <v>0</v>
      </c>
      <c r="AD75" s="100">
        <f t="shared" si="47"/>
        <v>0</v>
      </c>
      <c r="AE75" s="100">
        <f t="shared" si="48"/>
        <v>0</v>
      </c>
      <c r="AF75" s="193">
        <f t="shared" si="34"/>
        <v>52.516208850689992</v>
      </c>
      <c r="AG75" s="193">
        <f t="shared" si="35"/>
        <v>64.548005767536353</v>
      </c>
      <c r="AH75" s="193">
        <f t="shared" si="36"/>
        <v>0.88611062403486129</v>
      </c>
      <c r="AI75" s="198">
        <f t="shared" si="37"/>
        <v>117.9503252422612</v>
      </c>
      <c r="AK75" s="71">
        <v>70</v>
      </c>
      <c r="AL75" s="33"/>
      <c r="AM75" s="33"/>
      <c r="AN75" s="33"/>
      <c r="AO75" s="33"/>
      <c r="AP75" s="33"/>
      <c r="AQ75" s="193"/>
      <c r="AR75" s="193"/>
      <c r="AS75" s="193"/>
      <c r="AT75" s="193"/>
      <c r="AU75" s="33"/>
      <c r="AV75" s="33"/>
      <c r="AW75" s="33"/>
      <c r="AX75" s="33"/>
      <c r="AY75" s="76"/>
    </row>
    <row r="76" spans="2:51">
      <c r="B76" s="40"/>
      <c r="C76" s="151"/>
      <c r="D76" s="136"/>
      <c r="E76" s="140"/>
      <c r="F76" s="42"/>
      <c r="G76" s="51"/>
      <c r="I76" s="55">
        <v>71</v>
      </c>
      <c r="J76" s="33">
        <f t="shared" si="51"/>
        <v>23.730000000000029</v>
      </c>
      <c r="K76" s="33">
        <f t="shared" si="52"/>
        <v>7.5642373276371462</v>
      </c>
      <c r="L76" s="33">
        <f t="shared" si="53"/>
        <v>70</v>
      </c>
      <c r="M76" s="33">
        <f t="shared" si="54"/>
        <v>10</v>
      </c>
      <c r="N76" s="33">
        <f t="shared" si="40"/>
        <v>0</v>
      </c>
      <c r="O76" s="34">
        <f t="shared" si="41"/>
        <v>347.83746334563472</v>
      </c>
      <c r="P76" s="55">
        <v>71</v>
      </c>
      <c r="Q76" s="33">
        <f t="shared" si="49"/>
        <v>-63.700000000000045</v>
      </c>
      <c r="R76" s="33">
        <f t="shared" si="55"/>
        <v>941.20000000000016</v>
      </c>
      <c r="S76" s="33">
        <f t="shared" si="56"/>
        <v>357.65600000000006</v>
      </c>
      <c r="T76" s="33">
        <f t="shared" si="42"/>
        <v>83.136970347648742</v>
      </c>
      <c r="U76" s="33">
        <f t="shared" si="50"/>
        <v>70</v>
      </c>
      <c r="V76" s="33">
        <f t="shared" si="43"/>
        <v>10</v>
      </c>
      <c r="W76" s="33">
        <v>0</v>
      </c>
      <c r="X76" s="33">
        <f t="shared" si="44"/>
        <v>1061.0477566888217</v>
      </c>
      <c r="Y76" s="38">
        <f t="shared" si="45"/>
        <v>713.210293343187</v>
      </c>
      <c r="AA76" s="71">
        <v>71</v>
      </c>
      <c r="AB76" s="33">
        <f t="shared" si="46"/>
        <v>49</v>
      </c>
      <c r="AC76" s="304">
        <f t="shared" si="39"/>
        <v>0.45</v>
      </c>
      <c r="AD76" s="100">
        <f t="shared" si="47"/>
        <v>5.5999999999999994E-2</v>
      </c>
      <c r="AE76" s="100">
        <f t="shared" si="48"/>
        <v>4.3999999999999991E-2</v>
      </c>
      <c r="AF76" s="193">
        <f t="shared" si="34"/>
        <v>65.936266670618778</v>
      </c>
      <c r="AG76" s="193">
        <f t="shared" si="35"/>
        <v>64.574062809357002</v>
      </c>
      <c r="AH76" s="193">
        <f t="shared" si="36"/>
        <v>1.8324746908692213</v>
      </c>
      <c r="AI76" s="198">
        <f t="shared" si="37"/>
        <v>132.342804170845</v>
      </c>
      <c r="AK76" s="71">
        <v>71</v>
      </c>
      <c r="AL76" s="33"/>
      <c r="AM76" s="33"/>
      <c r="AN76" s="33"/>
      <c r="AO76" s="33"/>
      <c r="AP76" s="33"/>
      <c r="AQ76" s="193"/>
      <c r="AR76" s="193"/>
      <c r="AS76" s="193"/>
      <c r="AT76" s="193"/>
      <c r="AU76" s="33"/>
      <c r="AV76" s="33"/>
      <c r="AW76" s="33"/>
      <c r="AX76" s="33"/>
      <c r="AY76" s="76"/>
    </row>
    <row r="77" spans="2:51">
      <c r="B77" s="40"/>
      <c r="C77" s="151"/>
      <c r="D77" s="136"/>
      <c r="E77" s="140"/>
      <c r="F77" s="42"/>
      <c r="G77" s="51"/>
      <c r="I77" s="55">
        <v>72</v>
      </c>
      <c r="J77" s="33">
        <f t="shared" si="51"/>
        <v>24.150000000000031</v>
      </c>
      <c r="K77" s="33">
        <f t="shared" si="52"/>
        <v>7.6824129057781763</v>
      </c>
      <c r="L77" s="33">
        <f t="shared" si="53"/>
        <v>70</v>
      </c>
      <c r="M77" s="33">
        <f t="shared" si="54"/>
        <v>10</v>
      </c>
      <c r="N77" s="33">
        <f t="shared" si="40"/>
        <v>0</v>
      </c>
      <c r="O77" s="34">
        <f t="shared" si="41"/>
        <v>348.77478581089707</v>
      </c>
      <c r="P77" s="55">
        <v>72</v>
      </c>
      <c r="Q77" s="33">
        <f t="shared" si="49"/>
        <v>27.625</v>
      </c>
      <c r="R77" s="33">
        <f t="shared" si="55"/>
        <v>968.82500000000016</v>
      </c>
      <c r="S77" s="33">
        <f t="shared" si="56"/>
        <v>368.15350000000007</v>
      </c>
      <c r="T77" s="33">
        <f t="shared" si="42"/>
        <v>85.289433662294655</v>
      </c>
      <c r="U77" s="33">
        <f t="shared" si="50"/>
        <v>70</v>
      </c>
      <c r="V77" s="33">
        <f t="shared" si="43"/>
        <v>10</v>
      </c>
      <c r="W77" s="33">
        <v>0</v>
      </c>
      <c r="X77" s="33">
        <f t="shared" si="44"/>
        <v>1083.0797761284966</v>
      </c>
      <c r="Y77" s="38">
        <f t="shared" si="45"/>
        <v>734.3049903175995</v>
      </c>
      <c r="AA77" s="71">
        <v>72</v>
      </c>
      <c r="AB77" s="33">
        <f t="shared" si="46"/>
        <v>0</v>
      </c>
      <c r="AC77" s="304">
        <f t="shared" si="39"/>
        <v>0</v>
      </c>
      <c r="AD77" s="100">
        <f t="shared" si="47"/>
        <v>0</v>
      </c>
      <c r="AE77" s="100">
        <f t="shared" si="48"/>
        <v>0</v>
      </c>
      <c r="AF77" s="193">
        <f t="shared" si="34"/>
        <v>64.643296698359492</v>
      </c>
      <c r="AG77" s="193">
        <f t="shared" si="35"/>
        <v>62.808281666032755</v>
      </c>
      <c r="AH77" s="193">
        <f t="shared" si="36"/>
        <v>1.2957552802663488</v>
      </c>
      <c r="AI77" s="198">
        <f t="shared" si="37"/>
        <v>128.7473336446586</v>
      </c>
      <c r="AK77" s="71">
        <v>72</v>
      </c>
      <c r="AL77" s="33"/>
      <c r="AM77" s="33"/>
      <c r="AN77" s="33"/>
      <c r="AO77" s="33"/>
      <c r="AP77" s="33"/>
      <c r="AQ77" s="193"/>
      <c r="AR77" s="193"/>
      <c r="AS77" s="193"/>
      <c r="AT77" s="193"/>
      <c r="AU77" s="33"/>
      <c r="AV77" s="33"/>
      <c r="AW77" s="33"/>
      <c r="AX77" s="33"/>
      <c r="AY77" s="76"/>
    </row>
    <row r="78" spans="2:51">
      <c r="B78" s="43"/>
      <c r="C78" s="152"/>
      <c r="D78" s="153"/>
      <c r="E78" s="143"/>
      <c r="F78" s="44"/>
      <c r="G78" s="52"/>
      <c r="I78" s="55">
        <v>73</v>
      </c>
      <c r="J78" s="33">
        <f t="shared" si="51"/>
        <v>24.570000000000032</v>
      </c>
      <c r="K78" s="33">
        <f t="shared" si="52"/>
        <v>7.8003494846849346</v>
      </c>
      <c r="L78" s="33">
        <f t="shared" si="53"/>
        <v>70</v>
      </c>
      <c r="M78" s="33">
        <f t="shared" si="54"/>
        <v>10</v>
      </c>
      <c r="N78" s="33">
        <f t="shared" si="40"/>
        <v>0</v>
      </c>
      <c r="O78" s="34">
        <f t="shared" si="41"/>
        <v>349.71169201915967</v>
      </c>
      <c r="P78" s="55">
        <v>73</v>
      </c>
      <c r="Q78" s="33">
        <f t="shared" si="49"/>
        <v>27.625</v>
      </c>
      <c r="R78" s="33">
        <f t="shared" si="55"/>
        <v>996.45000000000016</v>
      </c>
      <c r="S78" s="33">
        <f t="shared" si="56"/>
        <v>378.65100000000007</v>
      </c>
      <c r="T78" s="33">
        <f t="shared" si="42"/>
        <v>87.434763728336478</v>
      </c>
      <c r="U78" s="33">
        <f t="shared" si="50"/>
        <v>70</v>
      </c>
      <c r="V78" s="33">
        <f t="shared" si="43"/>
        <v>10</v>
      </c>
      <c r="W78" s="33">
        <v>0</v>
      </c>
      <c r="X78" s="33">
        <f t="shared" si="44"/>
        <v>1105.0993718268528</v>
      </c>
      <c r="Y78" s="38">
        <f t="shared" si="45"/>
        <v>755.38767980769308</v>
      </c>
      <c r="AA78" s="71">
        <v>73</v>
      </c>
      <c r="AB78" s="33">
        <f t="shared" si="46"/>
        <v>0</v>
      </c>
      <c r="AC78" s="304">
        <f t="shared" si="39"/>
        <v>0</v>
      </c>
      <c r="AD78" s="100">
        <f t="shared" si="47"/>
        <v>0</v>
      </c>
      <c r="AE78" s="100">
        <f t="shared" si="48"/>
        <v>0</v>
      </c>
      <c r="AF78" s="193">
        <f t="shared" si="34"/>
        <v>63.375681078622407</v>
      </c>
      <c r="AG78" s="193">
        <f t="shared" si="35"/>
        <v>61.09078590093111</v>
      </c>
      <c r="AH78" s="193">
        <f t="shared" si="36"/>
        <v>0.91623734543461066</v>
      </c>
      <c r="AI78" s="198">
        <f t="shared" si="37"/>
        <v>125.38270432498813</v>
      </c>
      <c r="AK78" s="71">
        <v>73</v>
      </c>
      <c r="AL78" s="33"/>
      <c r="AM78" s="33"/>
      <c r="AN78" s="33"/>
      <c r="AO78" s="33"/>
      <c r="AP78" s="33"/>
      <c r="AQ78" s="193"/>
      <c r="AR78" s="193"/>
      <c r="AS78" s="193"/>
      <c r="AT78" s="193"/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51"/>
        <v>24.990000000000034</v>
      </c>
      <c r="K79" s="33">
        <f t="shared" si="52"/>
        <v>7.9180516212743148</v>
      </c>
      <c r="L79" s="33">
        <f t="shared" si="53"/>
        <v>70</v>
      </c>
      <c r="M79" s="33">
        <f t="shared" si="54"/>
        <v>10</v>
      </c>
      <c r="N79" s="33">
        <f t="shared" si="40"/>
        <v>0</v>
      </c>
      <c r="O79" s="34">
        <f t="shared" si="41"/>
        <v>350.64818990705277</v>
      </c>
      <c r="P79" s="55">
        <v>74</v>
      </c>
      <c r="Q79" s="33">
        <f t="shared" si="49"/>
        <v>27.625</v>
      </c>
      <c r="R79" s="33">
        <f t="shared" si="55"/>
        <v>1024.0750000000003</v>
      </c>
      <c r="S79" s="33">
        <f t="shared" si="56"/>
        <v>389.14850000000013</v>
      </c>
      <c r="T79" s="33">
        <f t="shared" si="42"/>
        <v>89.57318102421165</v>
      </c>
      <c r="U79" s="33">
        <f t="shared" si="50"/>
        <v>70</v>
      </c>
      <c r="V79" s="33">
        <f t="shared" si="43"/>
        <v>10</v>
      </c>
      <c r="W79" s="33">
        <v>0</v>
      </c>
      <c r="X79" s="33">
        <f t="shared" si="44"/>
        <v>1127.1069277838353</v>
      </c>
      <c r="Y79" s="38">
        <f t="shared" si="45"/>
        <v>776.45873787678261</v>
      </c>
      <c r="AA79" s="71">
        <v>74</v>
      </c>
      <c r="AB79" s="33">
        <f t="shared" si="46"/>
        <v>0</v>
      </c>
      <c r="AC79" s="304">
        <f t="shared" si="39"/>
        <v>0</v>
      </c>
      <c r="AD79" s="100">
        <f t="shared" si="47"/>
        <v>0</v>
      </c>
      <c r="AE79" s="100">
        <f t="shared" si="48"/>
        <v>0</v>
      </c>
      <c r="AF79" s="193">
        <f t="shared" si="34"/>
        <v>62.13292262801918</v>
      </c>
      <c r="AG79" s="193">
        <f t="shared" si="35"/>
        <v>59.420255147845346</v>
      </c>
      <c r="AH79" s="193">
        <f t="shared" si="36"/>
        <v>0.64787764013317439</v>
      </c>
      <c r="AI79" s="198">
        <f t="shared" si="37"/>
        <v>122.2010554159977</v>
      </c>
      <c r="AK79" s="71">
        <v>74</v>
      </c>
      <c r="AL79" s="33"/>
      <c r="AM79" s="33"/>
      <c r="AN79" s="33"/>
      <c r="AO79" s="33"/>
      <c r="AP79" s="33"/>
      <c r="AQ79" s="193"/>
      <c r="AR79" s="193"/>
      <c r="AS79" s="193"/>
      <c r="AT79" s="193"/>
      <c r="AU79" s="33"/>
      <c r="AV79" s="33"/>
      <c r="AW79" s="33"/>
      <c r="AX79" s="33"/>
      <c r="AY79" s="76"/>
    </row>
    <row r="80" spans="2:51">
      <c r="B80" s="357" t="s">
        <v>259</v>
      </c>
      <c r="C80" s="358"/>
      <c r="D80" s="358"/>
      <c r="E80" s="358"/>
      <c r="F80" s="358"/>
      <c r="G80" s="359"/>
      <c r="H80" s="23"/>
      <c r="I80" s="55">
        <v>75</v>
      </c>
      <c r="J80" s="33">
        <f t="shared" si="51"/>
        <v>25.410000000000036</v>
      </c>
      <c r="K80" s="33">
        <f t="shared" si="52"/>
        <v>8.0355237105104518</v>
      </c>
      <c r="L80" s="33">
        <f t="shared" si="53"/>
        <v>70</v>
      </c>
      <c r="M80" s="33">
        <f t="shared" si="54"/>
        <v>10</v>
      </c>
      <c r="N80" s="33">
        <f t="shared" si="40"/>
        <v>0</v>
      </c>
      <c r="O80" s="34">
        <f t="shared" si="41"/>
        <v>351.58428712913906</v>
      </c>
      <c r="P80" s="55">
        <v>75</v>
      </c>
      <c r="Q80" s="33">
        <f t="shared" si="49"/>
        <v>27.625</v>
      </c>
      <c r="R80" s="33">
        <f t="shared" si="55"/>
        <v>1051.7000000000003</v>
      </c>
      <c r="S80" s="33">
        <f t="shared" si="56"/>
        <v>399.64600000000013</v>
      </c>
      <c r="T80" s="33">
        <f t="shared" si="42"/>
        <v>91.704893456140084</v>
      </c>
      <c r="U80" s="33">
        <f t="shared" si="50"/>
        <v>70</v>
      </c>
      <c r="V80" s="33">
        <f t="shared" si="43"/>
        <v>10</v>
      </c>
      <c r="W80" s="33">
        <v>0</v>
      </c>
      <c r="X80" s="33">
        <f t="shared" si="44"/>
        <v>1149.1028061027775</v>
      </c>
      <c r="Y80" s="38">
        <f t="shared" si="45"/>
        <v>797.51851897363849</v>
      </c>
      <c r="AA80" s="71">
        <v>75</v>
      </c>
      <c r="AB80" s="33">
        <f t="shared" si="46"/>
        <v>0</v>
      </c>
      <c r="AC80" s="304">
        <f t="shared" si="39"/>
        <v>0</v>
      </c>
      <c r="AD80" s="100">
        <f t="shared" si="47"/>
        <v>0</v>
      </c>
      <c r="AE80" s="100">
        <f t="shared" si="48"/>
        <v>0</v>
      </c>
      <c r="AF80" s="193">
        <f t="shared" si="34"/>
        <v>60.914533912624478</v>
      </c>
      <c r="AG80" s="193">
        <f t="shared" si="35"/>
        <v>57.795405146052104</v>
      </c>
      <c r="AH80" s="193">
        <f t="shared" si="36"/>
        <v>0.45811867271730533</v>
      </c>
      <c r="AI80" s="198">
        <f t="shared" si="37"/>
        <v>119.16805773139389</v>
      </c>
      <c r="AK80" s="71">
        <v>75</v>
      </c>
      <c r="AL80" s="33"/>
      <c r="AM80" s="33"/>
      <c r="AN80" s="33"/>
      <c r="AO80" s="33"/>
      <c r="AP80" s="33"/>
      <c r="AQ80" s="193"/>
      <c r="AR80" s="193"/>
      <c r="AS80" s="193"/>
      <c r="AT80" s="193"/>
      <c r="AU80" s="33"/>
      <c r="AV80" s="33"/>
      <c r="AW80" s="33"/>
      <c r="AX80" s="33"/>
      <c r="AY80" s="76"/>
    </row>
    <row r="81" spans="2:51">
      <c r="B81" s="155" t="s">
        <v>76</v>
      </c>
      <c r="C81" s="131" t="s">
        <v>156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7"/>
      <c r="I81" s="55">
        <v>76</v>
      </c>
      <c r="J81" s="33">
        <f t="shared" si="51"/>
        <v>25.830000000000037</v>
      </c>
      <c r="K81" s="33">
        <f t="shared" si="52"/>
        <v>8.1527699937405416</v>
      </c>
      <c r="L81" s="33">
        <f t="shared" si="53"/>
        <v>70</v>
      </c>
      <c r="M81" s="33">
        <f t="shared" si="54"/>
        <v>10</v>
      </c>
      <c r="N81" s="33">
        <f t="shared" si="40"/>
        <v>0</v>
      </c>
      <c r="O81" s="34">
        <f t="shared" si="41"/>
        <v>352.51999107243154</v>
      </c>
      <c r="P81" s="55">
        <v>76</v>
      </c>
      <c r="Q81" s="33">
        <f t="shared" si="49"/>
        <v>-61.100000000000023</v>
      </c>
      <c r="R81" s="33">
        <f t="shared" si="55"/>
        <v>990.60000000000025</v>
      </c>
      <c r="S81" s="33">
        <f t="shared" si="56"/>
        <v>376.42800000000011</v>
      </c>
      <c r="T81" s="33">
        <f t="shared" si="42"/>
        <v>86.981042714997528</v>
      </c>
      <c r="U81" s="33">
        <f t="shared" si="50"/>
        <v>70</v>
      </c>
      <c r="V81" s="33">
        <f t="shared" si="43"/>
        <v>10</v>
      </c>
      <c r="W81" s="33">
        <v>0</v>
      </c>
      <c r="X81" s="33">
        <f t="shared" si="44"/>
        <v>1100.4374160619543</v>
      </c>
      <c r="Y81" s="38">
        <f t="shared" si="45"/>
        <v>747.91742498952271</v>
      </c>
      <c r="AA81" s="71">
        <v>76</v>
      </c>
      <c r="AB81" s="33">
        <f t="shared" si="46"/>
        <v>0</v>
      </c>
      <c r="AC81" s="304">
        <f t="shared" si="39"/>
        <v>0</v>
      </c>
      <c r="AD81" s="100">
        <f t="shared" si="47"/>
        <v>0</v>
      </c>
      <c r="AE81" s="100">
        <f t="shared" si="48"/>
        <v>0</v>
      </c>
      <c r="AF81" s="193">
        <f t="shared" si="34"/>
        <v>59.720037056794929</v>
      </c>
      <c r="AG81" s="193">
        <f t="shared" si="35"/>
        <v>56.214986753005043</v>
      </c>
      <c r="AH81" s="193">
        <f t="shared" si="36"/>
        <v>0.3239388200665872</v>
      </c>
      <c r="AI81" s="198">
        <f t="shared" si="37"/>
        <v>116.25896262986656</v>
      </c>
      <c r="AK81" s="71">
        <v>76</v>
      </c>
      <c r="AL81" s="33"/>
      <c r="AM81" s="33"/>
      <c r="AN81" s="33"/>
      <c r="AO81" s="33"/>
      <c r="AP81" s="33"/>
      <c r="AQ81" s="193"/>
      <c r="AR81" s="193"/>
      <c r="AS81" s="193"/>
      <c r="AT81" s="193"/>
      <c r="AU81" s="33"/>
      <c r="AV81" s="33"/>
      <c r="AW81" s="33"/>
      <c r="AX81" s="33"/>
      <c r="AY81" s="76"/>
    </row>
    <row r="82" spans="2:51">
      <c r="B82" s="169">
        <f>IF(C25&lt;=$F$18,C25+1,"-")</f>
        <v>16</v>
      </c>
      <c r="C82" s="144">
        <f>D25-D26</f>
        <v>0</v>
      </c>
      <c r="D82" s="145"/>
      <c r="E82" s="170">
        <f>IF(G82+D82&lt;&gt;1,(1-(G82+D82))*56%,0)</f>
        <v>0.56000000000000005</v>
      </c>
      <c r="F82" s="170">
        <f>IF(G82+D82&lt;&gt;1,(1-(G82+D82))*44%,0)</f>
        <v>0.44</v>
      </c>
      <c r="G82" s="146"/>
      <c r="H82" s="58">
        <f t="shared" ref="H82:H94" si="57">IF(C82=0,0,IF(SUM(D82:G82)&lt;&gt;1,"erreur",))</f>
        <v>0</v>
      </c>
      <c r="I82" s="55">
        <v>77</v>
      </c>
      <c r="J82" s="33">
        <f t="shared" si="51"/>
        <v>26.250000000000039</v>
      </c>
      <c r="K82" s="33">
        <f t="shared" si="52"/>
        <v>8.2697945664731147</v>
      </c>
      <c r="L82" s="33">
        <f t="shared" si="53"/>
        <v>70</v>
      </c>
      <c r="M82" s="33">
        <f t="shared" si="54"/>
        <v>10</v>
      </c>
      <c r="N82" s="33">
        <f t="shared" si="40"/>
        <v>0</v>
      </c>
      <c r="O82" s="34">
        <f t="shared" si="41"/>
        <v>353.45530886994078</v>
      </c>
      <c r="P82" s="55">
        <v>77</v>
      </c>
      <c r="Q82" s="33">
        <f t="shared" si="49"/>
        <v>25.349999999999994</v>
      </c>
      <c r="R82" s="33">
        <f t="shared" si="55"/>
        <v>1015.9500000000003</v>
      </c>
      <c r="S82" s="33">
        <f t="shared" si="56"/>
        <v>386.06100000000009</v>
      </c>
      <c r="T82" s="33">
        <f t="shared" si="42"/>
        <v>88.944939848211078</v>
      </c>
      <c r="U82" s="33">
        <f t="shared" si="50"/>
        <v>70</v>
      </c>
      <c r="V82" s="33">
        <f t="shared" si="43"/>
        <v>10</v>
      </c>
      <c r="W82" s="33">
        <v>0</v>
      </c>
      <c r="X82" s="33">
        <f t="shared" si="44"/>
        <v>1120.6353452356343</v>
      </c>
      <c r="Y82" s="38">
        <f t="shared" si="45"/>
        <v>767.18003636569347</v>
      </c>
      <c r="AA82" s="71">
        <v>77</v>
      </c>
      <c r="AB82" s="33">
        <f t="shared" si="46"/>
        <v>0</v>
      </c>
      <c r="AC82" s="304">
        <f t="shared" si="39"/>
        <v>0</v>
      </c>
      <c r="AD82" s="100">
        <f t="shared" si="47"/>
        <v>0</v>
      </c>
      <c r="AE82" s="100">
        <f t="shared" si="48"/>
        <v>0</v>
      </c>
      <c r="AF82" s="193">
        <f t="shared" si="34"/>
        <v>58.548963555737053</v>
      </c>
      <c r="AG82" s="193">
        <f t="shared" si="35"/>
        <v>54.677784984026445</v>
      </c>
      <c r="AH82" s="193">
        <f t="shared" si="36"/>
        <v>0.22905933635865267</v>
      </c>
      <c r="AI82" s="198">
        <f t="shared" si="37"/>
        <v>113.45580787612215</v>
      </c>
      <c r="AK82" s="71">
        <v>77</v>
      </c>
      <c r="AL82" s="33"/>
      <c r="AM82" s="33"/>
      <c r="AN82" s="33"/>
      <c r="AO82" s="33"/>
      <c r="AP82" s="33"/>
      <c r="AQ82" s="193"/>
      <c r="AR82" s="193"/>
      <c r="AS82" s="193"/>
      <c r="AT82" s="193"/>
      <c r="AU82" s="33"/>
      <c r="AV82" s="33"/>
      <c r="AW82" s="33"/>
      <c r="AX82" s="33"/>
      <c r="AY82" s="76"/>
    </row>
    <row r="83" spans="2:51">
      <c r="B83" s="171">
        <f>IF(C27&lt;=$F$18,C27+1,"-")</f>
        <v>21</v>
      </c>
      <c r="C83" s="147">
        <f>D27-D28</f>
        <v>26</v>
      </c>
      <c r="D83" s="148"/>
      <c r="E83" s="128">
        <f t="shared" ref="E83:E94" si="58">IF(G83+D83&lt;&gt;1,(1-(G83+D83))*56%,0)</f>
        <v>0.56000000000000005</v>
      </c>
      <c r="F83" s="128">
        <f t="shared" ref="F83:F94" si="59">IF(G83+D83&lt;&gt;1,(1-(G83+D83))*44%,0)</f>
        <v>0.44</v>
      </c>
      <c r="G83" s="149"/>
      <c r="H83" s="58">
        <f t="shared" si="57"/>
        <v>0</v>
      </c>
      <c r="I83" s="55">
        <v>78</v>
      </c>
      <c r="J83" s="33">
        <f t="shared" si="51"/>
        <v>26.670000000000041</v>
      </c>
      <c r="K83" s="33">
        <f t="shared" si="52"/>
        <v>8.3866013856443349</v>
      </c>
      <c r="L83" s="33">
        <f t="shared" si="53"/>
        <v>70</v>
      </c>
      <c r="M83" s="33">
        <f t="shared" si="54"/>
        <v>10</v>
      </c>
      <c r="N83" s="33">
        <f t="shared" si="40"/>
        <v>0</v>
      </c>
      <c r="O83" s="34">
        <f t="shared" si="41"/>
        <v>354.3902474133306</v>
      </c>
      <c r="P83" s="55">
        <v>78</v>
      </c>
      <c r="Q83" s="33">
        <f t="shared" si="49"/>
        <v>25.349999999999994</v>
      </c>
      <c r="R83" s="33">
        <f t="shared" si="55"/>
        <v>1041.3000000000002</v>
      </c>
      <c r="S83" s="33">
        <f t="shared" si="56"/>
        <v>395.69400000000007</v>
      </c>
      <c r="T83" s="33">
        <f t="shared" si="42"/>
        <v>90.903140660599277</v>
      </c>
      <c r="U83" s="33">
        <f t="shared" si="50"/>
        <v>70</v>
      </c>
      <c r="V83" s="33">
        <f t="shared" si="43"/>
        <v>10</v>
      </c>
      <c r="W83" s="33">
        <v>0</v>
      </c>
      <c r="X83" s="33">
        <f t="shared" si="44"/>
        <v>1140.8233533172104</v>
      </c>
      <c r="Y83" s="38">
        <f t="shared" si="45"/>
        <v>786.43310590387978</v>
      </c>
      <c r="AA83" s="71">
        <v>78</v>
      </c>
      <c r="AB83" s="33">
        <f t="shared" si="46"/>
        <v>0</v>
      </c>
      <c r="AC83" s="304">
        <f t="shared" si="39"/>
        <v>0</v>
      </c>
      <c r="AD83" s="100">
        <f t="shared" si="47"/>
        <v>0</v>
      </c>
      <c r="AE83" s="100">
        <f t="shared" si="48"/>
        <v>0</v>
      </c>
      <c r="AF83" s="193">
        <f t="shared" si="34"/>
        <v>57.400854091750617</v>
      </c>
      <c r="AG83" s="193">
        <f t="shared" si="35"/>
        <v>53.1826180782585</v>
      </c>
      <c r="AH83" s="193">
        <f t="shared" si="36"/>
        <v>0.1619694100332936</v>
      </c>
      <c r="AI83" s="198">
        <f t="shared" si="37"/>
        <v>110.74544158004241</v>
      </c>
      <c r="AK83" s="71">
        <v>78</v>
      </c>
      <c r="AL83" s="33"/>
      <c r="AM83" s="33"/>
      <c r="AN83" s="33"/>
      <c r="AO83" s="33"/>
      <c r="AP83" s="33"/>
      <c r="AQ83" s="193"/>
      <c r="AR83" s="193"/>
      <c r="AS83" s="193"/>
      <c r="AT83" s="193"/>
      <c r="AU83" s="33"/>
      <c r="AV83" s="33"/>
      <c r="AW83" s="33"/>
      <c r="AX83" s="33"/>
      <c r="AY83" s="76"/>
    </row>
    <row r="84" spans="2:51">
      <c r="B84" s="186">
        <f>IF(C29&lt;=$F$18,C29+1,"-")</f>
        <v>26</v>
      </c>
      <c r="C84" s="147">
        <f>D29-D30</f>
        <v>70</v>
      </c>
      <c r="D84" s="148"/>
      <c r="E84" s="128">
        <f t="shared" si="58"/>
        <v>0.56000000000000005</v>
      </c>
      <c r="F84" s="128">
        <f t="shared" si="59"/>
        <v>0.44</v>
      </c>
      <c r="G84" s="149"/>
      <c r="H84" s="58">
        <f t="shared" si="57"/>
        <v>0</v>
      </c>
      <c r="I84" s="55">
        <v>79</v>
      </c>
      <c r="J84" s="33">
        <f t="shared" si="51"/>
        <v>27.090000000000042</v>
      </c>
      <c r="K84" s="33">
        <f t="shared" si="52"/>
        <v>8.5031942764136481</v>
      </c>
      <c r="L84" s="33">
        <f t="shared" si="53"/>
        <v>70</v>
      </c>
      <c r="M84" s="33">
        <f t="shared" si="54"/>
        <v>10</v>
      </c>
      <c r="N84" s="33">
        <f t="shared" si="40"/>
        <v>0</v>
      </c>
      <c r="O84" s="34">
        <f t="shared" si="41"/>
        <v>355.32481336475388</v>
      </c>
      <c r="P84" s="55">
        <v>79</v>
      </c>
      <c r="Q84" s="33">
        <f t="shared" si="49"/>
        <v>25.349999999999994</v>
      </c>
      <c r="R84" s="33">
        <f t="shared" si="55"/>
        <v>1066.6500000000001</v>
      </c>
      <c r="S84" s="33">
        <f t="shared" si="56"/>
        <v>405.32700000000006</v>
      </c>
      <c r="T84" s="33">
        <f t="shared" si="42"/>
        <v>92.855799780092369</v>
      </c>
      <c r="U84" s="33">
        <f t="shared" si="50"/>
        <v>70</v>
      </c>
      <c r="V84" s="33">
        <f t="shared" si="43"/>
        <v>10</v>
      </c>
      <c r="W84" s="33">
        <v>0</v>
      </c>
      <c r="X84" s="33">
        <f t="shared" si="44"/>
        <v>1161.0017096169943</v>
      </c>
      <c r="Y84" s="38">
        <f t="shared" si="45"/>
        <v>805.67689625224034</v>
      </c>
      <c r="AA84" s="71">
        <v>79</v>
      </c>
      <c r="AB84" s="33">
        <f t="shared" si="46"/>
        <v>0</v>
      </c>
      <c r="AC84" s="304">
        <f t="shared" si="39"/>
        <v>0</v>
      </c>
      <c r="AD84" s="100">
        <f t="shared" si="47"/>
        <v>0</v>
      </c>
      <c r="AE84" s="100">
        <f t="shared" si="48"/>
        <v>0</v>
      </c>
      <c r="AF84" s="193">
        <f t="shared" si="34"/>
        <v>56.275258354075326</v>
      </c>
      <c r="AG84" s="193">
        <f t="shared" si="35"/>
        <v>51.728336590156189</v>
      </c>
      <c r="AH84" s="193">
        <f t="shared" si="36"/>
        <v>0.11452966817932633</v>
      </c>
      <c r="AI84" s="198">
        <f t="shared" si="37"/>
        <v>108.11812461241084</v>
      </c>
      <c r="AK84" s="71">
        <v>79</v>
      </c>
      <c r="AL84" s="33"/>
      <c r="AM84" s="33"/>
      <c r="AN84" s="33"/>
      <c r="AO84" s="33"/>
      <c r="AP84" s="33"/>
      <c r="AQ84" s="193"/>
      <c r="AR84" s="193"/>
      <c r="AS84" s="193"/>
      <c r="AT84" s="193"/>
      <c r="AU84" s="33"/>
      <c r="AV84" s="33"/>
      <c r="AW84" s="33"/>
      <c r="AX84" s="33"/>
      <c r="AY84" s="76"/>
    </row>
    <row r="85" spans="2:51">
      <c r="B85" s="171">
        <f>IF(C31&lt;=$F$18,C31+1,"-")</f>
        <v>31</v>
      </c>
      <c r="C85" s="147">
        <f>D31-D32</f>
        <v>70</v>
      </c>
      <c r="D85" s="148"/>
      <c r="E85" s="128">
        <f t="shared" si="58"/>
        <v>0.56000000000000005</v>
      </c>
      <c r="F85" s="128">
        <f t="shared" si="59"/>
        <v>0.44</v>
      </c>
      <c r="G85" s="149"/>
      <c r="H85" s="58">
        <f t="shared" si="57"/>
        <v>0</v>
      </c>
      <c r="I85" s="55">
        <v>80</v>
      </c>
      <c r="J85" s="33">
        <f t="shared" si="51"/>
        <v>27.510000000000044</v>
      </c>
      <c r="K85" s="33">
        <f t="shared" si="52"/>
        <v>8.6195769385260075</v>
      </c>
      <c r="L85" s="33">
        <f t="shared" si="53"/>
        <v>70</v>
      </c>
      <c r="M85" s="33">
        <f t="shared" si="54"/>
        <v>10</v>
      </c>
      <c r="N85" s="33">
        <f t="shared" si="40"/>
        <v>0</v>
      </c>
      <c r="O85" s="34">
        <f t="shared" si="41"/>
        <v>356.25901316793284</v>
      </c>
      <c r="P85" s="55">
        <v>80</v>
      </c>
      <c r="Q85" s="33">
        <f t="shared" si="49"/>
        <v>25.349999999999994</v>
      </c>
      <c r="R85" s="33">
        <f t="shared" si="55"/>
        <v>1092</v>
      </c>
      <c r="S85" s="33">
        <f t="shared" si="56"/>
        <v>414.96</v>
      </c>
      <c r="T85" s="33">
        <f t="shared" si="42"/>
        <v>94.803064065636192</v>
      </c>
      <c r="U85" s="33">
        <f t="shared" si="50"/>
        <v>70</v>
      </c>
      <c r="V85" s="33">
        <f t="shared" si="43"/>
        <v>10</v>
      </c>
      <c r="W85" s="33">
        <v>0</v>
      </c>
      <c r="X85" s="33">
        <f t="shared" si="44"/>
        <v>1181.1706699143162</v>
      </c>
      <c r="Y85" s="38">
        <f t="shared" si="45"/>
        <v>824.91165674638341</v>
      </c>
      <c r="AA85" s="71">
        <v>80</v>
      </c>
      <c r="AB85" s="33">
        <f t="shared" si="46"/>
        <v>840</v>
      </c>
      <c r="AC85" s="304">
        <f t="shared" si="39"/>
        <v>0.47499999999999998</v>
      </c>
      <c r="AD85" s="100">
        <f t="shared" si="47"/>
        <v>2.8000000000000028E-2</v>
      </c>
      <c r="AE85" s="100">
        <f t="shared" si="48"/>
        <v>2.200000000000002E-2</v>
      </c>
      <c r="AF85" s="193">
        <f t="shared" si="34"/>
        <v>316.64554841613625</v>
      </c>
      <c r="AG85" s="193">
        <f t="shared" si="35"/>
        <v>65.6663281112465</v>
      </c>
      <c r="AH85" s="193">
        <f t="shared" si="36"/>
        <v>10.417269217011468</v>
      </c>
      <c r="AI85" s="198">
        <f t="shared" si="37"/>
        <v>392.72914574439426</v>
      </c>
      <c r="AK85" s="71">
        <v>80</v>
      </c>
      <c r="AL85" s="33"/>
      <c r="AM85" s="33"/>
      <c r="AN85" s="33"/>
      <c r="AO85" s="33"/>
      <c r="AP85" s="33"/>
      <c r="AQ85" s="193"/>
      <c r="AR85" s="193"/>
      <c r="AS85" s="193"/>
      <c r="AT85" s="193"/>
      <c r="AU85" s="33"/>
      <c r="AV85" s="33"/>
      <c r="AW85" s="33"/>
      <c r="AX85" s="33"/>
      <c r="AY85" s="76"/>
    </row>
    <row r="86" spans="2:51">
      <c r="B86" s="171">
        <f>IF(C33&lt;=$F$18,C33+1,"-")</f>
        <v>36</v>
      </c>
      <c r="C86" s="147">
        <f>D33-D34</f>
        <v>70</v>
      </c>
      <c r="D86" s="148">
        <v>0.2</v>
      </c>
      <c r="E86" s="128">
        <f t="shared" si="58"/>
        <v>0.44800000000000006</v>
      </c>
      <c r="F86" s="128">
        <f t="shared" si="59"/>
        <v>0.35200000000000004</v>
      </c>
      <c r="G86" s="149"/>
      <c r="H86" s="58">
        <f t="shared" si="57"/>
        <v>0</v>
      </c>
      <c r="I86" s="55">
        <v>81</v>
      </c>
      <c r="J86" s="33">
        <f t="shared" si="51"/>
        <v>0</v>
      </c>
      <c r="K86" s="33">
        <f t="shared" si="52"/>
        <v>0</v>
      </c>
      <c r="L86" s="33">
        <f t="shared" si="53"/>
        <v>0</v>
      </c>
      <c r="M86" s="33">
        <f t="shared" si="54"/>
        <v>0</v>
      </c>
      <c r="N86" s="33">
        <f t="shared" si="40"/>
        <v>0</v>
      </c>
      <c r="O86" s="34">
        <f t="shared" si="41"/>
        <v>0</v>
      </c>
      <c r="P86" s="55">
        <v>81</v>
      </c>
      <c r="Q86" s="33">
        <f t="shared" si="49"/>
        <v>0</v>
      </c>
      <c r="R86" s="33">
        <f t="shared" si="55"/>
        <v>0</v>
      </c>
      <c r="S86" s="33">
        <f t="shared" si="56"/>
        <v>0</v>
      </c>
      <c r="T86" s="33">
        <f t="shared" si="42"/>
        <v>0</v>
      </c>
      <c r="U86" s="33">
        <f t="shared" si="50"/>
        <v>0</v>
      </c>
      <c r="V86" s="33">
        <f t="shared" si="43"/>
        <v>0</v>
      </c>
      <c r="W86" s="33">
        <v>0</v>
      </c>
      <c r="X86" s="33">
        <f t="shared" si="44"/>
        <v>0</v>
      </c>
      <c r="Y86" s="38">
        <f t="shared" si="45"/>
        <v>0</v>
      </c>
      <c r="AA86" s="71">
        <v>81</v>
      </c>
      <c r="AB86" s="33">
        <f t="shared" si="46"/>
        <v>0</v>
      </c>
      <c r="AC86" s="304">
        <f t="shared" si="39"/>
        <v>0</v>
      </c>
      <c r="AD86" s="100">
        <f t="shared" si="47"/>
        <v>0</v>
      </c>
      <c r="AE86" s="100">
        <f t="shared" si="48"/>
        <v>0</v>
      </c>
      <c r="AF86" s="193">
        <f t="shared" si="34"/>
        <v>0</v>
      </c>
      <c r="AG86" s="193">
        <f t="shared" si="35"/>
        <v>0</v>
      </c>
      <c r="AH86" s="193">
        <f t="shared" si="36"/>
        <v>0</v>
      </c>
      <c r="AI86" s="198">
        <f t="shared" si="37"/>
        <v>0</v>
      </c>
      <c r="AK86" s="71">
        <v>81</v>
      </c>
      <c r="AL86" s="33"/>
      <c r="AM86" s="33"/>
      <c r="AN86" s="33"/>
      <c r="AO86" s="33"/>
      <c r="AP86" s="33"/>
      <c r="AQ86" s="193"/>
      <c r="AR86" s="193"/>
      <c r="AS86" s="193"/>
      <c r="AT86" s="193"/>
      <c r="AU86" s="33"/>
      <c r="AV86" s="33"/>
      <c r="AW86" s="33"/>
      <c r="AX86" s="33"/>
      <c r="AY86" s="76"/>
    </row>
    <row r="87" spans="2:51">
      <c r="B87" s="171">
        <f>IF(C35&lt;=$F$18,C35+1,"-")</f>
        <v>41</v>
      </c>
      <c r="C87" s="147">
        <f>D35-D36</f>
        <v>70</v>
      </c>
      <c r="D87" s="148">
        <v>0.3</v>
      </c>
      <c r="E87" s="128">
        <f t="shared" si="58"/>
        <v>0.39200000000000002</v>
      </c>
      <c r="F87" s="128">
        <f t="shared" si="59"/>
        <v>0.308</v>
      </c>
      <c r="G87" s="149"/>
      <c r="H87" s="58">
        <f t="shared" si="57"/>
        <v>0</v>
      </c>
      <c r="I87" s="55">
        <v>82</v>
      </c>
      <c r="J87" s="33">
        <f t="shared" si="51"/>
        <v>0</v>
      </c>
      <c r="K87" s="33">
        <f t="shared" si="52"/>
        <v>0</v>
      </c>
      <c r="L87" s="33">
        <f t="shared" si="53"/>
        <v>0</v>
      </c>
      <c r="M87" s="33">
        <f t="shared" si="54"/>
        <v>0</v>
      </c>
      <c r="N87" s="33">
        <f t="shared" si="40"/>
        <v>0</v>
      </c>
      <c r="O87" s="34">
        <f t="shared" si="41"/>
        <v>0</v>
      </c>
      <c r="P87" s="55">
        <v>82</v>
      </c>
      <c r="Q87" s="33">
        <f t="shared" si="49"/>
        <v>0</v>
      </c>
      <c r="R87" s="33">
        <f t="shared" si="55"/>
        <v>0</v>
      </c>
      <c r="S87" s="33">
        <f t="shared" si="56"/>
        <v>0</v>
      </c>
      <c r="T87" s="33">
        <f t="shared" si="42"/>
        <v>0</v>
      </c>
      <c r="U87" s="33">
        <f t="shared" si="50"/>
        <v>0</v>
      </c>
      <c r="V87" s="33">
        <f t="shared" si="43"/>
        <v>0</v>
      </c>
      <c r="W87" s="33">
        <v>0</v>
      </c>
      <c r="X87" s="33">
        <f t="shared" si="44"/>
        <v>0</v>
      </c>
      <c r="Y87" s="38">
        <f t="shared" si="45"/>
        <v>0</v>
      </c>
      <c r="AA87" s="71">
        <v>82</v>
      </c>
      <c r="AB87" s="33">
        <f t="shared" si="46"/>
        <v>0</v>
      </c>
      <c r="AC87" s="304">
        <f t="shared" si="39"/>
        <v>0</v>
      </c>
      <c r="AD87" s="100">
        <f t="shared" si="47"/>
        <v>0</v>
      </c>
      <c r="AE87" s="100">
        <f t="shared" si="48"/>
        <v>0</v>
      </c>
      <c r="AF87" s="193">
        <f t="shared" si="34"/>
        <v>0</v>
      </c>
      <c r="AG87" s="193">
        <f t="shared" si="35"/>
        <v>0</v>
      </c>
      <c r="AH87" s="193">
        <f t="shared" si="36"/>
        <v>0</v>
      </c>
      <c r="AI87" s="198">
        <f t="shared" si="37"/>
        <v>0</v>
      </c>
      <c r="AK87" s="71">
        <v>82</v>
      </c>
      <c r="AL87" s="33"/>
      <c r="AM87" s="33"/>
      <c r="AN87" s="33"/>
      <c r="AO87" s="33"/>
      <c r="AP87" s="33"/>
      <c r="AQ87" s="193"/>
      <c r="AR87" s="193"/>
      <c r="AS87" s="193"/>
      <c r="AT87" s="193"/>
      <c r="AU87" s="33"/>
      <c r="AV87" s="33"/>
      <c r="AW87" s="33"/>
      <c r="AX87" s="33"/>
      <c r="AY87" s="76"/>
    </row>
    <row r="88" spans="2:51">
      <c r="B88" s="171">
        <f>IF(C37&lt;=$F$18,C37+1,"-")</f>
        <v>46</v>
      </c>
      <c r="C88" s="147">
        <f>D37-D38</f>
        <v>70</v>
      </c>
      <c r="D88" s="148">
        <v>0.4</v>
      </c>
      <c r="E88" s="128">
        <f t="shared" si="58"/>
        <v>0.33600000000000002</v>
      </c>
      <c r="F88" s="128">
        <f t="shared" si="59"/>
        <v>0.26400000000000001</v>
      </c>
      <c r="G88" s="149"/>
      <c r="H88" s="58">
        <f t="shared" si="57"/>
        <v>0</v>
      </c>
      <c r="I88" s="55">
        <v>83</v>
      </c>
      <c r="J88" s="33">
        <f t="shared" si="51"/>
        <v>0</v>
      </c>
      <c r="K88" s="33">
        <f t="shared" si="52"/>
        <v>0</v>
      </c>
      <c r="L88" s="33">
        <f t="shared" si="53"/>
        <v>0</v>
      </c>
      <c r="M88" s="33">
        <f t="shared" si="54"/>
        <v>0</v>
      </c>
      <c r="N88" s="33">
        <f t="shared" si="40"/>
        <v>0</v>
      </c>
      <c r="O88" s="34">
        <f t="shared" si="41"/>
        <v>0</v>
      </c>
      <c r="P88" s="55">
        <v>83</v>
      </c>
      <c r="Q88" s="33">
        <f t="shared" si="49"/>
        <v>0</v>
      </c>
      <c r="R88" s="33">
        <f t="shared" si="55"/>
        <v>0</v>
      </c>
      <c r="S88" s="33">
        <f t="shared" si="56"/>
        <v>0</v>
      </c>
      <c r="T88" s="33">
        <f t="shared" si="42"/>
        <v>0</v>
      </c>
      <c r="U88" s="33">
        <f t="shared" si="50"/>
        <v>0</v>
      </c>
      <c r="V88" s="33">
        <f t="shared" si="43"/>
        <v>0</v>
      </c>
      <c r="W88" s="33">
        <v>0</v>
      </c>
      <c r="X88" s="33">
        <f t="shared" si="44"/>
        <v>0</v>
      </c>
      <c r="Y88" s="38">
        <f t="shared" si="45"/>
        <v>0</v>
      </c>
      <c r="AA88" s="71">
        <v>83</v>
      </c>
      <c r="AB88" s="33">
        <f t="shared" si="46"/>
        <v>0</v>
      </c>
      <c r="AC88" s="304">
        <f t="shared" si="39"/>
        <v>0</v>
      </c>
      <c r="AD88" s="100">
        <f t="shared" si="47"/>
        <v>0</v>
      </c>
      <c r="AE88" s="100">
        <f t="shared" si="48"/>
        <v>0</v>
      </c>
      <c r="AF88" s="193">
        <f t="shared" si="34"/>
        <v>0</v>
      </c>
      <c r="AG88" s="193">
        <f t="shared" si="35"/>
        <v>0</v>
      </c>
      <c r="AH88" s="193">
        <f t="shared" si="36"/>
        <v>0</v>
      </c>
      <c r="AI88" s="198">
        <f t="shared" si="37"/>
        <v>0</v>
      </c>
      <c r="AK88" s="71">
        <v>83</v>
      </c>
      <c r="AL88" s="33"/>
      <c r="AM88" s="33"/>
      <c r="AN88" s="33"/>
      <c r="AO88" s="33"/>
      <c r="AP88" s="33"/>
      <c r="AQ88" s="193"/>
      <c r="AR88" s="193"/>
      <c r="AS88" s="193"/>
      <c r="AT88" s="193"/>
      <c r="AU88" s="33"/>
      <c r="AV88" s="33"/>
      <c r="AW88" s="33"/>
      <c r="AX88" s="33"/>
      <c r="AY88" s="76"/>
    </row>
    <row r="89" spans="2:51">
      <c r="B89" s="171">
        <f>IF(C39&lt;=$F$18,C39+1,"-")</f>
        <v>51</v>
      </c>
      <c r="C89" s="147">
        <f>D39-D40</f>
        <v>70</v>
      </c>
      <c r="D89" s="148">
        <v>0.5</v>
      </c>
      <c r="E89" s="128">
        <f t="shared" si="58"/>
        <v>0.28000000000000003</v>
      </c>
      <c r="F89" s="128">
        <f t="shared" si="59"/>
        <v>0.22</v>
      </c>
      <c r="G89" s="149"/>
      <c r="H89" s="58">
        <f t="shared" si="57"/>
        <v>0</v>
      </c>
      <c r="I89" s="55">
        <v>84</v>
      </c>
      <c r="J89" s="33">
        <f t="shared" si="51"/>
        <v>0</v>
      </c>
      <c r="K89" s="33">
        <f t="shared" si="52"/>
        <v>0</v>
      </c>
      <c r="L89" s="33">
        <f t="shared" si="53"/>
        <v>0</v>
      </c>
      <c r="M89" s="33">
        <f t="shared" si="54"/>
        <v>0</v>
      </c>
      <c r="N89" s="33">
        <f t="shared" si="40"/>
        <v>0</v>
      </c>
      <c r="O89" s="34">
        <f t="shared" si="41"/>
        <v>0</v>
      </c>
      <c r="P89" s="55">
        <v>84</v>
      </c>
      <c r="Q89" s="33">
        <f t="shared" si="49"/>
        <v>0</v>
      </c>
      <c r="R89" s="33">
        <f t="shared" si="55"/>
        <v>0</v>
      </c>
      <c r="S89" s="33">
        <f t="shared" si="56"/>
        <v>0</v>
      </c>
      <c r="T89" s="33">
        <f t="shared" si="42"/>
        <v>0</v>
      </c>
      <c r="U89" s="33">
        <f t="shared" si="50"/>
        <v>0</v>
      </c>
      <c r="V89" s="33">
        <f t="shared" si="43"/>
        <v>0</v>
      </c>
      <c r="W89" s="33">
        <v>0</v>
      </c>
      <c r="X89" s="33">
        <f t="shared" si="44"/>
        <v>0</v>
      </c>
      <c r="Y89" s="38">
        <f t="shared" si="45"/>
        <v>0</v>
      </c>
      <c r="AA89" s="71">
        <v>84</v>
      </c>
      <c r="AB89" s="33">
        <f t="shared" si="46"/>
        <v>0</v>
      </c>
      <c r="AC89" s="304">
        <f t="shared" si="39"/>
        <v>0</v>
      </c>
      <c r="AD89" s="100">
        <f t="shared" si="47"/>
        <v>0</v>
      </c>
      <c r="AE89" s="100">
        <f t="shared" si="48"/>
        <v>0</v>
      </c>
      <c r="AF89" s="193">
        <f t="shared" si="34"/>
        <v>0</v>
      </c>
      <c r="AG89" s="193">
        <f t="shared" si="35"/>
        <v>0</v>
      </c>
      <c r="AH89" s="193">
        <f t="shared" si="36"/>
        <v>0</v>
      </c>
      <c r="AI89" s="198">
        <f t="shared" si="37"/>
        <v>0</v>
      </c>
      <c r="AK89" s="71">
        <v>84</v>
      </c>
      <c r="AL89" s="33"/>
      <c r="AM89" s="33"/>
      <c r="AN89" s="33"/>
      <c r="AO89" s="33"/>
      <c r="AP89" s="33"/>
      <c r="AQ89" s="193"/>
      <c r="AR89" s="193"/>
      <c r="AS89" s="193"/>
      <c r="AT89" s="193"/>
      <c r="AU89" s="33"/>
      <c r="AV89" s="33"/>
      <c r="AW89" s="33"/>
      <c r="AX89" s="33"/>
      <c r="AY89" s="76"/>
    </row>
    <row r="90" spans="2:51">
      <c r="B90" s="171">
        <f>IF(C41&lt;=$F$18,C41+1,"-")</f>
        <v>56</v>
      </c>
      <c r="C90" s="147">
        <f>D41-D42</f>
        <v>63</v>
      </c>
      <c r="D90" s="148">
        <v>0.6</v>
      </c>
      <c r="E90" s="128">
        <f t="shared" si="58"/>
        <v>0.22400000000000003</v>
      </c>
      <c r="F90" s="128">
        <f t="shared" si="59"/>
        <v>0.17600000000000002</v>
      </c>
      <c r="G90" s="149"/>
      <c r="H90" s="58">
        <f t="shared" si="57"/>
        <v>0</v>
      </c>
      <c r="I90" s="55">
        <v>85</v>
      </c>
      <c r="J90" s="33">
        <f t="shared" si="51"/>
        <v>0</v>
      </c>
      <c r="K90" s="33">
        <f t="shared" si="52"/>
        <v>0</v>
      </c>
      <c r="L90" s="33">
        <f t="shared" si="53"/>
        <v>0</v>
      </c>
      <c r="M90" s="33">
        <f t="shared" si="54"/>
        <v>0</v>
      </c>
      <c r="N90" s="33">
        <f t="shared" si="40"/>
        <v>0</v>
      </c>
      <c r="O90" s="34">
        <f t="shared" si="41"/>
        <v>0</v>
      </c>
      <c r="P90" s="55">
        <v>85</v>
      </c>
      <c r="Q90" s="33">
        <f t="shared" si="49"/>
        <v>0</v>
      </c>
      <c r="R90" s="33">
        <f t="shared" si="55"/>
        <v>0</v>
      </c>
      <c r="S90" s="33">
        <f t="shared" si="56"/>
        <v>0</v>
      </c>
      <c r="T90" s="33">
        <f t="shared" si="42"/>
        <v>0</v>
      </c>
      <c r="U90" s="33">
        <f t="shared" si="50"/>
        <v>0</v>
      </c>
      <c r="V90" s="33">
        <f t="shared" si="43"/>
        <v>0</v>
      </c>
      <c r="W90" s="33">
        <v>0</v>
      </c>
      <c r="X90" s="33">
        <f t="shared" si="44"/>
        <v>0</v>
      </c>
      <c r="Y90" s="38">
        <f t="shared" si="45"/>
        <v>0</v>
      </c>
      <c r="AA90" s="71">
        <v>85</v>
      </c>
      <c r="AB90" s="33">
        <f t="shared" si="46"/>
        <v>0</v>
      </c>
      <c r="AC90" s="304">
        <f t="shared" si="39"/>
        <v>0</v>
      </c>
      <c r="AD90" s="100">
        <f t="shared" si="47"/>
        <v>0</v>
      </c>
      <c r="AE90" s="100">
        <f t="shared" si="48"/>
        <v>0</v>
      </c>
      <c r="AF90" s="193">
        <f t="shared" si="34"/>
        <v>0</v>
      </c>
      <c r="AG90" s="193">
        <f t="shared" si="35"/>
        <v>0</v>
      </c>
      <c r="AH90" s="193">
        <f t="shared" si="36"/>
        <v>0</v>
      </c>
      <c r="AI90" s="198">
        <f t="shared" si="37"/>
        <v>0</v>
      </c>
      <c r="AK90" s="71">
        <v>85</v>
      </c>
      <c r="AL90" s="33"/>
      <c r="AM90" s="33"/>
      <c r="AN90" s="33"/>
      <c r="AO90" s="33"/>
      <c r="AP90" s="33"/>
      <c r="AQ90" s="193"/>
      <c r="AR90" s="193"/>
      <c r="AS90" s="193"/>
      <c r="AT90" s="193"/>
      <c r="AU90" s="33"/>
      <c r="AV90" s="33"/>
      <c r="AW90" s="33"/>
      <c r="AX90" s="33"/>
      <c r="AY90" s="76"/>
    </row>
    <row r="91" spans="2:51">
      <c r="B91" s="171">
        <f>IF(C43&lt;=$F$18,C43+1,"-")</f>
        <v>61</v>
      </c>
      <c r="C91" s="147">
        <f>D43-D44</f>
        <v>56</v>
      </c>
      <c r="D91" s="148">
        <v>0.7</v>
      </c>
      <c r="E91" s="128">
        <f t="shared" si="58"/>
        <v>0.16800000000000004</v>
      </c>
      <c r="F91" s="128">
        <f t="shared" si="59"/>
        <v>0.13200000000000003</v>
      </c>
      <c r="G91" s="149"/>
      <c r="H91" s="58">
        <f t="shared" si="57"/>
        <v>0</v>
      </c>
      <c r="I91" s="55">
        <v>86</v>
      </c>
      <c r="J91" s="33">
        <f t="shared" si="51"/>
        <v>0</v>
      </c>
      <c r="K91" s="33">
        <f t="shared" si="52"/>
        <v>0</v>
      </c>
      <c r="L91" s="33">
        <f t="shared" si="53"/>
        <v>0</v>
      </c>
      <c r="M91" s="33">
        <f t="shared" si="54"/>
        <v>0</v>
      </c>
      <c r="N91" s="33">
        <f t="shared" si="40"/>
        <v>0</v>
      </c>
      <c r="O91" s="34">
        <f t="shared" si="41"/>
        <v>0</v>
      </c>
      <c r="P91" s="55">
        <v>86</v>
      </c>
      <c r="Q91" s="33">
        <f t="shared" si="49"/>
        <v>0</v>
      </c>
      <c r="R91" s="33">
        <f t="shared" si="55"/>
        <v>0</v>
      </c>
      <c r="S91" s="33">
        <f t="shared" si="56"/>
        <v>0</v>
      </c>
      <c r="T91" s="33">
        <f t="shared" si="42"/>
        <v>0</v>
      </c>
      <c r="U91" s="33">
        <f t="shared" si="50"/>
        <v>0</v>
      </c>
      <c r="V91" s="33">
        <f t="shared" si="43"/>
        <v>0</v>
      </c>
      <c r="W91" s="33">
        <v>0</v>
      </c>
      <c r="X91" s="33">
        <f t="shared" si="44"/>
        <v>0</v>
      </c>
      <c r="Y91" s="38">
        <f t="shared" si="45"/>
        <v>0</v>
      </c>
      <c r="AA91" s="71">
        <v>86</v>
      </c>
      <c r="AB91" s="33">
        <f t="shared" si="46"/>
        <v>0</v>
      </c>
      <c r="AC91" s="304">
        <f t="shared" si="39"/>
        <v>0</v>
      </c>
      <c r="AD91" s="100">
        <f t="shared" si="47"/>
        <v>0</v>
      </c>
      <c r="AE91" s="100">
        <f t="shared" si="48"/>
        <v>0</v>
      </c>
      <c r="AF91" s="193">
        <f t="shared" ref="AF91:AF154" si="60">IF(OR(AA91&lt;=$F$18,AA91&lt;=30),EXP(-LN(2)/$D$104)*AF90+((1-EXP(-LN(2)/$D$104))/(LN(2)/$D$104))*$AB91*AC91*0.475*$F$19*44/12,)</f>
        <v>0</v>
      </c>
      <c r="AG91" s="193">
        <f t="shared" ref="AG91:AG154" si="61">IF(OR(AA91&lt;=$F$18,AA91&lt;=30),EXP(-LN(2)/$D$106)*AG90+((1-EXP(-LN(2)/$D$106))/(LN(2)/$D$106))*$AB91*AD91*0.475*$F$19*44/12,)</f>
        <v>0</v>
      </c>
      <c r="AH91" s="193">
        <f t="shared" ref="AH91:AH154" si="62">IF(OR(AA91&lt;=$F$18,AA91&lt;=30),EXP(-LN(2)/$D$105)*AH90+((1-EXP(-LN(2)/$D$105))/(LN(2)/$D$105))*$AB91*AE91*0.475*$F$19*44/12,)</f>
        <v>0</v>
      </c>
      <c r="AI91" s="198">
        <f t="shared" ref="AI91:AI154" si="63">IF(OR(AA91&lt;=$F$18,AA91&lt;=30),SUM(AF91:AH91),)</f>
        <v>0</v>
      </c>
      <c r="AK91" s="71">
        <v>86</v>
      </c>
      <c r="AL91" s="33"/>
      <c r="AM91" s="33"/>
      <c r="AN91" s="33"/>
      <c r="AO91" s="33"/>
      <c r="AP91" s="33"/>
      <c r="AQ91" s="193"/>
      <c r="AR91" s="193"/>
      <c r="AS91" s="193"/>
      <c r="AT91" s="193"/>
      <c r="AU91" s="33"/>
      <c r="AV91" s="33"/>
      <c r="AW91" s="33"/>
      <c r="AX91" s="33"/>
      <c r="AY91" s="76"/>
    </row>
    <row r="92" spans="2:51">
      <c r="B92" s="171">
        <f>IF(C45&lt;=$F$18,C45+1,"-")</f>
        <v>66</v>
      </c>
      <c r="C92" s="147">
        <f>D45-D46</f>
        <v>52</v>
      </c>
      <c r="D92" s="148">
        <v>0.8</v>
      </c>
      <c r="E92" s="128">
        <f t="shared" si="58"/>
        <v>0.11199999999999999</v>
      </c>
      <c r="F92" s="128">
        <f t="shared" si="59"/>
        <v>8.7999999999999981E-2</v>
      </c>
      <c r="G92" s="149"/>
      <c r="H92" s="58">
        <f t="shared" si="57"/>
        <v>0</v>
      </c>
      <c r="I92" s="55">
        <v>87</v>
      </c>
      <c r="J92" s="33">
        <f t="shared" si="51"/>
        <v>0</v>
      </c>
      <c r="K92" s="33">
        <f t="shared" si="52"/>
        <v>0</v>
      </c>
      <c r="L92" s="33">
        <f t="shared" si="53"/>
        <v>0</v>
      </c>
      <c r="M92" s="33">
        <f t="shared" si="54"/>
        <v>0</v>
      </c>
      <c r="N92" s="33">
        <f t="shared" si="40"/>
        <v>0</v>
      </c>
      <c r="O92" s="34">
        <f t="shared" si="41"/>
        <v>0</v>
      </c>
      <c r="P92" s="55">
        <v>87</v>
      </c>
      <c r="Q92" s="33">
        <f t="shared" si="49"/>
        <v>0</v>
      </c>
      <c r="R92" s="33">
        <f t="shared" si="55"/>
        <v>0</v>
      </c>
      <c r="S92" s="33">
        <f t="shared" si="56"/>
        <v>0</v>
      </c>
      <c r="T92" s="33">
        <f t="shared" si="42"/>
        <v>0</v>
      </c>
      <c r="U92" s="33">
        <f t="shared" si="50"/>
        <v>0</v>
      </c>
      <c r="V92" s="33">
        <f t="shared" si="43"/>
        <v>0</v>
      </c>
      <c r="W92" s="33">
        <v>0</v>
      </c>
      <c r="X92" s="33">
        <f t="shared" si="44"/>
        <v>0</v>
      </c>
      <c r="Y92" s="38">
        <f t="shared" si="45"/>
        <v>0</v>
      </c>
      <c r="AA92" s="71">
        <v>87</v>
      </c>
      <c r="AB92" s="33">
        <f t="shared" si="46"/>
        <v>0</v>
      </c>
      <c r="AC92" s="304">
        <f t="shared" si="39"/>
        <v>0</v>
      </c>
      <c r="AD92" s="100">
        <f t="shared" si="47"/>
        <v>0</v>
      </c>
      <c r="AE92" s="100">
        <f t="shared" si="48"/>
        <v>0</v>
      </c>
      <c r="AF92" s="193">
        <f t="shared" si="60"/>
        <v>0</v>
      </c>
      <c r="AG92" s="193">
        <f t="shared" si="61"/>
        <v>0</v>
      </c>
      <c r="AH92" s="193">
        <f t="shared" si="62"/>
        <v>0</v>
      </c>
      <c r="AI92" s="198">
        <f t="shared" si="63"/>
        <v>0</v>
      </c>
      <c r="AK92" s="71">
        <v>87</v>
      </c>
      <c r="AL92" s="33"/>
      <c r="AM92" s="33"/>
      <c r="AN92" s="33"/>
      <c r="AO92" s="33"/>
      <c r="AP92" s="33"/>
      <c r="AQ92" s="193"/>
      <c r="AR92" s="193"/>
      <c r="AS92" s="193"/>
      <c r="AT92" s="193"/>
      <c r="AU92" s="33"/>
      <c r="AV92" s="33"/>
      <c r="AW92" s="33"/>
      <c r="AX92" s="33"/>
      <c r="AY92" s="76"/>
    </row>
    <row r="93" spans="2:51">
      <c r="B93" s="171">
        <f>IF(C47&lt;=$F$18,C47+1,"-")</f>
        <v>71</v>
      </c>
      <c r="C93" s="147">
        <f>D47-D48</f>
        <v>49</v>
      </c>
      <c r="D93" s="148">
        <v>0.9</v>
      </c>
      <c r="E93" s="128">
        <f t="shared" si="58"/>
        <v>5.5999999999999994E-2</v>
      </c>
      <c r="F93" s="128">
        <f t="shared" si="59"/>
        <v>4.3999999999999991E-2</v>
      </c>
      <c r="G93" s="149"/>
      <c r="H93" s="58">
        <f t="shared" si="57"/>
        <v>0</v>
      </c>
      <c r="I93" s="55">
        <v>88</v>
      </c>
      <c r="J93" s="33">
        <f t="shared" si="51"/>
        <v>0</v>
      </c>
      <c r="K93" s="33">
        <f t="shared" si="52"/>
        <v>0</v>
      </c>
      <c r="L93" s="33">
        <f t="shared" si="53"/>
        <v>0</v>
      </c>
      <c r="M93" s="33">
        <f t="shared" si="54"/>
        <v>0</v>
      </c>
      <c r="N93" s="33">
        <f t="shared" si="40"/>
        <v>0</v>
      </c>
      <c r="O93" s="34">
        <f t="shared" si="41"/>
        <v>0</v>
      </c>
      <c r="P93" s="55">
        <v>88</v>
      </c>
      <c r="Q93" s="33">
        <f t="shared" si="49"/>
        <v>0</v>
      </c>
      <c r="R93" s="33">
        <f t="shared" si="55"/>
        <v>0</v>
      </c>
      <c r="S93" s="33">
        <f t="shared" si="56"/>
        <v>0</v>
      </c>
      <c r="T93" s="33">
        <f t="shared" si="42"/>
        <v>0</v>
      </c>
      <c r="U93" s="33">
        <f t="shared" si="50"/>
        <v>0</v>
      </c>
      <c r="V93" s="33">
        <f t="shared" si="43"/>
        <v>0</v>
      </c>
      <c r="W93" s="33">
        <v>0</v>
      </c>
      <c r="X93" s="33">
        <f t="shared" si="44"/>
        <v>0</v>
      </c>
      <c r="Y93" s="38">
        <f t="shared" si="45"/>
        <v>0</v>
      </c>
      <c r="AA93" s="71">
        <v>88</v>
      </c>
      <c r="AB93" s="33">
        <f t="shared" si="46"/>
        <v>0</v>
      </c>
      <c r="AC93" s="304">
        <f t="shared" si="39"/>
        <v>0</v>
      </c>
      <c r="AD93" s="100">
        <f t="shared" si="47"/>
        <v>0</v>
      </c>
      <c r="AE93" s="100">
        <f t="shared" si="48"/>
        <v>0</v>
      </c>
      <c r="AF93" s="193">
        <f t="shared" si="60"/>
        <v>0</v>
      </c>
      <c r="AG93" s="193">
        <f t="shared" si="61"/>
        <v>0</v>
      </c>
      <c r="AH93" s="193">
        <f t="shared" si="62"/>
        <v>0</v>
      </c>
      <c r="AI93" s="198">
        <f t="shared" si="63"/>
        <v>0</v>
      </c>
      <c r="AK93" s="71">
        <v>88</v>
      </c>
      <c r="AL93" s="33"/>
      <c r="AM93" s="33"/>
      <c r="AN93" s="33"/>
      <c r="AO93" s="33"/>
      <c r="AP93" s="33"/>
      <c r="AQ93" s="193"/>
      <c r="AR93" s="193"/>
      <c r="AS93" s="193"/>
      <c r="AT93" s="193"/>
      <c r="AU93" s="33"/>
      <c r="AV93" s="33"/>
      <c r="AW93" s="33"/>
      <c r="AX93" s="33"/>
      <c r="AY93" s="76"/>
    </row>
    <row r="94" spans="2:51">
      <c r="B94" s="183">
        <f>F18</f>
        <v>80</v>
      </c>
      <c r="C94" s="180">
        <f>IFERROR(VLOOKUP(B94,C25:D78,2),)</f>
        <v>840</v>
      </c>
      <c r="D94" s="181">
        <v>0.95</v>
      </c>
      <c r="E94" s="182">
        <f t="shared" si="58"/>
        <v>2.8000000000000028E-2</v>
      </c>
      <c r="F94" s="182">
        <f t="shared" si="59"/>
        <v>2.200000000000002E-2</v>
      </c>
      <c r="G94" s="150"/>
      <c r="H94" s="58">
        <f t="shared" si="57"/>
        <v>0</v>
      </c>
      <c r="I94" s="55">
        <v>89</v>
      </c>
      <c r="J94" s="33">
        <f t="shared" si="51"/>
        <v>0</v>
      </c>
      <c r="K94" s="33">
        <f t="shared" si="52"/>
        <v>0</v>
      </c>
      <c r="L94" s="33">
        <f t="shared" si="53"/>
        <v>0</v>
      </c>
      <c r="M94" s="33">
        <f t="shared" si="54"/>
        <v>0</v>
      </c>
      <c r="N94" s="33">
        <f t="shared" si="40"/>
        <v>0</v>
      </c>
      <c r="O94" s="34">
        <f t="shared" si="41"/>
        <v>0</v>
      </c>
      <c r="P94" s="55">
        <v>89</v>
      </c>
      <c r="Q94" s="33">
        <f t="shared" si="49"/>
        <v>0</v>
      </c>
      <c r="R94" s="33">
        <f t="shared" si="55"/>
        <v>0</v>
      </c>
      <c r="S94" s="33">
        <f t="shared" si="56"/>
        <v>0</v>
      </c>
      <c r="T94" s="33">
        <f t="shared" si="42"/>
        <v>0</v>
      </c>
      <c r="U94" s="33">
        <f t="shared" si="50"/>
        <v>0</v>
      </c>
      <c r="V94" s="33">
        <f t="shared" si="43"/>
        <v>0</v>
      </c>
      <c r="W94" s="33">
        <v>0</v>
      </c>
      <c r="X94" s="33">
        <f t="shared" si="44"/>
        <v>0</v>
      </c>
      <c r="Y94" s="38">
        <f t="shared" si="45"/>
        <v>0</v>
      </c>
      <c r="AA94" s="71">
        <v>89</v>
      </c>
      <c r="AB94" s="33">
        <f t="shared" si="46"/>
        <v>0</v>
      </c>
      <c r="AC94" s="304">
        <f t="shared" si="39"/>
        <v>0</v>
      </c>
      <c r="AD94" s="100">
        <f t="shared" si="47"/>
        <v>0</v>
      </c>
      <c r="AE94" s="100">
        <f t="shared" si="48"/>
        <v>0</v>
      </c>
      <c r="AF94" s="193">
        <f t="shared" si="60"/>
        <v>0</v>
      </c>
      <c r="AG94" s="193">
        <f t="shared" si="61"/>
        <v>0</v>
      </c>
      <c r="AH94" s="193">
        <f t="shared" si="62"/>
        <v>0</v>
      </c>
      <c r="AI94" s="198">
        <f t="shared" si="63"/>
        <v>0</v>
      </c>
      <c r="AK94" s="71">
        <v>89</v>
      </c>
      <c r="AL94" s="33"/>
      <c r="AM94" s="33"/>
      <c r="AN94" s="33"/>
      <c r="AO94" s="33"/>
      <c r="AP94" s="33"/>
      <c r="AQ94" s="193"/>
      <c r="AR94" s="193"/>
      <c r="AS94" s="193"/>
      <c r="AT94" s="193"/>
      <c r="AU94" s="33"/>
      <c r="AV94" s="33"/>
      <c r="AW94" s="33"/>
      <c r="AX94" s="33"/>
      <c r="AY94" s="76"/>
    </row>
    <row r="95" spans="2:51">
      <c r="I95" s="55">
        <v>90</v>
      </c>
      <c r="J95" s="33">
        <f t="shared" si="51"/>
        <v>0</v>
      </c>
      <c r="K95" s="33">
        <f t="shared" si="52"/>
        <v>0</v>
      </c>
      <c r="L95" s="33">
        <f t="shared" si="53"/>
        <v>0</v>
      </c>
      <c r="M95" s="33">
        <f t="shared" si="54"/>
        <v>0</v>
      </c>
      <c r="N95" s="33">
        <f t="shared" si="40"/>
        <v>0</v>
      </c>
      <c r="O95" s="34">
        <f t="shared" si="41"/>
        <v>0</v>
      </c>
      <c r="P95" s="55">
        <v>90</v>
      </c>
      <c r="Q95" s="33">
        <f t="shared" si="49"/>
        <v>0</v>
      </c>
      <c r="R95" s="33">
        <f t="shared" si="55"/>
        <v>0</v>
      </c>
      <c r="S95" s="33">
        <f t="shared" si="56"/>
        <v>0</v>
      </c>
      <c r="T95" s="33">
        <f t="shared" si="42"/>
        <v>0</v>
      </c>
      <c r="U95" s="33">
        <f t="shared" si="50"/>
        <v>0</v>
      </c>
      <c r="V95" s="33">
        <f t="shared" si="43"/>
        <v>0</v>
      </c>
      <c r="W95" s="33">
        <v>0</v>
      </c>
      <c r="X95" s="33">
        <f t="shared" si="44"/>
        <v>0</v>
      </c>
      <c r="Y95" s="38">
        <f t="shared" si="45"/>
        <v>0</v>
      </c>
      <c r="AA95" s="71">
        <v>90</v>
      </c>
      <c r="AB95" s="33">
        <f t="shared" si="46"/>
        <v>0</v>
      </c>
      <c r="AC95" s="304">
        <f t="shared" ref="AC95:AC158" si="64">IF(AA95&lt;=$F$18,IFERROR(VLOOKUP($AA95,$B$82:$G$94,3,FALSE),0),)*50%</f>
        <v>0</v>
      </c>
      <c r="AD95" s="100">
        <f t="shared" si="47"/>
        <v>0</v>
      </c>
      <c r="AE95" s="100">
        <f t="shared" si="48"/>
        <v>0</v>
      </c>
      <c r="AF95" s="193">
        <f t="shared" si="60"/>
        <v>0</v>
      </c>
      <c r="AG95" s="193">
        <f t="shared" si="61"/>
        <v>0</v>
      </c>
      <c r="AH95" s="193">
        <f t="shared" si="62"/>
        <v>0</v>
      </c>
      <c r="AI95" s="198">
        <f t="shared" si="63"/>
        <v>0</v>
      </c>
      <c r="AK95" s="71">
        <v>90</v>
      </c>
      <c r="AL95" s="33"/>
      <c r="AM95" s="33"/>
      <c r="AN95" s="33"/>
      <c r="AO95" s="33"/>
      <c r="AP95" s="33"/>
      <c r="AQ95" s="193"/>
      <c r="AR95" s="193"/>
      <c r="AS95" s="193"/>
      <c r="AT95" s="193"/>
      <c r="AU95" s="33"/>
      <c r="AV95" s="33"/>
      <c r="AW95" s="33"/>
      <c r="AX95" s="33"/>
      <c r="AY95" s="76"/>
    </row>
    <row r="96" spans="2:51">
      <c r="C96" s="67" t="s">
        <v>154</v>
      </c>
      <c r="D96" t="s">
        <v>137</v>
      </c>
      <c r="E96" s="6"/>
      <c r="I96" s="55">
        <v>91</v>
      </c>
      <c r="J96" s="33">
        <f t="shared" si="51"/>
        <v>0</v>
      </c>
      <c r="K96" s="33">
        <f t="shared" si="52"/>
        <v>0</v>
      </c>
      <c r="L96" s="33">
        <f t="shared" si="53"/>
        <v>0</v>
      </c>
      <c r="M96" s="33">
        <f t="shared" si="54"/>
        <v>0</v>
      </c>
      <c r="N96" s="33">
        <f t="shared" si="40"/>
        <v>0</v>
      </c>
      <c r="O96" s="34">
        <f t="shared" si="41"/>
        <v>0</v>
      </c>
      <c r="P96" s="55">
        <v>91</v>
      </c>
      <c r="Q96" s="33">
        <f t="shared" si="49"/>
        <v>0</v>
      </c>
      <c r="R96" s="33">
        <f t="shared" si="55"/>
        <v>0</v>
      </c>
      <c r="S96" s="33">
        <f t="shared" si="56"/>
        <v>0</v>
      </c>
      <c r="T96" s="33">
        <f t="shared" si="42"/>
        <v>0</v>
      </c>
      <c r="U96" s="33">
        <f t="shared" si="50"/>
        <v>0</v>
      </c>
      <c r="V96" s="33">
        <f t="shared" si="43"/>
        <v>0</v>
      </c>
      <c r="W96" s="33">
        <v>0</v>
      </c>
      <c r="X96" s="33">
        <f t="shared" si="44"/>
        <v>0</v>
      </c>
      <c r="Y96" s="38">
        <f t="shared" si="45"/>
        <v>0</v>
      </c>
      <c r="AA96" s="71">
        <v>91</v>
      </c>
      <c r="AB96" s="33">
        <f t="shared" si="46"/>
        <v>0</v>
      </c>
      <c r="AC96" s="304">
        <f t="shared" si="64"/>
        <v>0</v>
      </c>
      <c r="AD96" s="100">
        <f t="shared" si="47"/>
        <v>0</v>
      </c>
      <c r="AE96" s="100">
        <f t="shared" si="48"/>
        <v>0</v>
      </c>
      <c r="AF96" s="193">
        <f t="shared" si="60"/>
        <v>0</v>
      </c>
      <c r="AG96" s="193">
        <f t="shared" si="61"/>
        <v>0</v>
      </c>
      <c r="AH96" s="193">
        <f t="shared" si="62"/>
        <v>0</v>
      </c>
      <c r="AI96" s="198">
        <f t="shared" si="63"/>
        <v>0</v>
      </c>
      <c r="AK96" s="71">
        <v>91</v>
      </c>
      <c r="AL96" s="33"/>
      <c r="AM96" s="33"/>
      <c r="AN96" s="33"/>
      <c r="AO96" s="33"/>
      <c r="AP96" s="33"/>
      <c r="AQ96" s="193"/>
      <c r="AR96" s="193"/>
      <c r="AS96" s="193"/>
      <c r="AT96" s="193"/>
      <c r="AU96" s="33"/>
      <c r="AV96" s="33"/>
      <c r="AW96" s="33"/>
      <c r="AX96" s="33"/>
      <c r="AY96" s="76"/>
    </row>
    <row r="97" spans="2:51">
      <c r="B97" s="2" t="s">
        <v>0</v>
      </c>
      <c r="C97">
        <v>32</v>
      </c>
      <c r="D97">
        <v>0</v>
      </c>
      <c r="E97" s="6"/>
      <c r="I97" s="55">
        <v>92</v>
      </c>
      <c r="J97" s="33">
        <f t="shared" si="51"/>
        <v>0</v>
      </c>
      <c r="K97" s="33">
        <f t="shared" si="52"/>
        <v>0</v>
      </c>
      <c r="L97" s="33">
        <f t="shared" si="53"/>
        <v>0</v>
      </c>
      <c r="M97" s="33">
        <f t="shared" si="54"/>
        <v>0</v>
      </c>
      <c r="N97" s="33">
        <f t="shared" si="40"/>
        <v>0</v>
      </c>
      <c r="O97" s="34">
        <f t="shared" si="41"/>
        <v>0</v>
      </c>
      <c r="P97" s="55">
        <v>92</v>
      </c>
      <c r="Q97" s="33">
        <f t="shared" si="49"/>
        <v>0</v>
      </c>
      <c r="R97" s="33">
        <f t="shared" si="55"/>
        <v>0</v>
      </c>
      <c r="S97" s="33">
        <f t="shared" si="56"/>
        <v>0</v>
      </c>
      <c r="T97" s="33">
        <f t="shared" si="42"/>
        <v>0</v>
      </c>
      <c r="U97" s="33">
        <f t="shared" si="50"/>
        <v>0</v>
      </c>
      <c r="V97" s="33">
        <f t="shared" si="43"/>
        <v>0</v>
      </c>
      <c r="W97" s="33">
        <v>0</v>
      </c>
      <c r="X97" s="33">
        <f t="shared" si="44"/>
        <v>0</v>
      </c>
      <c r="Y97" s="38">
        <f t="shared" si="45"/>
        <v>0</v>
      </c>
      <c r="AA97" s="71">
        <v>92</v>
      </c>
      <c r="AB97" s="33">
        <f t="shared" si="46"/>
        <v>0</v>
      </c>
      <c r="AC97" s="304">
        <f t="shared" si="64"/>
        <v>0</v>
      </c>
      <c r="AD97" s="100">
        <f t="shared" si="47"/>
        <v>0</v>
      </c>
      <c r="AE97" s="100">
        <f t="shared" si="48"/>
        <v>0</v>
      </c>
      <c r="AF97" s="193">
        <f t="shared" si="60"/>
        <v>0</v>
      </c>
      <c r="AG97" s="193">
        <f t="shared" si="61"/>
        <v>0</v>
      </c>
      <c r="AH97" s="193">
        <f t="shared" si="62"/>
        <v>0</v>
      </c>
      <c r="AI97" s="198">
        <f t="shared" si="63"/>
        <v>0</v>
      </c>
      <c r="AK97" s="71">
        <v>92</v>
      </c>
      <c r="AL97" s="33"/>
      <c r="AM97" s="33"/>
      <c r="AN97" s="33"/>
      <c r="AO97" s="33"/>
      <c r="AP97" s="33"/>
      <c r="AQ97" s="193"/>
      <c r="AR97" s="193"/>
      <c r="AS97" s="193"/>
      <c r="AT97" s="193"/>
      <c r="AU97" s="33"/>
      <c r="AV97" s="33"/>
      <c r="AW97" s="33"/>
      <c r="AX97" s="33"/>
      <c r="AY97" s="76"/>
    </row>
    <row r="98" spans="2:51">
      <c r="B98" s="2" t="s">
        <v>1</v>
      </c>
      <c r="C98">
        <v>45</v>
      </c>
      <c r="D98">
        <v>0</v>
      </c>
      <c r="E98" s="6"/>
      <c r="I98" s="55">
        <v>93</v>
      </c>
      <c r="J98" s="33">
        <f t="shared" si="51"/>
        <v>0</v>
      </c>
      <c r="K98" s="33">
        <f t="shared" si="52"/>
        <v>0</v>
      </c>
      <c r="L98" s="33">
        <f t="shared" si="53"/>
        <v>0</v>
      </c>
      <c r="M98" s="33">
        <f t="shared" si="54"/>
        <v>0</v>
      </c>
      <c r="N98" s="33">
        <f t="shared" si="40"/>
        <v>0</v>
      </c>
      <c r="O98" s="34">
        <f t="shared" si="41"/>
        <v>0</v>
      </c>
      <c r="P98" s="55">
        <v>93</v>
      </c>
      <c r="Q98" s="33">
        <f t="shared" si="49"/>
        <v>0</v>
      </c>
      <c r="R98" s="33">
        <f t="shared" si="55"/>
        <v>0</v>
      </c>
      <c r="S98" s="33">
        <f t="shared" si="56"/>
        <v>0</v>
      </c>
      <c r="T98" s="33">
        <f t="shared" si="42"/>
        <v>0</v>
      </c>
      <c r="U98" s="33">
        <f t="shared" si="50"/>
        <v>0</v>
      </c>
      <c r="V98" s="33">
        <f t="shared" si="43"/>
        <v>0</v>
      </c>
      <c r="W98" s="33">
        <v>0</v>
      </c>
      <c r="X98" s="33">
        <f t="shared" si="44"/>
        <v>0</v>
      </c>
      <c r="Y98" s="38">
        <f t="shared" si="45"/>
        <v>0</v>
      </c>
      <c r="AA98" s="71">
        <v>93</v>
      </c>
      <c r="AB98" s="33">
        <f t="shared" si="46"/>
        <v>0</v>
      </c>
      <c r="AC98" s="304">
        <f t="shared" si="64"/>
        <v>0</v>
      </c>
      <c r="AD98" s="100">
        <f t="shared" si="47"/>
        <v>0</v>
      </c>
      <c r="AE98" s="100">
        <f t="shared" si="48"/>
        <v>0</v>
      </c>
      <c r="AF98" s="193">
        <f t="shared" si="60"/>
        <v>0</v>
      </c>
      <c r="AG98" s="193">
        <f t="shared" si="61"/>
        <v>0</v>
      </c>
      <c r="AH98" s="193">
        <f t="shared" si="62"/>
        <v>0</v>
      </c>
      <c r="AI98" s="198">
        <f t="shared" si="63"/>
        <v>0</v>
      </c>
      <c r="AK98" s="71">
        <v>93</v>
      </c>
      <c r="AL98" s="33"/>
      <c r="AM98" s="33"/>
      <c r="AN98" s="33"/>
      <c r="AO98" s="33"/>
      <c r="AP98" s="33"/>
      <c r="AQ98" s="193"/>
      <c r="AR98" s="193"/>
      <c r="AS98" s="193"/>
      <c r="AT98" s="193"/>
      <c r="AU98" s="33"/>
      <c r="AV98" s="33"/>
      <c r="AW98" s="33"/>
      <c r="AX98" s="33"/>
      <c r="AY98" s="76"/>
    </row>
    <row r="99" spans="2:51">
      <c r="B99" s="2" t="s">
        <v>2</v>
      </c>
      <c r="C99">
        <v>70</v>
      </c>
      <c r="D99">
        <v>0</v>
      </c>
      <c r="E99" s="6"/>
      <c r="I99" s="55">
        <v>94</v>
      </c>
      <c r="J99" s="33">
        <f t="shared" si="51"/>
        <v>0</v>
      </c>
      <c r="K99" s="33">
        <f t="shared" si="52"/>
        <v>0</v>
      </c>
      <c r="L99" s="33">
        <f t="shared" si="53"/>
        <v>0</v>
      </c>
      <c r="M99" s="33">
        <f t="shared" si="54"/>
        <v>0</v>
      </c>
      <c r="N99" s="33">
        <f t="shared" si="40"/>
        <v>0</v>
      </c>
      <c r="O99" s="34">
        <f t="shared" si="41"/>
        <v>0</v>
      </c>
      <c r="P99" s="55">
        <v>94</v>
      </c>
      <c r="Q99" s="33">
        <f t="shared" si="49"/>
        <v>0</v>
      </c>
      <c r="R99" s="33">
        <f t="shared" si="55"/>
        <v>0</v>
      </c>
      <c r="S99" s="33">
        <f t="shared" si="56"/>
        <v>0</v>
      </c>
      <c r="T99" s="33">
        <f t="shared" si="42"/>
        <v>0</v>
      </c>
      <c r="U99" s="33">
        <f t="shared" si="50"/>
        <v>0</v>
      </c>
      <c r="V99" s="33">
        <f t="shared" si="43"/>
        <v>0</v>
      </c>
      <c r="W99" s="33">
        <v>0</v>
      </c>
      <c r="X99" s="33">
        <f t="shared" si="44"/>
        <v>0</v>
      </c>
      <c r="Y99" s="38">
        <f t="shared" si="45"/>
        <v>0</v>
      </c>
      <c r="AA99" s="71">
        <v>94</v>
      </c>
      <c r="AB99" s="33">
        <f t="shared" si="46"/>
        <v>0</v>
      </c>
      <c r="AC99" s="304">
        <f t="shared" si="64"/>
        <v>0</v>
      </c>
      <c r="AD99" s="100">
        <f t="shared" si="47"/>
        <v>0</v>
      </c>
      <c r="AE99" s="100">
        <f t="shared" si="48"/>
        <v>0</v>
      </c>
      <c r="AF99" s="193">
        <f t="shared" si="60"/>
        <v>0</v>
      </c>
      <c r="AG99" s="193">
        <f t="shared" si="61"/>
        <v>0</v>
      </c>
      <c r="AH99" s="193">
        <f t="shared" si="62"/>
        <v>0</v>
      </c>
      <c r="AI99" s="198">
        <f t="shared" si="63"/>
        <v>0</v>
      </c>
      <c r="AK99" s="71">
        <v>94</v>
      </c>
      <c r="AL99" s="33"/>
      <c r="AM99" s="33"/>
      <c r="AN99" s="33"/>
      <c r="AO99" s="33"/>
      <c r="AP99" s="33"/>
      <c r="AQ99" s="193"/>
      <c r="AR99" s="193"/>
      <c r="AS99" s="193"/>
      <c r="AT99" s="193"/>
      <c r="AU99" s="33"/>
      <c r="AV99" s="33"/>
      <c r="AW99" s="33"/>
      <c r="AX99" s="33"/>
      <c r="AY99" s="76"/>
    </row>
    <row r="100" spans="2:51">
      <c r="B100" s="2" t="s">
        <v>135</v>
      </c>
      <c r="C100">
        <v>70</v>
      </c>
      <c r="D100">
        <v>0</v>
      </c>
      <c r="E100" s="6"/>
      <c r="I100" s="55">
        <v>95</v>
      </c>
      <c r="J100" s="33">
        <f t="shared" si="51"/>
        <v>0</v>
      </c>
      <c r="K100" s="33">
        <f t="shared" si="52"/>
        <v>0</v>
      </c>
      <c r="L100" s="33">
        <f t="shared" si="53"/>
        <v>0</v>
      </c>
      <c r="M100" s="33">
        <f t="shared" si="54"/>
        <v>0</v>
      </c>
      <c r="N100" s="33">
        <f t="shared" si="40"/>
        <v>0</v>
      </c>
      <c r="O100" s="34">
        <f t="shared" si="41"/>
        <v>0</v>
      </c>
      <c r="P100" s="55">
        <v>95</v>
      </c>
      <c r="Q100" s="33">
        <f t="shared" si="49"/>
        <v>0</v>
      </c>
      <c r="R100" s="33">
        <f t="shared" si="55"/>
        <v>0</v>
      </c>
      <c r="S100" s="33">
        <f t="shared" si="56"/>
        <v>0</v>
      </c>
      <c r="T100" s="33">
        <f t="shared" si="42"/>
        <v>0</v>
      </c>
      <c r="U100" s="33">
        <f t="shared" si="50"/>
        <v>0</v>
      </c>
      <c r="V100" s="33">
        <f t="shared" si="43"/>
        <v>0</v>
      </c>
      <c r="W100" s="33">
        <v>0</v>
      </c>
      <c r="X100" s="33">
        <f t="shared" si="44"/>
        <v>0</v>
      </c>
      <c r="Y100" s="38">
        <f t="shared" si="45"/>
        <v>0</v>
      </c>
      <c r="AA100" s="71">
        <v>95</v>
      </c>
      <c r="AB100" s="33">
        <f t="shared" si="46"/>
        <v>0</v>
      </c>
      <c r="AC100" s="304">
        <f t="shared" si="64"/>
        <v>0</v>
      </c>
      <c r="AD100" s="100">
        <f t="shared" si="47"/>
        <v>0</v>
      </c>
      <c r="AE100" s="100">
        <f t="shared" si="48"/>
        <v>0</v>
      </c>
      <c r="AF100" s="193">
        <f t="shared" si="60"/>
        <v>0</v>
      </c>
      <c r="AG100" s="193">
        <f t="shared" si="61"/>
        <v>0</v>
      </c>
      <c r="AH100" s="193">
        <f t="shared" si="62"/>
        <v>0</v>
      </c>
      <c r="AI100" s="198">
        <f t="shared" si="63"/>
        <v>0</v>
      </c>
      <c r="AK100" s="71">
        <v>95</v>
      </c>
      <c r="AL100" s="33"/>
      <c r="AM100" s="33"/>
      <c r="AN100" s="33"/>
      <c r="AO100" s="33"/>
      <c r="AP100" s="33"/>
      <c r="AQ100" s="193"/>
      <c r="AR100" s="193"/>
      <c r="AS100" s="193"/>
      <c r="AT100" s="193"/>
      <c r="AU100" s="33"/>
      <c r="AV100" s="33"/>
      <c r="AW100" s="33"/>
      <c r="AX100" s="33"/>
      <c r="AY100" s="76"/>
    </row>
    <row r="101" spans="2:51">
      <c r="C101" s="27"/>
      <c r="E101" s="6"/>
      <c r="I101" s="55">
        <v>96</v>
      </c>
      <c r="J101" s="33">
        <f t="shared" si="51"/>
        <v>0</v>
      </c>
      <c r="K101" s="33">
        <f t="shared" si="52"/>
        <v>0</v>
      </c>
      <c r="L101" s="33">
        <f t="shared" si="53"/>
        <v>0</v>
      </c>
      <c r="M101" s="33">
        <f t="shared" si="54"/>
        <v>0</v>
      </c>
      <c r="N101" s="33">
        <f t="shared" si="40"/>
        <v>0</v>
      </c>
      <c r="O101" s="34">
        <f t="shared" si="41"/>
        <v>0</v>
      </c>
      <c r="P101" s="55">
        <v>96</v>
      </c>
      <c r="Q101" s="33">
        <f t="shared" si="49"/>
        <v>0</v>
      </c>
      <c r="R101" s="33">
        <f t="shared" si="55"/>
        <v>0</v>
      </c>
      <c r="S101" s="33">
        <f t="shared" si="56"/>
        <v>0</v>
      </c>
      <c r="T101" s="33">
        <f t="shared" si="42"/>
        <v>0</v>
      </c>
      <c r="U101" s="33">
        <f t="shared" si="50"/>
        <v>0</v>
      </c>
      <c r="V101" s="33">
        <f t="shared" si="43"/>
        <v>0</v>
      </c>
      <c r="W101" s="33">
        <v>0</v>
      </c>
      <c r="X101" s="33">
        <f t="shared" si="44"/>
        <v>0</v>
      </c>
      <c r="Y101" s="38">
        <f t="shared" si="45"/>
        <v>0</v>
      </c>
      <c r="AA101" s="71">
        <v>96</v>
      </c>
      <c r="AB101" s="33">
        <f t="shared" si="46"/>
        <v>0</v>
      </c>
      <c r="AC101" s="304">
        <f t="shared" si="64"/>
        <v>0</v>
      </c>
      <c r="AD101" s="100">
        <f t="shared" si="47"/>
        <v>0</v>
      </c>
      <c r="AE101" s="100">
        <f t="shared" si="48"/>
        <v>0</v>
      </c>
      <c r="AF101" s="193">
        <f t="shared" si="60"/>
        <v>0</v>
      </c>
      <c r="AG101" s="193">
        <f t="shared" si="61"/>
        <v>0</v>
      </c>
      <c r="AH101" s="193">
        <f t="shared" si="62"/>
        <v>0</v>
      </c>
      <c r="AI101" s="198">
        <f t="shared" si="63"/>
        <v>0</v>
      </c>
      <c r="AK101" s="71">
        <v>96</v>
      </c>
      <c r="AL101" s="33"/>
      <c r="AM101" s="33"/>
      <c r="AN101" s="33"/>
      <c r="AO101" s="33"/>
      <c r="AP101" s="33"/>
      <c r="AQ101" s="193"/>
      <c r="AR101" s="193"/>
      <c r="AS101" s="193"/>
      <c r="AT101" s="193"/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51"/>
        <v>0</v>
      </c>
      <c r="K102" s="33">
        <f t="shared" si="52"/>
        <v>0</v>
      </c>
      <c r="L102" s="33">
        <f t="shared" si="53"/>
        <v>0</v>
      </c>
      <c r="M102" s="33">
        <f t="shared" si="54"/>
        <v>0</v>
      </c>
      <c r="N102" s="33">
        <f t="shared" si="40"/>
        <v>0</v>
      </c>
      <c r="O102" s="34">
        <f t="shared" si="41"/>
        <v>0</v>
      </c>
      <c r="P102" s="55">
        <v>97</v>
      </c>
      <c r="Q102" s="33">
        <f t="shared" si="49"/>
        <v>0</v>
      </c>
      <c r="R102" s="33">
        <f t="shared" si="55"/>
        <v>0</v>
      </c>
      <c r="S102" s="33">
        <f t="shared" si="56"/>
        <v>0</v>
      </c>
      <c r="T102" s="33">
        <f t="shared" si="42"/>
        <v>0</v>
      </c>
      <c r="U102" s="33">
        <f t="shared" si="50"/>
        <v>0</v>
      </c>
      <c r="V102" s="33">
        <f t="shared" si="43"/>
        <v>0</v>
      </c>
      <c r="W102" s="33">
        <v>0</v>
      </c>
      <c r="X102" s="33">
        <f t="shared" si="44"/>
        <v>0</v>
      </c>
      <c r="Y102" s="38">
        <f t="shared" si="45"/>
        <v>0</v>
      </c>
      <c r="AA102" s="71">
        <v>97</v>
      </c>
      <c r="AB102" s="33">
        <f t="shared" si="46"/>
        <v>0</v>
      </c>
      <c r="AC102" s="304">
        <f t="shared" si="64"/>
        <v>0</v>
      </c>
      <c r="AD102" s="100">
        <f t="shared" si="47"/>
        <v>0</v>
      </c>
      <c r="AE102" s="100">
        <f t="shared" si="48"/>
        <v>0</v>
      </c>
      <c r="AF102" s="193">
        <f t="shared" si="60"/>
        <v>0</v>
      </c>
      <c r="AG102" s="193">
        <f t="shared" si="61"/>
        <v>0</v>
      </c>
      <c r="AH102" s="193">
        <f t="shared" si="62"/>
        <v>0</v>
      </c>
      <c r="AI102" s="198">
        <f t="shared" si="63"/>
        <v>0</v>
      </c>
      <c r="AK102" s="71">
        <v>97</v>
      </c>
      <c r="AL102" s="33"/>
      <c r="AM102" s="33"/>
      <c r="AN102" s="33"/>
      <c r="AO102" s="33"/>
      <c r="AP102" s="33"/>
      <c r="AQ102" s="193"/>
      <c r="AR102" s="193"/>
      <c r="AS102" s="193"/>
      <c r="AT102" s="193"/>
      <c r="AU102" s="33"/>
      <c r="AV102" s="33"/>
      <c r="AW102" s="33"/>
      <c r="AX102" s="33"/>
      <c r="AY102" s="76"/>
    </row>
    <row r="103" spans="2:51" ht="16">
      <c r="C103" s="25" t="s">
        <v>157</v>
      </c>
      <c r="D103" s="156" t="s">
        <v>158</v>
      </c>
      <c r="F103" s="189" t="s">
        <v>232</v>
      </c>
      <c r="I103" s="55">
        <v>98</v>
      </c>
      <c r="J103" s="33">
        <f t="shared" si="51"/>
        <v>0</v>
      </c>
      <c r="K103" s="33">
        <f t="shared" si="52"/>
        <v>0</v>
      </c>
      <c r="L103" s="33">
        <f t="shared" si="53"/>
        <v>0</v>
      </c>
      <c r="M103" s="33">
        <f t="shared" si="54"/>
        <v>0</v>
      </c>
      <c r="N103" s="33">
        <f t="shared" si="40"/>
        <v>0</v>
      </c>
      <c r="O103" s="34">
        <f t="shared" si="41"/>
        <v>0</v>
      </c>
      <c r="P103" s="55">
        <v>98</v>
      </c>
      <c r="Q103" s="33">
        <f t="shared" si="49"/>
        <v>0</v>
      </c>
      <c r="R103" s="33">
        <f t="shared" si="55"/>
        <v>0</v>
      </c>
      <c r="S103" s="33">
        <f t="shared" si="56"/>
        <v>0</v>
      </c>
      <c r="T103" s="33">
        <f t="shared" si="42"/>
        <v>0</v>
      </c>
      <c r="U103" s="33">
        <f t="shared" si="50"/>
        <v>0</v>
      </c>
      <c r="V103" s="33">
        <f t="shared" si="43"/>
        <v>0</v>
      </c>
      <c r="W103" s="33">
        <v>0</v>
      </c>
      <c r="X103" s="33">
        <f t="shared" si="44"/>
        <v>0</v>
      </c>
      <c r="Y103" s="38">
        <f t="shared" si="45"/>
        <v>0</v>
      </c>
      <c r="AA103" s="71">
        <v>98</v>
      </c>
      <c r="AB103" s="33">
        <f t="shared" si="46"/>
        <v>0</v>
      </c>
      <c r="AC103" s="304">
        <f t="shared" si="64"/>
        <v>0</v>
      </c>
      <c r="AD103" s="100">
        <f t="shared" si="47"/>
        <v>0</v>
      </c>
      <c r="AE103" s="100">
        <f t="shared" si="48"/>
        <v>0</v>
      </c>
      <c r="AF103" s="193">
        <f t="shared" si="60"/>
        <v>0</v>
      </c>
      <c r="AG103" s="193">
        <f t="shared" si="61"/>
        <v>0</v>
      </c>
      <c r="AH103" s="193">
        <f t="shared" si="62"/>
        <v>0</v>
      </c>
      <c r="AI103" s="198">
        <f t="shared" si="63"/>
        <v>0</v>
      </c>
      <c r="AK103" s="71">
        <v>98</v>
      </c>
      <c r="AL103" s="33"/>
      <c r="AM103" s="33"/>
      <c r="AN103" s="33"/>
      <c r="AO103" s="33"/>
      <c r="AP103" s="33"/>
      <c r="AQ103" s="193"/>
      <c r="AR103" s="193"/>
      <c r="AS103" s="193"/>
      <c r="AT103" s="193"/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188" t="s">
        <v>228</v>
      </c>
      <c r="G104" s="24">
        <v>0.25</v>
      </c>
      <c r="I104" s="55">
        <v>99</v>
      </c>
      <c r="J104" s="33">
        <f t="shared" si="51"/>
        <v>0</v>
      </c>
      <c r="K104" s="33">
        <f t="shared" si="52"/>
        <v>0</v>
      </c>
      <c r="L104" s="33">
        <f t="shared" si="53"/>
        <v>0</v>
      </c>
      <c r="M104" s="33">
        <f t="shared" si="54"/>
        <v>0</v>
      </c>
      <c r="N104" s="33">
        <f t="shared" si="40"/>
        <v>0</v>
      </c>
      <c r="O104" s="34">
        <f t="shared" si="41"/>
        <v>0</v>
      </c>
      <c r="P104" s="55">
        <v>99</v>
      </c>
      <c r="Q104" s="33">
        <f t="shared" si="49"/>
        <v>0</v>
      </c>
      <c r="R104" s="33">
        <f t="shared" si="55"/>
        <v>0</v>
      </c>
      <c r="S104" s="33">
        <f t="shared" si="56"/>
        <v>0</v>
      </c>
      <c r="T104" s="33">
        <f t="shared" si="42"/>
        <v>0</v>
      </c>
      <c r="U104" s="33">
        <f t="shared" si="50"/>
        <v>0</v>
      </c>
      <c r="V104" s="33">
        <f t="shared" si="43"/>
        <v>0</v>
      </c>
      <c r="W104" s="33">
        <v>0</v>
      </c>
      <c r="X104" s="33">
        <f t="shared" si="44"/>
        <v>0</v>
      </c>
      <c r="Y104" s="38">
        <f t="shared" si="45"/>
        <v>0</v>
      </c>
      <c r="AA104" s="71">
        <v>99</v>
      </c>
      <c r="AB104" s="33">
        <f t="shared" si="46"/>
        <v>0</v>
      </c>
      <c r="AC104" s="304">
        <f t="shared" si="64"/>
        <v>0</v>
      </c>
      <c r="AD104" s="100">
        <f t="shared" si="47"/>
        <v>0</v>
      </c>
      <c r="AE104" s="100">
        <f t="shared" si="48"/>
        <v>0</v>
      </c>
      <c r="AF104" s="193">
        <f t="shared" si="60"/>
        <v>0</v>
      </c>
      <c r="AG104" s="193">
        <f t="shared" si="61"/>
        <v>0</v>
      </c>
      <c r="AH104" s="193">
        <f t="shared" si="62"/>
        <v>0</v>
      </c>
      <c r="AI104" s="198">
        <f t="shared" si="63"/>
        <v>0</v>
      </c>
      <c r="AK104" s="71">
        <v>99</v>
      </c>
      <c r="AL104" s="33"/>
      <c r="AM104" s="33"/>
      <c r="AN104" s="33"/>
      <c r="AO104" s="33"/>
      <c r="AP104" s="33"/>
      <c r="AQ104" s="193"/>
      <c r="AR104" s="193"/>
      <c r="AS104" s="193"/>
      <c r="AT104" s="193"/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188" t="s">
        <v>230</v>
      </c>
      <c r="G105" s="24">
        <v>1.03</v>
      </c>
      <c r="I105" s="55">
        <v>100</v>
      </c>
      <c r="J105" s="33">
        <f t="shared" si="51"/>
        <v>0</v>
      </c>
      <c r="K105" s="33">
        <f t="shared" si="52"/>
        <v>0</v>
      </c>
      <c r="L105" s="33">
        <f t="shared" si="53"/>
        <v>0</v>
      </c>
      <c r="M105" s="33">
        <f t="shared" si="54"/>
        <v>0</v>
      </c>
      <c r="N105" s="33">
        <f t="shared" si="40"/>
        <v>0</v>
      </c>
      <c r="O105" s="34">
        <f t="shared" si="41"/>
        <v>0</v>
      </c>
      <c r="P105" s="55">
        <v>100</v>
      </c>
      <c r="Q105" s="33">
        <f t="shared" si="49"/>
        <v>0</v>
      </c>
      <c r="R105" s="33">
        <f t="shared" si="55"/>
        <v>0</v>
      </c>
      <c r="S105" s="33">
        <f t="shared" si="56"/>
        <v>0</v>
      </c>
      <c r="T105" s="33">
        <f t="shared" si="42"/>
        <v>0</v>
      </c>
      <c r="U105" s="33">
        <f t="shared" si="50"/>
        <v>0</v>
      </c>
      <c r="V105" s="33">
        <f t="shared" si="43"/>
        <v>0</v>
      </c>
      <c r="W105" s="33">
        <v>0</v>
      </c>
      <c r="X105" s="33">
        <f t="shared" si="44"/>
        <v>0</v>
      </c>
      <c r="Y105" s="38">
        <f t="shared" si="45"/>
        <v>0</v>
      </c>
      <c r="AA105" s="71">
        <v>100</v>
      </c>
      <c r="AB105" s="33">
        <f t="shared" si="46"/>
        <v>0</v>
      </c>
      <c r="AC105" s="304">
        <f t="shared" si="64"/>
        <v>0</v>
      </c>
      <c r="AD105" s="100">
        <f t="shared" si="47"/>
        <v>0</v>
      </c>
      <c r="AE105" s="100">
        <f t="shared" si="48"/>
        <v>0</v>
      </c>
      <c r="AF105" s="193">
        <f t="shared" si="60"/>
        <v>0</v>
      </c>
      <c r="AG105" s="193">
        <f t="shared" si="61"/>
        <v>0</v>
      </c>
      <c r="AH105" s="193">
        <f t="shared" si="62"/>
        <v>0</v>
      </c>
      <c r="AI105" s="198">
        <f t="shared" si="63"/>
        <v>0</v>
      </c>
      <c r="AK105" s="71">
        <v>100</v>
      </c>
      <c r="AL105" s="33"/>
      <c r="AM105" s="33"/>
      <c r="AN105" s="33"/>
      <c r="AO105" s="33"/>
      <c r="AP105" s="33"/>
      <c r="AQ105" s="193"/>
      <c r="AR105" s="193"/>
      <c r="AS105" s="193"/>
      <c r="AT105" s="193"/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188" t="s">
        <v>231</v>
      </c>
      <c r="G106" s="24">
        <v>0.59</v>
      </c>
      <c r="I106" s="55">
        <v>101</v>
      </c>
      <c r="J106" s="33">
        <f t="shared" si="51"/>
        <v>0</v>
      </c>
      <c r="K106" s="33">
        <f t="shared" si="52"/>
        <v>0</v>
      </c>
      <c r="L106" s="33">
        <f t="shared" si="53"/>
        <v>0</v>
      </c>
      <c r="M106" s="33">
        <f t="shared" si="54"/>
        <v>0</v>
      </c>
      <c r="N106" s="33">
        <f t="shared" si="40"/>
        <v>0</v>
      </c>
      <c r="O106" s="34">
        <f t="shared" si="41"/>
        <v>0</v>
      </c>
      <c r="P106" s="55">
        <v>101</v>
      </c>
      <c r="Q106" s="33">
        <f t="shared" si="49"/>
        <v>0</v>
      </c>
      <c r="R106" s="33">
        <f t="shared" si="55"/>
        <v>0</v>
      </c>
      <c r="S106" s="33">
        <f t="shared" si="56"/>
        <v>0</v>
      </c>
      <c r="T106" s="33">
        <f t="shared" si="42"/>
        <v>0</v>
      </c>
      <c r="U106" s="33">
        <f t="shared" si="50"/>
        <v>0</v>
      </c>
      <c r="V106" s="33">
        <f t="shared" si="43"/>
        <v>0</v>
      </c>
      <c r="W106" s="33">
        <v>0</v>
      </c>
      <c r="X106" s="33">
        <f t="shared" si="44"/>
        <v>0</v>
      </c>
      <c r="Y106" s="38">
        <f t="shared" si="45"/>
        <v>0</v>
      </c>
      <c r="AA106" s="71">
        <v>101</v>
      </c>
      <c r="AB106" s="33">
        <f t="shared" si="46"/>
        <v>0</v>
      </c>
      <c r="AC106" s="304">
        <f t="shared" si="64"/>
        <v>0</v>
      </c>
      <c r="AD106" s="100">
        <f t="shared" si="47"/>
        <v>0</v>
      </c>
      <c r="AE106" s="100">
        <f t="shared" si="48"/>
        <v>0</v>
      </c>
      <c r="AF106" s="193">
        <f t="shared" si="60"/>
        <v>0</v>
      </c>
      <c r="AG106" s="193">
        <f t="shared" si="61"/>
        <v>0</v>
      </c>
      <c r="AH106" s="193">
        <f t="shared" si="62"/>
        <v>0</v>
      </c>
      <c r="AI106" s="198">
        <f t="shared" si="63"/>
        <v>0</v>
      </c>
      <c r="AK106" s="71">
        <v>101</v>
      </c>
      <c r="AL106" s="33"/>
      <c r="AM106" s="33"/>
      <c r="AN106" s="33"/>
      <c r="AO106" s="33"/>
      <c r="AP106" s="33"/>
      <c r="AQ106" s="193"/>
      <c r="AR106" s="193"/>
      <c r="AS106" s="193"/>
      <c r="AT106" s="193"/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88" t="s">
        <v>229</v>
      </c>
      <c r="G107" s="24">
        <v>0.43</v>
      </c>
      <c r="I107" s="55">
        <v>102</v>
      </c>
      <c r="J107" s="33">
        <f t="shared" si="51"/>
        <v>0</v>
      </c>
      <c r="K107" s="33">
        <f t="shared" si="52"/>
        <v>0</v>
      </c>
      <c r="L107" s="33">
        <f t="shared" si="53"/>
        <v>0</v>
      </c>
      <c r="M107" s="33">
        <f t="shared" si="54"/>
        <v>0</v>
      </c>
      <c r="N107" s="33">
        <f t="shared" si="40"/>
        <v>0</v>
      </c>
      <c r="O107" s="34">
        <f t="shared" si="41"/>
        <v>0</v>
      </c>
      <c r="P107" s="55">
        <v>102</v>
      </c>
      <c r="Q107" s="33">
        <f t="shared" si="49"/>
        <v>0</v>
      </c>
      <c r="R107" s="33">
        <f t="shared" si="55"/>
        <v>0</v>
      </c>
      <c r="S107" s="33">
        <f t="shared" si="56"/>
        <v>0</v>
      </c>
      <c r="T107" s="33">
        <f t="shared" si="42"/>
        <v>0</v>
      </c>
      <c r="U107" s="33">
        <f t="shared" si="50"/>
        <v>0</v>
      </c>
      <c r="V107" s="33">
        <f t="shared" si="43"/>
        <v>0</v>
      </c>
      <c r="W107" s="33">
        <v>0</v>
      </c>
      <c r="X107" s="33">
        <f t="shared" si="44"/>
        <v>0</v>
      </c>
      <c r="Y107" s="38">
        <f t="shared" si="45"/>
        <v>0</v>
      </c>
      <c r="AA107" s="71">
        <v>102</v>
      </c>
      <c r="AB107" s="33">
        <f t="shared" si="46"/>
        <v>0</v>
      </c>
      <c r="AC107" s="304">
        <f t="shared" si="64"/>
        <v>0</v>
      </c>
      <c r="AD107" s="100">
        <f t="shared" si="47"/>
        <v>0</v>
      </c>
      <c r="AE107" s="100">
        <f t="shared" si="48"/>
        <v>0</v>
      </c>
      <c r="AF107" s="193">
        <f t="shared" si="60"/>
        <v>0</v>
      </c>
      <c r="AG107" s="193">
        <f t="shared" si="61"/>
        <v>0</v>
      </c>
      <c r="AH107" s="193">
        <f t="shared" si="62"/>
        <v>0</v>
      </c>
      <c r="AI107" s="198">
        <f t="shared" si="63"/>
        <v>0</v>
      </c>
      <c r="AK107" s="71">
        <v>102</v>
      </c>
      <c r="AL107" s="33"/>
      <c r="AM107" s="33"/>
      <c r="AN107" s="33"/>
      <c r="AO107" s="33"/>
      <c r="AP107" s="33"/>
      <c r="AQ107" s="193"/>
      <c r="AR107" s="193"/>
      <c r="AS107" s="193"/>
      <c r="AT107" s="193"/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190" t="s">
        <v>233</v>
      </c>
      <c r="G108" s="191">
        <f>VLOOKUP(VLOOKUP(F17,C131:E195,3,FALSE),F104:G107,2,FALSE)</f>
        <v>0.43</v>
      </c>
      <c r="I108" s="55">
        <v>103</v>
      </c>
      <c r="J108" s="33">
        <f t="shared" si="51"/>
        <v>0</v>
      </c>
      <c r="K108" s="33">
        <f t="shared" si="52"/>
        <v>0</v>
      </c>
      <c r="L108" s="33">
        <f t="shared" si="53"/>
        <v>0</v>
      </c>
      <c r="M108" s="33">
        <f t="shared" si="54"/>
        <v>0</v>
      </c>
      <c r="N108" s="33">
        <f t="shared" si="40"/>
        <v>0</v>
      </c>
      <c r="O108" s="34">
        <f t="shared" si="41"/>
        <v>0</v>
      </c>
      <c r="P108" s="55">
        <v>103</v>
      </c>
      <c r="Q108" s="33">
        <f t="shared" si="49"/>
        <v>0</v>
      </c>
      <c r="R108" s="33">
        <f t="shared" si="55"/>
        <v>0</v>
      </c>
      <c r="S108" s="33">
        <f t="shared" si="56"/>
        <v>0</v>
      </c>
      <c r="T108" s="33">
        <f t="shared" si="42"/>
        <v>0</v>
      </c>
      <c r="U108" s="33">
        <f t="shared" si="50"/>
        <v>0</v>
      </c>
      <c r="V108" s="33">
        <f t="shared" si="43"/>
        <v>0</v>
      </c>
      <c r="W108" s="33">
        <v>0</v>
      </c>
      <c r="X108" s="33">
        <f t="shared" si="44"/>
        <v>0</v>
      </c>
      <c r="Y108" s="38">
        <f t="shared" si="45"/>
        <v>0</v>
      </c>
      <c r="AA108" s="71">
        <v>103</v>
      </c>
      <c r="AB108" s="33">
        <f t="shared" si="46"/>
        <v>0</v>
      </c>
      <c r="AC108" s="304">
        <f t="shared" si="64"/>
        <v>0</v>
      </c>
      <c r="AD108" s="100">
        <f t="shared" si="47"/>
        <v>0</v>
      </c>
      <c r="AE108" s="100">
        <f t="shared" si="48"/>
        <v>0</v>
      </c>
      <c r="AF108" s="193">
        <f t="shared" si="60"/>
        <v>0</v>
      </c>
      <c r="AG108" s="193">
        <f t="shared" si="61"/>
        <v>0</v>
      </c>
      <c r="AH108" s="193">
        <f t="shared" si="62"/>
        <v>0</v>
      </c>
      <c r="AI108" s="198">
        <f t="shared" si="63"/>
        <v>0</v>
      </c>
      <c r="AK108" s="71">
        <v>103</v>
      </c>
      <c r="AL108" s="33"/>
      <c r="AM108" s="33"/>
      <c r="AN108" s="33"/>
      <c r="AO108" s="33"/>
      <c r="AP108" s="33"/>
      <c r="AQ108" s="193"/>
      <c r="AR108" s="193"/>
      <c r="AS108" s="193"/>
      <c r="AT108" s="193"/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51"/>
        <v>0</v>
      </c>
      <c r="K109" s="33">
        <f t="shared" si="52"/>
        <v>0</v>
      </c>
      <c r="L109" s="33">
        <f t="shared" si="53"/>
        <v>0</v>
      </c>
      <c r="M109" s="33">
        <f t="shared" si="54"/>
        <v>0</v>
      </c>
      <c r="N109" s="33">
        <f t="shared" si="40"/>
        <v>0</v>
      </c>
      <c r="O109" s="34">
        <f t="shared" si="41"/>
        <v>0</v>
      </c>
      <c r="P109" s="55">
        <v>104</v>
      </c>
      <c r="Q109" s="33">
        <f t="shared" si="49"/>
        <v>0</v>
      </c>
      <c r="R109" s="33">
        <f t="shared" si="55"/>
        <v>0</v>
      </c>
      <c r="S109" s="33">
        <f t="shared" si="56"/>
        <v>0</v>
      </c>
      <c r="T109" s="33">
        <f t="shared" si="42"/>
        <v>0</v>
      </c>
      <c r="U109" s="33">
        <f t="shared" si="50"/>
        <v>0</v>
      </c>
      <c r="V109" s="33">
        <f t="shared" si="43"/>
        <v>0</v>
      </c>
      <c r="W109" s="33">
        <v>0</v>
      </c>
      <c r="X109" s="33">
        <f t="shared" si="44"/>
        <v>0</v>
      </c>
      <c r="Y109" s="38">
        <f t="shared" si="45"/>
        <v>0</v>
      </c>
      <c r="AA109" s="71">
        <v>104</v>
      </c>
      <c r="AB109" s="33">
        <f t="shared" si="46"/>
        <v>0</v>
      </c>
      <c r="AC109" s="304">
        <f t="shared" si="64"/>
        <v>0</v>
      </c>
      <c r="AD109" s="100">
        <f t="shared" si="47"/>
        <v>0</v>
      </c>
      <c r="AE109" s="100">
        <f t="shared" si="48"/>
        <v>0</v>
      </c>
      <c r="AF109" s="193">
        <f t="shared" si="60"/>
        <v>0</v>
      </c>
      <c r="AG109" s="193">
        <f t="shared" si="61"/>
        <v>0</v>
      </c>
      <c r="AH109" s="193">
        <f t="shared" si="62"/>
        <v>0</v>
      </c>
      <c r="AI109" s="198">
        <f t="shared" si="63"/>
        <v>0</v>
      </c>
      <c r="AK109" s="71">
        <v>104</v>
      </c>
      <c r="AL109" s="33"/>
      <c r="AM109" s="33"/>
      <c r="AN109" s="33"/>
      <c r="AO109" s="33"/>
      <c r="AP109" s="33"/>
      <c r="AQ109" s="193"/>
      <c r="AR109" s="193"/>
      <c r="AS109" s="193"/>
      <c r="AT109" s="193"/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51"/>
        <v>0</v>
      </c>
      <c r="K110" s="33">
        <f t="shared" si="52"/>
        <v>0</v>
      </c>
      <c r="L110" s="33">
        <f t="shared" si="53"/>
        <v>0</v>
      </c>
      <c r="M110" s="33">
        <f t="shared" si="54"/>
        <v>0</v>
      </c>
      <c r="N110" s="33">
        <f t="shared" si="40"/>
        <v>0</v>
      </c>
      <c r="O110" s="34">
        <f t="shared" si="41"/>
        <v>0</v>
      </c>
      <c r="P110" s="55">
        <v>105</v>
      </c>
      <c r="Q110" s="33">
        <f t="shared" si="49"/>
        <v>0</v>
      </c>
      <c r="R110" s="33">
        <f t="shared" si="55"/>
        <v>0</v>
      </c>
      <c r="S110" s="33">
        <f t="shared" si="56"/>
        <v>0</v>
      </c>
      <c r="T110" s="33">
        <f t="shared" si="42"/>
        <v>0</v>
      </c>
      <c r="U110" s="33">
        <f t="shared" si="50"/>
        <v>0</v>
      </c>
      <c r="V110" s="33">
        <f t="shared" si="43"/>
        <v>0</v>
      </c>
      <c r="W110" s="33">
        <v>0</v>
      </c>
      <c r="X110" s="33">
        <f t="shared" si="44"/>
        <v>0</v>
      </c>
      <c r="Y110" s="38">
        <f t="shared" si="45"/>
        <v>0</v>
      </c>
      <c r="AA110" s="71">
        <v>105</v>
      </c>
      <c r="AB110" s="33">
        <f t="shared" si="46"/>
        <v>0</v>
      </c>
      <c r="AC110" s="304">
        <f t="shared" si="64"/>
        <v>0</v>
      </c>
      <c r="AD110" s="100">
        <f t="shared" si="47"/>
        <v>0</v>
      </c>
      <c r="AE110" s="100">
        <f t="shared" si="48"/>
        <v>0</v>
      </c>
      <c r="AF110" s="193">
        <f t="shared" si="60"/>
        <v>0</v>
      </c>
      <c r="AG110" s="193">
        <f t="shared" si="61"/>
        <v>0</v>
      </c>
      <c r="AH110" s="193">
        <f t="shared" si="62"/>
        <v>0</v>
      </c>
      <c r="AI110" s="198">
        <f t="shared" si="63"/>
        <v>0</v>
      </c>
      <c r="AK110" s="71">
        <v>105</v>
      </c>
      <c r="AL110" s="33"/>
      <c r="AM110" s="33"/>
      <c r="AN110" s="33"/>
      <c r="AO110" s="33"/>
      <c r="AP110" s="33"/>
      <c r="AQ110" s="193"/>
      <c r="AR110" s="193"/>
      <c r="AS110" s="193"/>
      <c r="AT110" s="193"/>
      <c r="AU110" s="33"/>
      <c r="AV110" s="33"/>
      <c r="AW110" s="33"/>
      <c r="AX110" s="33"/>
      <c r="AY110" s="76"/>
    </row>
    <row r="111" spans="2:51">
      <c r="C111" s="156" t="s">
        <v>169</v>
      </c>
      <c r="D111" s="156"/>
      <c r="E111" s="156"/>
      <c r="I111" s="55">
        <v>106</v>
      </c>
      <c r="J111" s="33">
        <f t="shared" si="51"/>
        <v>0</v>
      </c>
      <c r="K111" s="33">
        <f t="shared" si="52"/>
        <v>0</v>
      </c>
      <c r="L111" s="33">
        <f t="shared" si="53"/>
        <v>0</v>
      </c>
      <c r="M111" s="33">
        <f t="shared" si="54"/>
        <v>0</v>
      </c>
      <c r="N111" s="33">
        <f t="shared" si="40"/>
        <v>0</v>
      </c>
      <c r="O111" s="34">
        <f t="shared" si="41"/>
        <v>0</v>
      </c>
      <c r="P111" s="55">
        <v>106</v>
      </c>
      <c r="Q111" s="33">
        <f t="shared" si="49"/>
        <v>0</v>
      </c>
      <c r="R111" s="33">
        <f t="shared" si="55"/>
        <v>0</v>
      </c>
      <c r="S111" s="33">
        <f t="shared" si="56"/>
        <v>0</v>
      </c>
      <c r="T111" s="33">
        <f t="shared" si="42"/>
        <v>0</v>
      </c>
      <c r="U111" s="33">
        <f t="shared" si="50"/>
        <v>0</v>
      </c>
      <c r="V111" s="33">
        <f t="shared" si="43"/>
        <v>0</v>
      </c>
      <c r="W111" s="33">
        <v>0</v>
      </c>
      <c r="X111" s="33">
        <f t="shared" si="44"/>
        <v>0</v>
      </c>
      <c r="Y111" s="38">
        <f t="shared" si="45"/>
        <v>0</v>
      </c>
      <c r="AA111" s="71">
        <v>106</v>
      </c>
      <c r="AB111" s="33">
        <f t="shared" si="46"/>
        <v>0</v>
      </c>
      <c r="AC111" s="304">
        <f t="shared" si="64"/>
        <v>0</v>
      </c>
      <c r="AD111" s="100">
        <f t="shared" si="47"/>
        <v>0</v>
      </c>
      <c r="AE111" s="100">
        <f t="shared" si="48"/>
        <v>0</v>
      </c>
      <c r="AF111" s="193">
        <f t="shared" si="60"/>
        <v>0</v>
      </c>
      <c r="AG111" s="193">
        <f t="shared" si="61"/>
        <v>0</v>
      </c>
      <c r="AH111" s="193">
        <f t="shared" si="62"/>
        <v>0</v>
      </c>
      <c r="AI111" s="198">
        <f t="shared" si="63"/>
        <v>0</v>
      </c>
      <c r="AK111" s="71">
        <v>106</v>
      </c>
      <c r="AL111" s="33"/>
      <c r="AM111" s="33"/>
      <c r="AN111" s="33"/>
      <c r="AO111" s="33"/>
      <c r="AP111" s="33"/>
      <c r="AQ111" s="193"/>
      <c r="AR111" s="193"/>
      <c r="AS111" s="193"/>
      <c r="AT111" s="193"/>
      <c r="AU111" s="33"/>
      <c r="AV111" s="33"/>
      <c r="AW111" s="33"/>
      <c r="AX111" s="33"/>
      <c r="AY111" s="76"/>
    </row>
    <row r="112" spans="2:51">
      <c r="C112" s="74" t="s">
        <v>145</v>
      </c>
      <c r="D112" s="74" t="s">
        <v>72</v>
      </c>
      <c r="E112" s="74" t="s">
        <v>166</v>
      </c>
      <c r="I112" s="55">
        <v>107</v>
      </c>
      <c r="J112" s="33">
        <f t="shared" si="51"/>
        <v>0</v>
      </c>
      <c r="K112" s="33">
        <f t="shared" si="52"/>
        <v>0</v>
      </c>
      <c r="L112" s="33">
        <f t="shared" si="53"/>
        <v>0</v>
      </c>
      <c r="M112" s="33">
        <f t="shared" si="54"/>
        <v>0</v>
      </c>
      <c r="N112" s="33">
        <f t="shared" si="40"/>
        <v>0</v>
      </c>
      <c r="O112" s="34">
        <f t="shared" si="41"/>
        <v>0</v>
      </c>
      <c r="P112" s="55">
        <v>107</v>
      </c>
      <c r="Q112" s="33">
        <f t="shared" si="49"/>
        <v>0</v>
      </c>
      <c r="R112" s="33">
        <f t="shared" si="55"/>
        <v>0</v>
      </c>
      <c r="S112" s="33">
        <f t="shared" si="56"/>
        <v>0</v>
      </c>
      <c r="T112" s="33">
        <f t="shared" si="42"/>
        <v>0</v>
      </c>
      <c r="U112" s="33">
        <f t="shared" si="50"/>
        <v>0</v>
      </c>
      <c r="V112" s="33">
        <f t="shared" si="43"/>
        <v>0</v>
      </c>
      <c r="W112" s="33">
        <v>0</v>
      </c>
      <c r="X112" s="33">
        <f t="shared" si="44"/>
        <v>0</v>
      </c>
      <c r="Y112" s="38">
        <f t="shared" si="45"/>
        <v>0</v>
      </c>
      <c r="AA112" s="71">
        <v>107</v>
      </c>
      <c r="AB112" s="33">
        <f t="shared" si="46"/>
        <v>0</v>
      </c>
      <c r="AC112" s="304">
        <f t="shared" si="64"/>
        <v>0</v>
      </c>
      <c r="AD112" s="100">
        <f t="shared" si="47"/>
        <v>0</v>
      </c>
      <c r="AE112" s="100">
        <f t="shared" si="48"/>
        <v>0</v>
      </c>
      <c r="AF112" s="193">
        <f t="shared" si="60"/>
        <v>0</v>
      </c>
      <c r="AG112" s="193">
        <f t="shared" si="61"/>
        <v>0</v>
      </c>
      <c r="AH112" s="193">
        <f t="shared" si="62"/>
        <v>0</v>
      </c>
      <c r="AI112" s="198">
        <f t="shared" si="63"/>
        <v>0</v>
      </c>
      <c r="AK112" s="71">
        <v>107</v>
      </c>
      <c r="AL112" s="33"/>
      <c r="AM112" s="33"/>
      <c r="AN112" s="33"/>
      <c r="AO112" s="33"/>
      <c r="AP112" s="33"/>
      <c r="AQ112" s="193"/>
      <c r="AR112" s="193"/>
      <c r="AS112" s="193"/>
      <c r="AT112" s="193"/>
      <c r="AU112" s="33"/>
      <c r="AV112" s="33"/>
      <c r="AW112" s="33"/>
      <c r="AX112" s="33"/>
      <c r="AY112" s="76"/>
    </row>
    <row r="113" spans="2:51">
      <c r="B113" s="67" t="s">
        <v>167</v>
      </c>
      <c r="C113" s="79">
        <f>1/$F$18*SUM(X6:X205)</f>
        <v>732.22410453410862</v>
      </c>
      <c r="D113" s="79">
        <f>1/$F$10*SUM(O6:O205)</f>
        <v>317.21666452353406</v>
      </c>
      <c r="E113" s="78">
        <f>C113-D113</f>
        <v>415.00744001057456</v>
      </c>
      <c r="I113" s="55">
        <v>108</v>
      </c>
      <c r="J113" s="33">
        <f t="shared" si="51"/>
        <v>0</v>
      </c>
      <c r="K113" s="33">
        <f t="shared" si="52"/>
        <v>0</v>
      </c>
      <c r="L113" s="33">
        <f t="shared" si="53"/>
        <v>0</v>
      </c>
      <c r="M113" s="33">
        <f t="shared" si="54"/>
        <v>0</v>
      </c>
      <c r="N113" s="33">
        <f t="shared" si="40"/>
        <v>0</v>
      </c>
      <c r="O113" s="34">
        <f t="shared" si="41"/>
        <v>0</v>
      </c>
      <c r="P113" s="55">
        <v>108</v>
      </c>
      <c r="Q113" s="33">
        <f t="shared" si="49"/>
        <v>0</v>
      </c>
      <c r="R113" s="33">
        <f t="shared" si="55"/>
        <v>0</v>
      </c>
      <c r="S113" s="33">
        <f t="shared" si="56"/>
        <v>0</v>
      </c>
      <c r="T113" s="33">
        <f t="shared" si="42"/>
        <v>0</v>
      </c>
      <c r="U113" s="33">
        <f t="shared" si="50"/>
        <v>0</v>
      </c>
      <c r="V113" s="33">
        <f t="shared" si="43"/>
        <v>0</v>
      </c>
      <c r="W113" s="33">
        <v>0</v>
      </c>
      <c r="X113" s="33">
        <f t="shared" si="44"/>
        <v>0</v>
      </c>
      <c r="Y113" s="38">
        <f t="shared" si="45"/>
        <v>0</v>
      </c>
      <c r="AA113" s="71">
        <v>108</v>
      </c>
      <c r="AB113" s="33">
        <f t="shared" si="46"/>
        <v>0</v>
      </c>
      <c r="AC113" s="304">
        <f t="shared" si="64"/>
        <v>0</v>
      </c>
      <c r="AD113" s="100">
        <f t="shared" si="47"/>
        <v>0</v>
      </c>
      <c r="AE113" s="100">
        <f t="shared" si="48"/>
        <v>0</v>
      </c>
      <c r="AF113" s="193">
        <f t="shared" si="60"/>
        <v>0</v>
      </c>
      <c r="AG113" s="193">
        <f t="shared" si="61"/>
        <v>0</v>
      </c>
      <c r="AH113" s="193">
        <f t="shared" si="62"/>
        <v>0</v>
      </c>
      <c r="AI113" s="198">
        <f t="shared" si="63"/>
        <v>0</v>
      </c>
      <c r="AK113" s="71">
        <v>108</v>
      </c>
      <c r="AL113" s="33"/>
      <c r="AM113" s="33"/>
      <c r="AN113" s="33"/>
      <c r="AO113" s="33"/>
      <c r="AP113" s="33"/>
      <c r="AQ113" s="193"/>
      <c r="AR113" s="193"/>
      <c r="AS113" s="193"/>
      <c r="AT113" s="193"/>
      <c r="AU113" s="33"/>
      <c r="AV113" s="33"/>
      <c r="AW113" s="33"/>
      <c r="AX113" s="33"/>
      <c r="AY113" s="76"/>
    </row>
    <row r="114" spans="2:51">
      <c r="B114" s="67" t="s">
        <v>168</v>
      </c>
      <c r="C114" s="79">
        <f>X35</f>
        <v>663.27557070880096</v>
      </c>
      <c r="D114" s="79">
        <f>O35</f>
        <v>308.87301463228226</v>
      </c>
      <c r="E114" s="78">
        <f>VLOOKUP(30,I5:Y205,17,FALSE)</f>
        <v>354.40255607651869</v>
      </c>
      <c r="I114" s="55">
        <v>109</v>
      </c>
      <c r="J114" s="33">
        <f t="shared" si="51"/>
        <v>0</v>
      </c>
      <c r="K114" s="33">
        <f t="shared" si="52"/>
        <v>0</v>
      </c>
      <c r="L114" s="33">
        <f t="shared" si="53"/>
        <v>0</v>
      </c>
      <c r="M114" s="33">
        <f t="shared" si="54"/>
        <v>0</v>
      </c>
      <c r="N114" s="33">
        <f t="shared" si="40"/>
        <v>0</v>
      </c>
      <c r="O114" s="34">
        <f t="shared" si="41"/>
        <v>0</v>
      </c>
      <c r="P114" s="55">
        <v>109</v>
      </c>
      <c r="Q114" s="33">
        <f t="shared" si="49"/>
        <v>0</v>
      </c>
      <c r="R114" s="33">
        <f t="shared" si="55"/>
        <v>0</v>
      </c>
      <c r="S114" s="33">
        <f t="shared" si="56"/>
        <v>0</v>
      </c>
      <c r="T114" s="33">
        <f t="shared" si="42"/>
        <v>0</v>
      </c>
      <c r="U114" s="33">
        <f t="shared" si="50"/>
        <v>0</v>
      </c>
      <c r="V114" s="33">
        <f t="shared" si="43"/>
        <v>0</v>
      </c>
      <c r="W114" s="33">
        <v>0</v>
      </c>
      <c r="X114" s="33">
        <f t="shared" si="44"/>
        <v>0</v>
      </c>
      <c r="Y114" s="38">
        <f t="shared" si="45"/>
        <v>0</v>
      </c>
      <c r="AA114" s="71">
        <v>109</v>
      </c>
      <c r="AB114" s="33">
        <f t="shared" si="46"/>
        <v>0</v>
      </c>
      <c r="AC114" s="304">
        <f t="shared" si="64"/>
        <v>0</v>
      </c>
      <c r="AD114" s="100">
        <f t="shared" si="47"/>
        <v>0</v>
      </c>
      <c r="AE114" s="100">
        <f t="shared" si="48"/>
        <v>0</v>
      </c>
      <c r="AF114" s="193">
        <f t="shared" si="60"/>
        <v>0</v>
      </c>
      <c r="AG114" s="193">
        <f t="shared" si="61"/>
        <v>0</v>
      </c>
      <c r="AH114" s="193">
        <f t="shared" si="62"/>
        <v>0</v>
      </c>
      <c r="AI114" s="198">
        <f t="shared" si="63"/>
        <v>0</v>
      </c>
      <c r="AK114" s="71">
        <v>109</v>
      </c>
      <c r="AL114" s="33"/>
      <c r="AM114" s="33"/>
      <c r="AN114" s="33"/>
      <c r="AO114" s="33"/>
      <c r="AP114" s="33"/>
      <c r="AQ114" s="193"/>
      <c r="AR114" s="193"/>
      <c r="AS114" s="193"/>
      <c r="AT114" s="193"/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51"/>
        <v>0</v>
      </c>
      <c r="K115" s="33">
        <f t="shared" si="52"/>
        <v>0</v>
      </c>
      <c r="L115" s="33">
        <f t="shared" si="53"/>
        <v>0</v>
      </c>
      <c r="M115" s="33">
        <f t="shared" si="54"/>
        <v>0</v>
      </c>
      <c r="N115" s="33">
        <f t="shared" si="40"/>
        <v>0</v>
      </c>
      <c r="O115" s="34">
        <f t="shared" si="41"/>
        <v>0</v>
      </c>
      <c r="P115" s="55">
        <v>110</v>
      </c>
      <c r="Q115" s="33">
        <f t="shared" si="49"/>
        <v>0</v>
      </c>
      <c r="R115" s="33">
        <f t="shared" si="55"/>
        <v>0</v>
      </c>
      <c r="S115" s="33">
        <f t="shared" si="56"/>
        <v>0</v>
      </c>
      <c r="T115" s="33">
        <f t="shared" si="42"/>
        <v>0</v>
      </c>
      <c r="U115" s="33">
        <f t="shared" si="50"/>
        <v>0</v>
      </c>
      <c r="V115" s="33">
        <f t="shared" si="43"/>
        <v>0</v>
      </c>
      <c r="W115" s="33">
        <v>0</v>
      </c>
      <c r="X115" s="33">
        <f t="shared" si="44"/>
        <v>0</v>
      </c>
      <c r="Y115" s="38">
        <f t="shared" si="45"/>
        <v>0</v>
      </c>
      <c r="AA115" s="71">
        <v>110</v>
      </c>
      <c r="AB115" s="33">
        <f t="shared" si="46"/>
        <v>0</v>
      </c>
      <c r="AC115" s="304">
        <f t="shared" si="64"/>
        <v>0</v>
      </c>
      <c r="AD115" s="100">
        <f t="shared" si="47"/>
        <v>0</v>
      </c>
      <c r="AE115" s="100">
        <f t="shared" si="48"/>
        <v>0</v>
      </c>
      <c r="AF115" s="193">
        <f t="shared" si="60"/>
        <v>0</v>
      </c>
      <c r="AG115" s="193">
        <f t="shared" si="61"/>
        <v>0</v>
      </c>
      <c r="AH115" s="193">
        <f t="shared" si="62"/>
        <v>0</v>
      </c>
      <c r="AI115" s="198">
        <f t="shared" si="63"/>
        <v>0</v>
      </c>
      <c r="AK115" s="71">
        <v>110</v>
      </c>
      <c r="AL115" s="33"/>
      <c r="AM115" s="33"/>
      <c r="AN115" s="33"/>
      <c r="AO115" s="33"/>
      <c r="AP115" s="33"/>
      <c r="AQ115" s="193"/>
      <c r="AR115" s="193"/>
      <c r="AS115" s="193"/>
      <c r="AT115" s="193"/>
      <c r="AU115" s="33"/>
      <c r="AV115" s="33"/>
      <c r="AW115" s="33"/>
      <c r="AX115" s="33"/>
      <c r="AY115" s="76"/>
    </row>
    <row r="116" spans="2:51">
      <c r="C116" s="134" t="s">
        <v>125</v>
      </c>
      <c r="D116" s="134"/>
      <c r="E116" s="134"/>
      <c r="I116" s="55">
        <v>111</v>
      </c>
      <c r="J116" s="33">
        <f t="shared" si="51"/>
        <v>0</v>
      </c>
      <c r="K116" s="33">
        <f t="shared" si="52"/>
        <v>0</v>
      </c>
      <c r="L116" s="33">
        <f t="shared" si="53"/>
        <v>0</v>
      </c>
      <c r="M116" s="33">
        <f t="shared" si="54"/>
        <v>0</v>
      </c>
      <c r="N116" s="33">
        <f t="shared" si="40"/>
        <v>0</v>
      </c>
      <c r="O116" s="34">
        <f t="shared" si="41"/>
        <v>0</v>
      </c>
      <c r="P116" s="55">
        <v>111</v>
      </c>
      <c r="Q116" s="33">
        <f t="shared" si="49"/>
        <v>0</v>
      </c>
      <c r="R116" s="33">
        <f t="shared" si="55"/>
        <v>0</v>
      </c>
      <c r="S116" s="33">
        <f t="shared" si="56"/>
        <v>0</v>
      </c>
      <c r="T116" s="33">
        <f t="shared" si="42"/>
        <v>0</v>
      </c>
      <c r="U116" s="33">
        <f t="shared" si="50"/>
        <v>0</v>
      </c>
      <c r="V116" s="33">
        <f t="shared" si="43"/>
        <v>0</v>
      </c>
      <c r="W116" s="33">
        <v>0</v>
      </c>
      <c r="X116" s="33">
        <f t="shared" si="44"/>
        <v>0</v>
      </c>
      <c r="Y116" s="38">
        <f t="shared" si="45"/>
        <v>0</v>
      </c>
      <c r="AA116" s="71">
        <v>111</v>
      </c>
      <c r="AB116" s="33">
        <f t="shared" si="46"/>
        <v>0</v>
      </c>
      <c r="AC116" s="304">
        <f t="shared" si="64"/>
        <v>0</v>
      </c>
      <c r="AD116" s="100">
        <f t="shared" si="47"/>
        <v>0</v>
      </c>
      <c r="AE116" s="100">
        <f t="shared" si="48"/>
        <v>0</v>
      </c>
      <c r="AF116" s="193">
        <f t="shared" si="60"/>
        <v>0</v>
      </c>
      <c r="AG116" s="193">
        <f t="shared" si="61"/>
        <v>0</v>
      </c>
      <c r="AH116" s="193">
        <f t="shared" si="62"/>
        <v>0</v>
      </c>
      <c r="AI116" s="198">
        <f t="shared" si="63"/>
        <v>0</v>
      </c>
      <c r="AK116" s="71">
        <v>111</v>
      </c>
      <c r="AL116" s="33"/>
      <c r="AM116" s="33"/>
      <c r="AN116" s="33"/>
      <c r="AO116" s="33"/>
      <c r="AP116" s="33"/>
      <c r="AQ116" s="193"/>
      <c r="AR116" s="193"/>
      <c r="AS116" s="193"/>
      <c r="AT116" s="193"/>
      <c r="AU116" s="33"/>
      <c r="AV116" s="33"/>
      <c r="AW116" s="33"/>
      <c r="AX116" s="33"/>
      <c r="AY116" s="76"/>
    </row>
    <row r="117" spans="2:51">
      <c r="C117" s="134" t="s">
        <v>145</v>
      </c>
      <c r="D117" s="134" t="s">
        <v>72</v>
      </c>
      <c r="E117" s="81" t="s">
        <v>166</v>
      </c>
      <c r="I117" s="55">
        <v>112</v>
      </c>
      <c r="J117" s="33">
        <f t="shared" si="51"/>
        <v>0</v>
      </c>
      <c r="K117" s="33">
        <f t="shared" si="52"/>
        <v>0</v>
      </c>
      <c r="L117" s="33">
        <f t="shared" si="53"/>
        <v>0</v>
      </c>
      <c r="M117" s="33">
        <f t="shared" si="54"/>
        <v>0</v>
      </c>
      <c r="N117" s="33">
        <f t="shared" si="40"/>
        <v>0</v>
      </c>
      <c r="O117" s="34">
        <f t="shared" si="41"/>
        <v>0</v>
      </c>
      <c r="P117" s="55">
        <v>112</v>
      </c>
      <c r="Q117" s="33">
        <f t="shared" si="49"/>
        <v>0</v>
      </c>
      <c r="R117" s="33">
        <f t="shared" si="55"/>
        <v>0</v>
      </c>
      <c r="S117" s="33">
        <f t="shared" si="56"/>
        <v>0</v>
      </c>
      <c r="T117" s="33">
        <f t="shared" si="42"/>
        <v>0</v>
      </c>
      <c r="U117" s="33">
        <f t="shared" si="50"/>
        <v>0</v>
      </c>
      <c r="V117" s="33">
        <f t="shared" si="43"/>
        <v>0</v>
      </c>
      <c r="W117" s="33">
        <v>0</v>
      </c>
      <c r="X117" s="33">
        <f t="shared" si="44"/>
        <v>0</v>
      </c>
      <c r="Y117" s="38">
        <f t="shared" si="45"/>
        <v>0</v>
      </c>
      <c r="AA117" s="71">
        <v>112</v>
      </c>
      <c r="AB117" s="33">
        <f t="shared" si="46"/>
        <v>0</v>
      </c>
      <c r="AC117" s="304">
        <f t="shared" si="64"/>
        <v>0</v>
      </c>
      <c r="AD117" s="100">
        <f t="shared" si="47"/>
        <v>0</v>
      </c>
      <c r="AE117" s="100">
        <f t="shared" si="48"/>
        <v>0</v>
      </c>
      <c r="AF117" s="193">
        <f t="shared" si="60"/>
        <v>0</v>
      </c>
      <c r="AG117" s="193">
        <f t="shared" si="61"/>
        <v>0</v>
      </c>
      <c r="AH117" s="193">
        <f t="shared" si="62"/>
        <v>0</v>
      </c>
      <c r="AI117" s="198">
        <f t="shared" si="63"/>
        <v>0</v>
      </c>
      <c r="AK117" s="71">
        <v>112</v>
      </c>
      <c r="AL117" s="33"/>
      <c r="AM117" s="33"/>
      <c r="AN117" s="33"/>
      <c r="AO117" s="33"/>
      <c r="AP117" s="33"/>
      <c r="AQ117" s="193"/>
      <c r="AR117" s="193"/>
      <c r="AS117" s="193"/>
      <c r="AT117" s="193"/>
      <c r="AU117" s="33"/>
      <c r="AV117" s="33"/>
      <c r="AW117" s="33"/>
      <c r="AX117" s="33"/>
      <c r="AY117" s="76"/>
    </row>
    <row r="118" spans="2:51">
      <c r="B118" s="67" t="s">
        <v>261</v>
      </c>
      <c r="C118" s="302">
        <f>1/30*SUM(AI6:AI35)</f>
        <v>9.1623475082197086</v>
      </c>
      <c r="D118" s="79">
        <v>0</v>
      </c>
      <c r="E118" s="78">
        <f>C118-D118</f>
        <v>9.1623475082197086</v>
      </c>
      <c r="I118" s="55">
        <v>113</v>
      </c>
      <c r="J118" s="33">
        <f t="shared" si="51"/>
        <v>0</v>
      </c>
      <c r="K118" s="33">
        <f t="shared" si="52"/>
        <v>0</v>
      </c>
      <c r="L118" s="33">
        <f t="shared" si="53"/>
        <v>0</v>
      </c>
      <c r="M118" s="33">
        <f t="shared" si="54"/>
        <v>0</v>
      </c>
      <c r="N118" s="33">
        <f t="shared" si="40"/>
        <v>0</v>
      </c>
      <c r="O118" s="34">
        <f t="shared" si="41"/>
        <v>0</v>
      </c>
      <c r="P118" s="55">
        <v>113</v>
      </c>
      <c r="Q118" s="33">
        <f t="shared" si="49"/>
        <v>0</v>
      </c>
      <c r="R118" s="33">
        <f t="shared" si="55"/>
        <v>0</v>
      </c>
      <c r="S118" s="33">
        <f t="shared" si="56"/>
        <v>0</v>
      </c>
      <c r="T118" s="33">
        <f t="shared" si="42"/>
        <v>0</v>
      </c>
      <c r="U118" s="33">
        <f t="shared" si="50"/>
        <v>0</v>
      </c>
      <c r="V118" s="33">
        <f t="shared" si="43"/>
        <v>0</v>
      </c>
      <c r="W118" s="33">
        <v>0</v>
      </c>
      <c r="X118" s="33">
        <f t="shared" si="44"/>
        <v>0</v>
      </c>
      <c r="Y118" s="38">
        <f t="shared" si="45"/>
        <v>0</v>
      </c>
      <c r="AA118" s="71">
        <v>113</v>
      </c>
      <c r="AB118" s="33">
        <f t="shared" si="46"/>
        <v>0</v>
      </c>
      <c r="AC118" s="304">
        <f t="shared" si="64"/>
        <v>0</v>
      </c>
      <c r="AD118" s="100">
        <f t="shared" si="47"/>
        <v>0</v>
      </c>
      <c r="AE118" s="100">
        <f t="shared" si="48"/>
        <v>0</v>
      </c>
      <c r="AF118" s="193">
        <f t="shared" si="60"/>
        <v>0</v>
      </c>
      <c r="AG118" s="193">
        <f t="shared" si="61"/>
        <v>0</v>
      </c>
      <c r="AH118" s="193">
        <f t="shared" si="62"/>
        <v>0</v>
      </c>
      <c r="AI118" s="198">
        <f t="shared" si="63"/>
        <v>0</v>
      </c>
      <c r="AK118" s="71">
        <v>113</v>
      </c>
      <c r="AL118" s="33"/>
      <c r="AM118" s="33"/>
      <c r="AN118" s="33"/>
      <c r="AO118" s="33"/>
      <c r="AP118" s="33"/>
      <c r="AQ118" s="193"/>
      <c r="AR118" s="193"/>
      <c r="AS118" s="193"/>
      <c r="AT118" s="193"/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51"/>
        <v>0</v>
      </c>
      <c r="K119" s="33">
        <f t="shared" si="52"/>
        <v>0</v>
      </c>
      <c r="L119" s="33">
        <f t="shared" si="53"/>
        <v>0</v>
      </c>
      <c r="M119" s="33">
        <f t="shared" si="54"/>
        <v>0</v>
      </c>
      <c r="N119" s="33">
        <f t="shared" si="40"/>
        <v>0</v>
      </c>
      <c r="O119" s="34">
        <f t="shared" si="41"/>
        <v>0</v>
      </c>
      <c r="P119" s="55">
        <v>114</v>
      </c>
      <c r="Q119" s="33">
        <f t="shared" si="49"/>
        <v>0</v>
      </c>
      <c r="R119" s="33">
        <f t="shared" si="55"/>
        <v>0</v>
      </c>
      <c r="S119" s="33">
        <f t="shared" si="56"/>
        <v>0</v>
      </c>
      <c r="T119" s="33">
        <f t="shared" si="42"/>
        <v>0</v>
      </c>
      <c r="U119" s="33">
        <f t="shared" si="50"/>
        <v>0</v>
      </c>
      <c r="V119" s="33">
        <f t="shared" si="43"/>
        <v>0</v>
      </c>
      <c r="W119" s="33">
        <v>0</v>
      </c>
      <c r="X119" s="33">
        <f t="shared" si="44"/>
        <v>0</v>
      </c>
      <c r="Y119" s="38">
        <f t="shared" si="45"/>
        <v>0</v>
      </c>
      <c r="AA119" s="71">
        <v>114</v>
      </c>
      <c r="AB119" s="33">
        <f t="shared" si="46"/>
        <v>0</v>
      </c>
      <c r="AC119" s="304">
        <f t="shared" si="64"/>
        <v>0</v>
      </c>
      <c r="AD119" s="100">
        <f t="shared" si="47"/>
        <v>0</v>
      </c>
      <c r="AE119" s="100">
        <f t="shared" si="48"/>
        <v>0</v>
      </c>
      <c r="AF119" s="193">
        <f t="shared" si="60"/>
        <v>0</v>
      </c>
      <c r="AG119" s="193">
        <f t="shared" si="61"/>
        <v>0</v>
      </c>
      <c r="AH119" s="193">
        <f t="shared" si="62"/>
        <v>0</v>
      </c>
      <c r="AI119" s="198">
        <f t="shared" si="63"/>
        <v>0</v>
      </c>
      <c r="AK119" s="71">
        <v>114</v>
      </c>
      <c r="AL119" s="33"/>
      <c r="AM119" s="33"/>
      <c r="AN119" s="33"/>
      <c r="AO119" s="33"/>
      <c r="AP119" s="33"/>
      <c r="AQ119" s="193"/>
      <c r="AR119" s="193"/>
      <c r="AS119" s="193"/>
      <c r="AT119" s="193"/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51"/>
        <v>0</v>
      </c>
      <c r="K120" s="33">
        <f t="shared" si="52"/>
        <v>0</v>
      </c>
      <c r="L120" s="33">
        <f t="shared" si="53"/>
        <v>0</v>
      </c>
      <c r="M120" s="33">
        <f t="shared" si="54"/>
        <v>0</v>
      </c>
      <c r="N120" s="33">
        <f t="shared" si="40"/>
        <v>0</v>
      </c>
      <c r="O120" s="34">
        <f t="shared" si="41"/>
        <v>0</v>
      </c>
      <c r="P120" s="55">
        <v>115</v>
      </c>
      <c r="Q120" s="33">
        <f t="shared" si="49"/>
        <v>0</v>
      </c>
      <c r="R120" s="33">
        <f t="shared" si="55"/>
        <v>0</v>
      </c>
      <c r="S120" s="33">
        <f t="shared" si="56"/>
        <v>0</v>
      </c>
      <c r="T120" s="33">
        <f t="shared" si="42"/>
        <v>0</v>
      </c>
      <c r="U120" s="33">
        <f t="shared" si="50"/>
        <v>0</v>
      </c>
      <c r="V120" s="33">
        <f t="shared" si="43"/>
        <v>0</v>
      </c>
      <c r="W120" s="33">
        <v>0</v>
      </c>
      <c r="X120" s="33">
        <f t="shared" si="44"/>
        <v>0</v>
      </c>
      <c r="Y120" s="38">
        <f t="shared" si="45"/>
        <v>0</v>
      </c>
      <c r="AA120" s="71">
        <v>115</v>
      </c>
      <c r="AB120" s="33">
        <f t="shared" si="46"/>
        <v>0</v>
      </c>
      <c r="AC120" s="304">
        <f t="shared" si="64"/>
        <v>0</v>
      </c>
      <c r="AD120" s="100">
        <f t="shared" si="47"/>
        <v>0</v>
      </c>
      <c r="AE120" s="100">
        <f t="shared" si="48"/>
        <v>0</v>
      </c>
      <c r="AF120" s="193">
        <f t="shared" si="60"/>
        <v>0</v>
      </c>
      <c r="AG120" s="193">
        <f t="shared" si="61"/>
        <v>0</v>
      </c>
      <c r="AH120" s="193">
        <f t="shared" si="62"/>
        <v>0</v>
      </c>
      <c r="AI120" s="198">
        <f t="shared" si="63"/>
        <v>0</v>
      </c>
      <c r="AK120" s="71">
        <v>115</v>
      </c>
      <c r="AL120" s="33"/>
      <c r="AM120" s="33"/>
      <c r="AN120" s="33"/>
      <c r="AO120" s="33"/>
      <c r="AP120" s="33"/>
      <c r="AQ120" s="193"/>
      <c r="AR120" s="193"/>
      <c r="AS120" s="193"/>
      <c r="AT120" s="193"/>
      <c r="AU120" s="33"/>
      <c r="AV120" s="33"/>
      <c r="AW120" s="33"/>
      <c r="AX120" s="33"/>
      <c r="AY120" s="76"/>
    </row>
    <row r="121" spans="2:51">
      <c r="C121" s="134" t="s">
        <v>160</v>
      </c>
      <c r="D121" s="134"/>
      <c r="E121" s="134"/>
      <c r="I121" s="55">
        <v>116</v>
      </c>
      <c r="J121" s="33">
        <f t="shared" si="51"/>
        <v>0</v>
      </c>
      <c r="K121" s="33">
        <f t="shared" si="52"/>
        <v>0</v>
      </c>
      <c r="L121" s="33">
        <f t="shared" si="53"/>
        <v>0</v>
      </c>
      <c r="M121" s="33">
        <f t="shared" si="54"/>
        <v>0</v>
      </c>
      <c r="N121" s="33">
        <f t="shared" si="40"/>
        <v>0</v>
      </c>
      <c r="O121" s="34">
        <f t="shared" si="41"/>
        <v>0</v>
      </c>
      <c r="P121" s="55">
        <v>116</v>
      </c>
      <c r="Q121" s="33">
        <f t="shared" si="49"/>
        <v>0</v>
      </c>
      <c r="R121" s="33">
        <f t="shared" si="55"/>
        <v>0</v>
      </c>
      <c r="S121" s="33">
        <f t="shared" si="56"/>
        <v>0</v>
      </c>
      <c r="T121" s="33">
        <f t="shared" si="42"/>
        <v>0</v>
      </c>
      <c r="U121" s="33">
        <f t="shared" si="50"/>
        <v>0</v>
      </c>
      <c r="V121" s="33">
        <f t="shared" si="43"/>
        <v>0</v>
      </c>
      <c r="W121" s="33">
        <v>0</v>
      </c>
      <c r="X121" s="33">
        <f t="shared" si="44"/>
        <v>0</v>
      </c>
      <c r="Y121" s="38">
        <f t="shared" si="45"/>
        <v>0</v>
      </c>
      <c r="AA121" s="71">
        <v>116</v>
      </c>
      <c r="AB121" s="33">
        <f t="shared" si="46"/>
        <v>0</v>
      </c>
      <c r="AC121" s="304">
        <f t="shared" si="64"/>
        <v>0</v>
      </c>
      <c r="AD121" s="100">
        <f t="shared" si="47"/>
        <v>0</v>
      </c>
      <c r="AE121" s="100">
        <f t="shared" si="48"/>
        <v>0</v>
      </c>
      <c r="AF121" s="193">
        <f t="shared" si="60"/>
        <v>0</v>
      </c>
      <c r="AG121" s="193">
        <f t="shared" si="61"/>
        <v>0</v>
      </c>
      <c r="AH121" s="193">
        <f t="shared" si="62"/>
        <v>0</v>
      </c>
      <c r="AI121" s="198">
        <f t="shared" si="63"/>
        <v>0</v>
      </c>
      <c r="AK121" s="71">
        <v>116</v>
      </c>
      <c r="AL121" s="33"/>
      <c r="AM121" s="33"/>
      <c r="AN121" s="33"/>
      <c r="AO121" s="33"/>
      <c r="AP121" s="33"/>
      <c r="AQ121" s="193"/>
      <c r="AR121" s="193"/>
      <c r="AS121" s="193"/>
      <c r="AT121" s="193"/>
      <c r="AU121" s="33"/>
      <c r="AV121" s="33"/>
      <c r="AW121" s="33"/>
      <c r="AX121" s="33"/>
      <c r="AY121" s="76"/>
    </row>
    <row r="122" spans="2:51">
      <c r="C122" s="134" t="s">
        <v>145</v>
      </c>
      <c r="D122" s="134" t="s">
        <v>72</v>
      </c>
      <c r="E122" s="81" t="s">
        <v>166</v>
      </c>
      <c r="I122" s="55">
        <v>117</v>
      </c>
      <c r="J122" s="33">
        <f t="shared" si="51"/>
        <v>0</v>
      </c>
      <c r="K122" s="33">
        <f t="shared" si="52"/>
        <v>0</v>
      </c>
      <c r="L122" s="33">
        <f t="shared" si="53"/>
        <v>0</v>
      </c>
      <c r="M122" s="33">
        <f t="shared" si="54"/>
        <v>0</v>
      </c>
      <c r="N122" s="33">
        <f t="shared" si="40"/>
        <v>0</v>
      </c>
      <c r="O122" s="34">
        <f t="shared" si="41"/>
        <v>0</v>
      </c>
      <c r="P122" s="55">
        <v>117</v>
      </c>
      <c r="Q122" s="33">
        <f t="shared" si="49"/>
        <v>0</v>
      </c>
      <c r="R122" s="33">
        <f t="shared" si="55"/>
        <v>0</v>
      </c>
      <c r="S122" s="33">
        <f t="shared" si="56"/>
        <v>0</v>
      </c>
      <c r="T122" s="33">
        <f t="shared" si="42"/>
        <v>0</v>
      </c>
      <c r="U122" s="33">
        <f t="shared" si="50"/>
        <v>0</v>
      </c>
      <c r="V122" s="33">
        <f t="shared" si="43"/>
        <v>0</v>
      </c>
      <c r="W122" s="33">
        <v>0</v>
      </c>
      <c r="X122" s="33">
        <f t="shared" si="44"/>
        <v>0</v>
      </c>
      <c r="Y122" s="38">
        <f t="shared" si="45"/>
        <v>0</v>
      </c>
      <c r="AA122" s="71">
        <v>117</v>
      </c>
      <c r="AB122" s="33">
        <f t="shared" si="46"/>
        <v>0</v>
      </c>
      <c r="AC122" s="304">
        <f t="shared" si="64"/>
        <v>0</v>
      </c>
      <c r="AD122" s="100">
        <f t="shared" si="47"/>
        <v>0</v>
      </c>
      <c r="AE122" s="100">
        <f t="shared" si="48"/>
        <v>0</v>
      </c>
      <c r="AF122" s="193">
        <f t="shared" si="60"/>
        <v>0</v>
      </c>
      <c r="AG122" s="193">
        <f t="shared" si="61"/>
        <v>0</v>
      </c>
      <c r="AH122" s="193">
        <f t="shared" si="62"/>
        <v>0</v>
      </c>
      <c r="AI122" s="198">
        <f t="shared" si="63"/>
        <v>0</v>
      </c>
      <c r="AK122" s="71">
        <v>117</v>
      </c>
      <c r="AL122" s="33"/>
      <c r="AM122" s="33"/>
      <c r="AN122" s="33"/>
      <c r="AO122" s="33"/>
      <c r="AP122" s="33"/>
      <c r="AQ122" s="193"/>
      <c r="AR122" s="193"/>
      <c r="AS122" s="193"/>
      <c r="AT122" s="193"/>
      <c r="AU122" s="33"/>
      <c r="AV122" s="33"/>
      <c r="AW122" s="33"/>
      <c r="AX122" s="33"/>
      <c r="AY122" s="76"/>
    </row>
    <row r="123" spans="2:51">
      <c r="B123" s="67" t="s">
        <v>168</v>
      </c>
      <c r="C123" s="82">
        <f>AY35</f>
        <v>41.28</v>
      </c>
      <c r="D123" s="303">
        <f>IF(AND(D8=B100,F12=C194),J34*50%*G107,0)</f>
        <v>2.6187</v>
      </c>
      <c r="E123" s="78">
        <f>C123-D123</f>
        <v>38.661300000000004</v>
      </c>
      <c r="I123" s="55">
        <v>118</v>
      </c>
      <c r="J123" s="33">
        <f t="shared" si="51"/>
        <v>0</v>
      </c>
      <c r="K123" s="33">
        <f t="shared" si="52"/>
        <v>0</v>
      </c>
      <c r="L123" s="33">
        <f t="shared" si="53"/>
        <v>0</v>
      </c>
      <c r="M123" s="33">
        <f t="shared" si="54"/>
        <v>0</v>
      </c>
      <c r="N123" s="33">
        <f t="shared" si="40"/>
        <v>0</v>
      </c>
      <c r="O123" s="34">
        <f t="shared" si="41"/>
        <v>0</v>
      </c>
      <c r="P123" s="55">
        <v>118</v>
      </c>
      <c r="Q123" s="33">
        <f t="shared" si="49"/>
        <v>0</v>
      </c>
      <c r="R123" s="33">
        <f t="shared" si="55"/>
        <v>0</v>
      </c>
      <c r="S123" s="33">
        <f t="shared" si="56"/>
        <v>0</v>
      </c>
      <c r="T123" s="33">
        <f t="shared" si="42"/>
        <v>0</v>
      </c>
      <c r="U123" s="33">
        <f t="shared" si="50"/>
        <v>0</v>
      </c>
      <c r="V123" s="33">
        <f t="shared" si="43"/>
        <v>0</v>
      </c>
      <c r="W123" s="33">
        <v>0</v>
      </c>
      <c r="X123" s="33">
        <f t="shared" si="44"/>
        <v>0</v>
      </c>
      <c r="Y123" s="38">
        <f t="shared" si="45"/>
        <v>0</v>
      </c>
      <c r="AA123" s="71">
        <v>118</v>
      </c>
      <c r="AB123" s="33">
        <f t="shared" si="46"/>
        <v>0</v>
      </c>
      <c r="AC123" s="304">
        <f t="shared" si="64"/>
        <v>0</v>
      </c>
      <c r="AD123" s="100">
        <f t="shared" si="47"/>
        <v>0</v>
      </c>
      <c r="AE123" s="100">
        <f t="shared" si="48"/>
        <v>0</v>
      </c>
      <c r="AF123" s="193">
        <f t="shared" si="60"/>
        <v>0</v>
      </c>
      <c r="AG123" s="193">
        <f t="shared" si="61"/>
        <v>0</v>
      </c>
      <c r="AH123" s="193">
        <f t="shared" si="62"/>
        <v>0</v>
      </c>
      <c r="AI123" s="198">
        <f t="shared" si="63"/>
        <v>0</v>
      </c>
      <c r="AK123" s="71">
        <v>118</v>
      </c>
      <c r="AL123" s="33"/>
      <c r="AM123" s="33"/>
      <c r="AN123" s="33"/>
      <c r="AO123" s="33"/>
      <c r="AP123" s="33"/>
      <c r="AQ123" s="193"/>
      <c r="AR123" s="193"/>
      <c r="AS123" s="193"/>
      <c r="AT123" s="193"/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51"/>
        <v>0</v>
      </c>
      <c r="K124" s="33">
        <f t="shared" si="52"/>
        <v>0</v>
      </c>
      <c r="L124" s="33">
        <f t="shared" si="53"/>
        <v>0</v>
      </c>
      <c r="M124" s="33">
        <f t="shared" si="54"/>
        <v>0</v>
      </c>
      <c r="N124" s="33">
        <f t="shared" si="40"/>
        <v>0</v>
      </c>
      <c r="O124" s="34">
        <f t="shared" si="41"/>
        <v>0</v>
      </c>
      <c r="P124" s="55">
        <v>119</v>
      </c>
      <c r="Q124" s="33">
        <f t="shared" si="49"/>
        <v>0</v>
      </c>
      <c r="R124" s="33">
        <f t="shared" si="55"/>
        <v>0</v>
      </c>
      <c r="S124" s="33">
        <f t="shared" si="56"/>
        <v>0</v>
      </c>
      <c r="T124" s="33">
        <f t="shared" si="42"/>
        <v>0</v>
      </c>
      <c r="U124" s="33">
        <f t="shared" si="50"/>
        <v>0</v>
      </c>
      <c r="V124" s="33">
        <f t="shared" si="43"/>
        <v>0</v>
      </c>
      <c r="W124" s="33">
        <v>0</v>
      </c>
      <c r="X124" s="33">
        <f t="shared" si="44"/>
        <v>0</v>
      </c>
      <c r="Y124" s="38">
        <f t="shared" si="45"/>
        <v>0</v>
      </c>
      <c r="AA124" s="71">
        <v>119</v>
      </c>
      <c r="AB124" s="33">
        <f t="shared" si="46"/>
        <v>0</v>
      </c>
      <c r="AC124" s="304">
        <f t="shared" si="64"/>
        <v>0</v>
      </c>
      <c r="AD124" s="100">
        <f t="shared" si="47"/>
        <v>0</v>
      </c>
      <c r="AE124" s="100">
        <f t="shared" si="48"/>
        <v>0</v>
      </c>
      <c r="AF124" s="193">
        <f t="shared" si="60"/>
        <v>0</v>
      </c>
      <c r="AG124" s="193">
        <f t="shared" si="61"/>
        <v>0</v>
      </c>
      <c r="AH124" s="193">
        <f t="shared" si="62"/>
        <v>0</v>
      </c>
      <c r="AI124" s="198">
        <f t="shared" si="63"/>
        <v>0</v>
      </c>
      <c r="AK124" s="71">
        <v>119</v>
      </c>
      <c r="AL124" s="33"/>
      <c r="AM124" s="33"/>
      <c r="AN124" s="33"/>
      <c r="AO124" s="33"/>
      <c r="AP124" s="33"/>
      <c r="AQ124" s="193"/>
      <c r="AR124" s="193"/>
      <c r="AS124" s="193"/>
      <c r="AT124" s="193"/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51"/>
        <v>0</v>
      </c>
      <c r="K125" s="33">
        <f t="shared" si="52"/>
        <v>0</v>
      </c>
      <c r="L125" s="33">
        <f t="shared" si="53"/>
        <v>0</v>
      </c>
      <c r="M125" s="33">
        <f t="shared" si="54"/>
        <v>0</v>
      </c>
      <c r="N125" s="33">
        <f t="shared" si="40"/>
        <v>0</v>
      </c>
      <c r="O125" s="34">
        <f t="shared" si="41"/>
        <v>0</v>
      </c>
      <c r="P125" s="55">
        <v>120</v>
      </c>
      <c r="Q125" s="33">
        <f t="shared" si="49"/>
        <v>0</v>
      </c>
      <c r="R125" s="33">
        <f t="shared" si="55"/>
        <v>0</v>
      </c>
      <c r="S125" s="33">
        <f t="shared" si="56"/>
        <v>0</v>
      </c>
      <c r="T125" s="33">
        <f t="shared" si="42"/>
        <v>0</v>
      </c>
      <c r="U125" s="33">
        <f t="shared" si="50"/>
        <v>0</v>
      </c>
      <c r="V125" s="33">
        <f t="shared" si="43"/>
        <v>0</v>
      </c>
      <c r="W125" s="33">
        <v>0</v>
      </c>
      <c r="X125" s="33">
        <f t="shared" si="44"/>
        <v>0</v>
      </c>
      <c r="Y125" s="38">
        <f t="shared" si="45"/>
        <v>0</v>
      </c>
      <c r="AA125" s="71">
        <v>120</v>
      </c>
      <c r="AB125" s="33">
        <f t="shared" si="46"/>
        <v>0</v>
      </c>
      <c r="AC125" s="304">
        <f t="shared" si="64"/>
        <v>0</v>
      </c>
      <c r="AD125" s="100">
        <f t="shared" si="47"/>
        <v>0</v>
      </c>
      <c r="AE125" s="100">
        <f t="shared" si="48"/>
        <v>0</v>
      </c>
      <c r="AF125" s="193">
        <f t="shared" si="60"/>
        <v>0</v>
      </c>
      <c r="AG125" s="193">
        <f t="shared" si="61"/>
        <v>0</v>
      </c>
      <c r="AH125" s="193">
        <f t="shared" si="62"/>
        <v>0</v>
      </c>
      <c r="AI125" s="198">
        <f t="shared" si="63"/>
        <v>0</v>
      </c>
      <c r="AK125" s="71">
        <v>120</v>
      </c>
      <c r="AL125" s="33"/>
      <c r="AM125" s="33"/>
      <c r="AN125" s="33"/>
      <c r="AO125" s="33"/>
      <c r="AP125" s="33"/>
      <c r="AQ125" s="193"/>
      <c r="AR125" s="193"/>
      <c r="AS125" s="193"/>
      <c r="AT125" s="193"/>
      <c r="AU125" s="33"/>
      <c r="AV125" s="33"/>
      <c r="AW125" s="33"/>
      <c r="AX125" s="33"/>
      <c r="AY125" s="76"/>
    </row>
    <row r="126" spans="2:51">
      <c r="C126" s="84" t="s">
        <v>129</v>
      </c>
      <c r="D126" s="84" t="s">
        <v>130</v>
      </c>
      <c r="E126" s="84" t="s">
        <v>160</v>
      </c>
      <c r="F126" s="156" t="s">
        <v>170</v>
      </c>
      <c r="I126" s="55">
        <v>121</v>
      </c>
      <c r="J126" s="33">
        <f t="shared" si="51"/>
        <v>0</v>
      </c>
      <c r="K126" s="33">
        <f t="shared" si="52"/>
        <v>0</v>
      </c>
      <c r="L126" s="33">
        <f t="shared" si="53"/>
        <v>0</v>
      </c>
      <c r="M126" s="33">
        <f t="shared" si="54"/>
        <v>0</v>
      </c>
      <c r="N126" s="33">
        <f t="shared" si="40"/>
        <v>0</v>
      </c>
      <c r="O126" s="34">
        <f t="shared" si="41"/>
        <v>0</v>
      </c>
      <c r="P126" s="55">
        <v>121</v>
      </c>
      <c r="Q126" s="33">
        <f t="shared" si="49"/>
        <v>0</v>
      </c>
      <c r="R126" s="33">
        <f t="shared" si="55"/>
        <v>0</v>
      </c>
      <c r="S126" s="33">
        <f t="shared" si="56"/>
        <v>0</v>
      </c>
      <c r="T126" s="33">
        <f t="shared" si="42"/>
        <v>0</v>
      </c>
      <c r="U126" s="33">
        <f t="shared" si="50"/>
        <v>0</v>
      </c>
      <c r="V126" s="33">
        <f t="shared" si="43"/>
        <v>0</v>
      </c>
      <c r="W126" s="33">
        <v>0</v>
      </c>
      <c r="X126" s="33">
        <f t="shared" si="44"/>
        <v>0</v>
      </c>
      <c r="Y126" s="38">
        <f t="shared" si="45"/>
        <v>0</v>
      </c>
      <c r="AA126" s="71">
        <v>121</v>
      </c>
      <c r="AB126" s="33">
        <f t="shared" si="46"/>
        <v>0</v>
      </c>
      <c r="AC126" s="304">
        <f t="shared" si="64"/>
        <v>0</v>
      </c>
      <c r="AD126" s="100">
        <f t="shared" si="47"/>
        <v>0</v>
      </c>
      <c r="AE126" s="100">
        <f t="shared" si="48"/>
        <v>0</v>
      </c>
      <c r="AF126" s="193">
        <f t="shared" si="60"/>
        <v>0</v>
      </c>
      <c r="AG126" s="193">
        <f t="shared" si="61"/>
        <v>0</v>
      </c>
      <c r="AH126" s="193">
        <f t="shared" si="62"/>
        <v>0</v>
      </c>
      <c r="AI126" s="198">
        <f t="shared" si="63"/>
        <v>0</v>
      </c>
      <c r="AK126" s="71">
        <v>121</v>
      </c>
      <c r="AL126" s="33"/>
      <c r="AM126" s="33"/>
      <c r="AN126" s="33"/>
      <c r="AO126" s="33"/>
      <c r="AP126" s="33"/>
      <c r="AQ126" s="193"/>
      <c r="AR126" s="193"/>
      <c r="AS126" s="193"/>
      <c r="AT126" s="193"/>
      <c r="AU126" s="33"/>
      <c r="AV126" s="33"/>
      <c r="AW126" s="33"/>
      <c r="AX126" s="33"/>
      <c r="AY126" s="76"/>
    </row>
    <row r="127" spans="2:51">
      <c r="C127" s="82">
        <f>IF(F18&gt;30,MIN(E113:E114),E113)</f>
        <v>354.40255607651869</v>
      </c>
      <c r="D127" s="82">
        <f>MIN(E118:E119)</f>
        <v>9.1623475082197086</v>
      </c>
      <c r="E127" s="85">
        <f>E123</f>
        <v>38.661300000000004</v>
      </c>
      <c r="F127" s="86">
        <f>SUM(C127:E127)</f>
        <v>402.22620358473836</v>
      </c>
      <c r="I127" s="55">
        <v>122</v>
      </c>
      <c r="J127" s="33">
        <f t="shared" si="51"/>
        <v>0</v>
      </c>
      <c r="K127" s="33">
        <f t="shared" si="52"/>
        <v>0</v>
      </c>
      <c r="L127" s="33">
        <f t="shared" si="53"/>
        <v>0</v>
      </c>
      <c r="M127" s="33">
        <f t="shared" si="54"/>
        <v>0</v>
      </c>
      <c r="N127" s="33">
        <f t="shared" si="40"/>
        <v>0</v>
      </c>
      <c r="O127" s="34">
        <f t="shared" si="41"/>
        <v>0</v>
      </c>
      <c r="P127" s="55">
        <v>122</v>
      </c>
      <c r="Q127" s="33">
        <f t="shared" si="49"/>
        <v>0</v>
      </c>
      <c r="R127" s="33">
        <f t="shared" si="55"/>
        <v>0</v>
      </c>
      <c r="S127" s="33">
        <f t="shared" si="56"/>
        <v>0</v>
      </c>
      <c r="T127" s="33">
        <f t="shared" si="42"/>
        <v>0</v>
      </c>
      <c r="U127" s="33">
        <f t="shared" si="50"/>
        <v>0</v>
      </c>
      <c r="V127" s="33">
        <f t="shared" si="43"/>
        <v>0</v>
      </c>
      <c r="W127" s="33">
        <v>0</v>
      </c>
      <c r="X127" s="33">
        <f t="shared" si="44"/>
        <v>0</v>
      </c>
      <c r="Y127" s="38">
        <f t="shared" si="45"/>
        <v>0</v>
      </c>
      <c r="AA127" s="71">
        <v>122</v>
      </c>
      <c r="AB127" s="33">
        <f t="shared" si="46"/>
        <v>0</v>
      </c>
      <c r="AC127" s="304">
        <f t="shared" si="64"/>
        <v>0</v>
      </c>
      <c r="AD127" s="100">
        <f t="shared" si="47"/>
        <v>0</v>
      </c>
      <c r="AE127" s="100">
        <f t="shared" si="48"/>
        <v>0</v>
      </c>
      <c r="AF127" s="193">
        <f t="shared" si="60"/>
        <v>0</v>
      </c>
      <c r="AG127" s="193">
        <f t="shared" si="61"/>
        <v>0</v>
      </c>
      <c r="AH127" s="193">
        <f t="shared" si="62"/>
        <v>0</v>
      </c>
      <c r="AI127" s="198">
        <f t="shared" si="63"/>
        <v>0</v>
      </c>
      <c r="AK127" s="71">
        <v>122</v>
      </c>
      <c r="AL127" s="33"/>
      <c r="AM127" s="33"/>
      <c r="AN127" s="33"/>
      <c r="AO127" s="33"/>
      <c r="AP127" s="33"/>
      <c r="AQ127" s="193"/>
      <c r="AR127" s="193"/>
      <c r="AS127" s="193"/>
      <c r="AT127" s="193"/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51"/>
        <v>0</v>
      </c>
      <c r="K128" s="33">
        <f t="shared" si="52"/>
        <v>0</v>
      </c>
      <c r="L128" s="33">
        <f t="shared" si="53"/>
        <v>0</v>
      </c>
      <c r="M128" s="33">
        <f t="shared" si="54"/>
        <v>0</v>
      </c>
      <c r="N128" s="33">
        <f t="shared" si="40"/>
        <v>0</v>
      </c>
      <c r="O128" s="34">
        <f t="shared" si="41"/>
        <v>0</v>
      </c>
      <c r="P128" s="55">
        <v>123</v>
      </c>
      <c r="Q128" s="33">
        <f t="shared" si="49"/>
        <v>0</v>
      </c>
      <c r="R128" s="33">
        <f t="shared" si="55"/>
        <v>0</v>
      </c>
      <c r="S128" s="33">
        <f t="shared" si="56"/>
        <v>0</v>
      </c>
      <c r="T128" s="33">
        <f t="shared" si="42"/>
        <v>0</v>
      </c>
      <c r="U128" s="33">
        <f t="shared" si="50"/>
        <v>0</v>
      </c>
      <c r="V128" s="33">
        <f t="shared" si="43"/>
        <v>0</v>
      </c>
      <c r="W128" s="33">
        <v>0</v>
      </c>
      <c r="X128" s="33">
        <f t="shared" si="44"/>
        <v>0</v>
      </c>
      <c r="Y128" s="38">
        <f t="shared" si="45"/>
        <v>0</v>
      </c>
      <c r="AA128" s="71">
        <v>123</v>
      </c>
      <c r="AB128" s="33">
        <f t="shared" si="46"/>
        <v>0</v>
      </c>
      <c r="AC128" s="304">
        <f t="shared" si="64"/>
        <v>0</v>
      </c>
      <c r="AD128" s="100">
        <f t="shared" si="47"/>
        <v>0</v>
      </c>
      <c r="AE128" s="100">
        <f t="shared" si="48"/>
        <v>0</v>
      </c>
      <c r="AF128" s="193">
        <f t="shared" si="60"/>
        <v>0</v>
      </c>
      <c r="AG128" s="193">
        <f t="shared" si="61"/>
        <v>0</v>
      </c>
      <c r="AH128" s="193">
        <f t="shared" si="62"/>
        <v>0</v>
      </c>
      <c r="AI128" s="198">
        <f t="shared" si="63"/>
        <v>0</v>
      </c>
      <c r="AK128" s="71">
        <v>123</v>
      </c>
      <c r="AL128" s="33"/>
      <c r="AM128" s="33"/>
      <c r="AN128" s="33"/>
      <c r="AO128" s="33"/>
      <c r="AP128" s="33"/>
      <c r="AQ128" s="193"/>
      <c r="AR128" s="193"/>
      <c r="AS128" s="193"/>
      <c r="AT128" s="193"/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51"/>
        <v>0</v>
      </c>
      <c r="K129" s="33">
        <f t="shared" si="52"/>
        <v>0</v>
      </c>
      <c r="L129" s="33">
        <f t="shared" si="53"/>
        <v>0</v>
      </c>
      <c r="M129" s="33">
        <f t="shared" si="54"/>
        <v>0</v>
      </c>
      <c r="N129" s="33">
        <f t="shared" si="40"/>
        <v>0</v>
      </c>
      <c r="O129" s="34">
        <f t="shared" si="41"/>
        <v>0</v>
      </c>
      <c r="P129" s="55">
        <v>124</v>
      </c>
      <c r="Q129" s="33">
        <f t="shared" si="49"/>
        <v>0</v>
      </c>
      <c r="R129" s="33">
        <f t="shared" si="55"/>
        <v>0</v>
      </c>
      <c r="S129" s="33">
        <f t="shared" si="56"/>
        <v>0</v>
      </c>
      <c r="T129" s="33">
        <f t="shared" si="42"/>
        <v>0</v>
      </c>
      <c r="U129" s="33">
        <f t="shared" si="50"/>
        <v>0</v>
      </c>
      <c r="V129" s="33">
        <f t="shared" si="43"/>
        <v>0</v>
      </c>
      <c r="W129" s="33">
        <v>0</v>
      </c>
      <c r="X129" s="33">
        <f t="shared" si="44"/>
        <v>0</v>
      </c>
      <c r="Y129" s="38">
        <f t="shared" si="45"/>
        <v>0</v>
      </c>
      <c r="AA129" s="71">
        <v>124</v>
      </c>
      <c r="AB129" s="33">
        <f t="shared" si="46"/>
        <v>0</v>
      </c>
      <c r="AC129" s="304">
        <f t="shared" si="64"/>
        <v>0</v>
      </c>
      <c r="AD129" s="100">
        <f t="shared" si="47"/>
        <v>0</v>
      </c>
      <c r="AE129" s="100">
        <f t="shared" si="48"/>
        <v>0</v>
      </c>
      <c r="AF129" s="193">
        <f t="shared" si="60"/>
        <v>0</v>
      </c>
      <c r="AG129" s="193">
        <f t="shared" si="61"/>
        <v>0</v>
      </c>
      <c r="AH129" s="193">
        <f t="shared" si="62"/>
        <v>0</v>
      </c>
      <c r="AI129" s="198">
        <f t="shared" si="63"/>
        <v>0</v>
      </c>
      <c r="AK129" s="71">
        <v>124</v>
      </c>
      <c r="AL129" s="33"/>
      <c r="AM129" s="33"/>
      <c r="AN129" s="33"/>
      <c r="AO129" s="33"/>
      <c r="AP129" s="33"/>
      <c r="AQ129" s="193"/>
      <c r="AR129" s="193"/>
      <c r="AS129" s="193"/>
      <c r="AT129" s="193"/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87" t="s">
        <v>227</v>
      </c>
      <c r="F130" s="342" t="s">
        <v>271</v>
      </c>
      <c r="I130" s="55">
        <v>125</v>
      </c>
      <c r="J130" s="33">
        <f t="shared" si="51"/>
        <v>0</v>
      </c>
      <c r="K130" s="33">
        <f t="shared" si="52"/>
        <v>0</v>
      </c>
      <c r="L130" s="33">
        <f t="shared" si="53"/>
        <v>0</v>
      </c>
      <c r="M130" s="33">
        <f t="shared" si="54"/>
        <v>0</v>
      </c>
      <c r="N130" s="33">
        <f t="shared" si="40"/>
        <v>0</v>
      </c>
      <c r="O130" s="34">
        <f t="shared" si="41"/>
        <v>0</v>
      </c>
      <c r="P130" s="55">
        <v>125</v>
      </c>
      <c r="Q130" s="33">
        <f t="shared" si="49"/>
        <v>0</v>
      </c>
      <c r="R130" s="33">
        <f t="shared" si="55"/>
        <v>0</v>
      </c>
      <c r="S130" s="33">
        <f t="shared" si="56"/>
        <v>0</v>
      </c>
      <c r="T130" s="33">
        <f t="shared" si="42"/>
        <v>0</v>
      </c>
      <c r="U130" s="33">
        <f t="shared" si="50"/>
        <v>0</v>
      </c>
      <c r="V130" s="33">
        <f t="shared" si="43"/>
        <v>0</v>
      </c>
      <c r="W130" s="33">
        <v>0</v>
      </c>
      <c r="X130" s="33">
        <f t="shared" si="44"/>
        <v>0</v>
      </c>
      <c r="Y130" s="38">
        <f t="shared" si="45"/>
        <v>0</v>
      </c>
      <c r="AA130" s="71">
        <v>125</v>
      </c>
      <c r="AB130" s="33">
        <f t="shared" si="46"/>
        <v>0</v>
      </c>
      <c r="AC130" s="304">
        <f t="shared" si="64"/>
        <v>0</v>
      </c>
      <c r="AD130" s="100">
        <f t="shared" si="47"/>
        <v>0</v>
      </c>
      <c r="AE130" s="100">
        <f t="shared" si="48"/>
        <v>0</v>
      </c>
      <c r="AF130" s="193">
        <f t="shared" si="60"/>
        <v>0</v>
      </c>
      <c r="AG130" s="193">
        <f t="shared" si="61"/>
        <v>0</v>
      </c>
      <c r="AH130" s="193">
        <f t="shared" si="62"/>
        <v>0</v>
      </c>
      <c r="AI130" s="198">
        <f t="shared" si="63"/>
        <v>0</v>
      </c>
      <c r="AK130" s="71">
        <v>125</v>
      </c>
      <c r="AL130" s="33"/>
      <c r="AM130" s="33"/>
      <c r="AN130" s="33"/>
      <c r="AO130" s="33"/>
      <c r="AP130" s="33"/>
      <c r="AQ130" s="193"/>
      <c r="AR130" s="193"/>
      <c r="AS130" s="193"/>
      <c r="AT130" s="193"/>
      <c r="AU130" s="33"/>
      <c r="AV130" s="33"/>
      <c r="AW130" s="33"/>
      <c r="AX130" s="33"/>
      <c r="AY130" s="76"/>
    </row>
    <row r="131" spans="3:51">
      <c r="C131" s="165" t="s">
        <v>7</v>
      </c>
      <c r="D131" s="4">
        <v>0.62</v>
      </c>
      <c r="E131" s="187" t="s">
        <v>228</v>
      </c>
      <c r="F131" s="342">
        <f>IF(OR(Tableau145[[#This Row],[Type]]="Feuillus",Tableau145[[#This Row],[Type]]="Peupliers"),1.56,1.3)</f>
        <v>1.56</v>
      </c>
      <c r="I131" s="55">
        <v>126</v>
      </c>
      <c r="J131" s="33">
        <f t="shared" si="51"/>
        <v>0</v>
      </c>
      <c r="K131" s="33">
        <f t="shared" si="52"/>
        <v>0</v>
      </c>
      <c r="L131" s="33">
        <f t="shared" si="53"/>
        <v>0</v>
      </c>
      <c r="M131" s="33">
        <f t="shared" si="54"/>
        <v>0</v>
      </c>
      <c r="N131" s="33">
        <f t="shared" si="40"/>
        <v>0</v>
      </c>
      <c r="O131" s="34">
        <f t="shared" si="41"/>
        <v>0</v>
      </c>
      <c r="P131" s="55">
        <v>126</v>
      </c>
      <c r="Q131" s="33">
        <f t="shared" si="49"/>
        <v>0</v>
      </c>
      <c r="R131" s="33">
        <f t="shared" si="55"/>
        <v>0</v>
      </c>
      <c r="S131" s="33">
        <f t="shared" si="56"/>
        <v>0</v>
      </c>
      <c r="T131" s="33">
        <f t="shared" si="42"/>
        <v>0</v>
      </c>
      <c r="U131" s="33">
        <f t="shared" si="50"/>
        <v>0</v>
      </c>
      <c r="V131" s="33">
        <f t="shared" si="43"/>
        <v>0</v>
      </c>
      <c r="W131" s="33">
        <v>0</v>
      </c>
      <c r="X131" s="33">
        <f t="shared" si="44"/>
        <v>0</v>
      </c>
      <c r="Y131" s="38">
        <f t="shared" si="45"/>
        <v>0</v>
      </c>
      <c r="AA131" s="71">
        <v>126</v>
      </c>
      <c r="AB131" s="33">
        <f t="shared" si="46"/>
        <v>0</v>
      </c>
      <c r="AC131" s="304">
        <f t="shared" si="64"/>
        <v>0</v>
      </c>
      <c r="AD131" s="100">
        <f t="shared" si="47"/>
        <v>0</v>
      </c>
      <c r="AE131" s="100">
        <f t="shared" si="48"/>
        <v>0</v>
      </c>
      <c r="AF131" s="193">
        <f t="shared" si="60"/>
        <v>0</v>
      </c>
      <c r="AG131" s="193">
        <f t="shared" si="61"/>
        <v>0</v>
      </c>
      <c r="AH131" s="193">
        <f t="shared" si="62"/>
        <v>0</v>
      </c>
      <c r="AI131" s="198">
        <f t="shared" si="63"/>
        <v>0</v>
      </c>
      <c r="AK131" s="71">
        <v>126</v>
      </c>
      <c r="AL131" s="33"/>
      <c r="AM131" s="33"/>
      <c r="AN131" s="33"/>
      <c r="AO131" s="33"/>
      <c r="AP131" s="33"/>
      <c r="AQ131" s="193"/>
      <c r="AR131" s="193"/>
      <c r="AS131" s="193"/>
      <c r="AT131" s="193"/>
      <c r="AU131" s="33"/>
      <c r="AV131" s="33"/>
      <c r="AW131" s="33"/>
      <c r="AX131" s="33"/>
      <c r="AY131" s="76"/>
    </row>
    <row r="132" spans="3:51">
      <c r="C132" s="165" t="s">
        <v>4</v>
      </c>
      <c r="D132" s="4">
        <v>0.64</v>
      </c>
      <c r="E132" s="187" t="s">
        <v>228</v>
      </c>
      <c r="F132" s="342">
        <f>IF(OR(Tableau145[[#This Row],[Type]]="Feuillus",Tableau145[[#This Row],[Type]]="Peupliers"),1.56,1.3)</f>
        <v>1.56</v>
      </c>
      <c r="I132" s="55">
        <v>127</v>
      </c>
      <c r="J132" s="33">
        <f t="shared" si="51"/>
        <v>0</v>
      </c>
      <c r="K132" s="33">
        <f t="shared" si="52"/>
        <v>0</v>
      </c>
      <c r="L132" s="33">
        <f t="shared" si="53"/>
        <v>0</v>
      </c>
      <c r="M132" s="33">
        <f t="shared" si="54"/>
        <v>0</v>
      </c>
      <c r="N132" s="33">
        <f t="shared" si="40"/>
        <v>0</v>
      </c>
      <c r="O132" s="34">
        <f t="shared" si="41"/>
        <v>0</v>
      </c>
      <c r="P132" s="55">
        <v>127</v>
      </c>
      <c r="Q132" s="33">
        <f t="shared" si="49"/>
        <v>0</v>
      </c>
      <c r="R132" s="33">
        <f t="shared" si="55"/>
        <v>0</v>
      </c>
      <c r="S132" s="33">
        <f t="shared" si="56"/>
        <v>0</v>
      </c>
      <c r="T132" s="33">
        <f t="shared" si="42"/>
        <v>0</v>
      </c>
      <c r="U132" s="33">
        <f t="shared" si="50"/>
        <v>0</v>
      </c>
      <c r="V132" s="33">
        <f t="shared" si="43"/>
        <v>0</v>
      </c>
      <c r="W132" s="33">
        <v>0</v>
      </c>
      <c r="X132" s="33">
        <f t="shared" si="44"/>
        <v>0</v>
      </c>
      <c r="Y132" s="38">
        <f t="shared" si="45"/>
        <v>0</v>
      </c>
      <c r="AA132" s="71">
        <v>127</v>
      </c>
      <c r="AB132" s="33">
        <f t="shared" si="46"/>
        <v>0</v>
      </c>
      <c r="AC132" s="304">
        <f t="shared" si="64"/>
        <v>0</v>
      </c>
      <c r="AD132" s="100">
        <f t="shared" si="47"/>
        <v>0</v>
      </c>
      <c r="AE132" s="100">
        <f t="shared" si="48"/>
        <v>0</v>
      </c>
      <c r="AF132" s="193">
        <f t="shared" si="60"/>
        <v>0</v>
      </c>
      <c r="AG132" s="193">
        <f t="shared" si="61"/>
        <v>0</v>
      </c>
      <c r="AH132" s="193">
        <f t="shared" si="62"/>
        <v>0</v>
      </c>
      <c r="AI132" s="198">
        <f t="shared" si="63"/>
        <v>0</v>
      </c>
      <c r="AK132" s="71">
        <v>127</v>
      </c>
      <c r="AL132" s="33"/>
      <c r="AM132" s="33"/>
      <c r="AN132" s="33"/>
      <c r="AO132" s="33"/>
      <c r="AP132" s="33"/>
      <c r="AQ132" s="193"/>
      <c r="AR132" s="193"/>
      <c r="AS132" s="193"/>
      <c r="AT132" s="193"/>
      <c r="AU132" s="33"/>
      <c r="AV132" s="33"/>
      <c r="AW132" s="33"/>
      <c r="AX132" s="33"/>
      <c r="AY132" s="76"/>
    </row>
    <row r="133" spans="3:51">
      <c r="C133" s="165" t="s">
        <v>8</v>
      </c>
      <c r="D133" s="4">
        <v>0.42</v>
      </c>
      <c r="E133" s="187" t="s">
        <v>228</v>
      </c>
      <c r="F133" s="342">
        <f>IF(OR(Tableau145[[#This Row],[Type]]="Feuillus",Tableau145[[#This Row],[Type]]="Peupliers"),1.56,1.3)</f>
        <v>1.56</v>
      </c>
      <c r="I133" s="55">
        <v>128</v>
      </c>
      <c r="J133" s="33">
        <f t="shared" si="51"/>
        <v>0</v>
      </c>
      <c r="K133" s="33">
        <f t="shared" si="52"/>
        <v>0</v>
      </c>
      <c r="L133" s="33">
        <f t="shared" si="53"/>
        <v>0</v>
      </c>
      <c r="M133" s="33">
        <f t="shared" si="54"/>
        <v>0</v>
      </c>
      <c r="N133" s="33">
        <f t="shared" ref="N133:N196" si="65">IF(P134&lt;=$F$18,0,)</f>
        <v>0</v>
      </c>
      <c r="O133" s="34">
        <f t="shared" ref="O133:O196" si="66">((J133+K133)*0.475+L133+M133+N133)*44/12</f>
        <v>0</v>
      </c>
      <c r="P133" s="55">
        <v>128</v>
      </c>
      <c r="Q133" s="33">
        <f t="shared" si="49"/>
        <v>0</v>
      </c>
      <c r="R133" s="33">
        <f t="shared" si="55"/>
        <v>0</v>
      </c>
      <c r="S133" s="33">
        <f t="shared" si="56"/>
        <v>0</v>
      </c>
      <c r="T133" s="33">
        <f t="shared" ref="T133:T196" si="67">IF(S133=0,0,EXP(-1.0587+0.8836*LN(S133)+0.284))</f>
        <v>0</v>
      </c>
      <c r="U133" s="33">
        <f t="shared" si="50"/>
        <v>0</v>
      </c>
      <c r="V133" s="33">
        <f t="shared" ref="V133:V196" si="68">IF(P133&lt;=$F$18,IF(P133&lt;=30,P133*($F$16-$F$6)/30,$F$16-$F$6),)</f>
        <v>0</v>
      </c>
      <c r="W133" s="33">
        <v>0</v>
      </c>
      <c r="X133" s="33">
        <f t="shared" ref="X133:X196" si="69">((S133+T133)*0.475+U133+V133+W133)*44/12</f>
        <v>0</v>
      </c>
      <c r="Y133" s="38">
        <f t="shared" ref="Y133:Y196" si="70">IF(P133&lt;=$F$18,X133-O133,)</f>
        <v>0</v>
      </c>
      <c r="AA133" s="71">
        <v>128</v>
      </c>
      <c r="AB133" s="33">
        <f t="shared" ref="AB133:AB196" si="71">IF(AA133&lt;=$F$18,IFERROR(VLOOKUP($AA133,$B$82:$G$94,2,FALSE),0),)</f>
        <v>0</v>
      </c>
      <c r="AC133" s="304">
        <f t="shared" si="64"/>
        <v>0</v>
      </c>
      <c r="AD133" s="100">
        <f t="shared" ref="AD133:AD196" si="72">IF(AA133&lt;=$F$18,IFERROR(VLOOKUP($AA133,$B$82:$G$94,4,FALSE),0),)</f>
        <v>0</v>
      </c>
      <c r="AE133" s="100">
        <f t="shared" ref="AE133:AE196" si="73">IF(AA133&lt;=$F$18,IFERROR(VLOOKUP($AA133,$B$82:$G$94,5,FALSE),0),)</f>
        <v>0</v>
      </c>
      <c r="AF133" s="193">
        <f t="shared" si="60"/>
        <v>0</v>
      </c>
      <c r="AG133" s="193">
        <f t="shared" si="61"/>
        <v>0</v>
      </c>
      <c r="AH133" s="193">
        <f t="shared" si="62"/>
        <v>0</v>
      </c>
      <c r="AI133" s="198">
        <f t="shared" si="63"/>
        <v>0</v>
      </c>
      <c r="AK133" s="71">
        <v>128</v>
      </c>
      <c r="AL133" s="33"/>
      <c r="AM133" s="33"/>
      <c r="AN133" s="33"/>
      <c r="AO133" s="33"/>
      <c r="AP133" s="33"/>
      <c r="AQ133" s="193"/>
      <c r="AR133" s="193"/>
      <c r="AS133" s="193"/>
      <c r="AT133" s="193"/>
      <c r="AU133" s="33"/>
      <c r="AV133" s="33"/>
      <c r="AW133" s="33"/>
      <c r="AX133" s="33"/>
      <c r="AY133" s="76"/>
    </row>
    <row r="134" spans="3:51">
      <c r="C134" s="165" t="s">
        <v>9</v>
      </c>
      <c r="D134" s="4">
        <v>0.42</v>
      </c>
      <c r="E134" s="187" t="s">
        <v>228</v>
      </c>
      <c r="F134" s="342">
        <f>IF(OR(Tableau145[[#This Row],[Type]]="Feuillus",Tableau145[[#This Row],[Type]]="Peupliers"),1.56,1.3)</f>
        <v>1.56</v>
      </c>
      <c r="I134" s="55">
        <v>129</v>
      </c>
      <c r="J134" s="33">
        <f t="shared" si="51"/>
        <v>0</v>
      </c>
      <c r="K134" s="33">
        <f t="shared" si="52"/>
        <v>0</v>
      </c>
      <c r="L134" s="33">
        <f t="shared" si="53"/>
        <v>0</v>
      </c>
      <c r="M134" s="33">
        <f t="shared" si="54"/>
        <v>0</v>
      </c>
      <c r="N134" s="33">
        <f t="shared" si="65"/>
        <v>0</v>
      </c>
      <c r="O134" s="34">
        <f t="shared" si="66"/>
        <v>0</v>
      </c>
      <c r="P134" s="55">
        <v>129</v>
      </c>
      <c r="Q134" s="33">
        <f t="shared" ref="Q134:Q197" si="74">IF(P134&lt;=$F$18,LOOKUP(P134-1,$B$25:$B$78,$G$25:$G$78),)</f>
        <v>0</v>
      </c>
      <c r="R134" s="33">
        <f t="shared" si="55"/>
        <v>0</v>
      </c>
      <c r="S134" s="33">
        <f t="shared" si="56"/>
        <v>0</v>
      </c>
      <c r="T134" s="33">
        <f t="shared" si="67"/>
        <v>0</v>
      </c>
      <c r="U134" s="33">
        <f t="shared" ref="U134:U197" si="75">IF(P134&lt;=$F$18,$F$5+($F$15-$F$5)*(1-EXP(-0.0175*P134)),)</f>
        <v>0</v>
      </c>
      <c r="V134" s="33">
        <f t="shared" si="68"/>
        <v>0</v>
      </c>
      <c r="W134" s="33">
        <v>0</v>
      </c>
      <c r="X134" s="33">
        <f t="shared" si="69"/>
        <v>0</v>
      </c>
      <c r="Y134" s="38">
        <f t="shared" si="70"/>
        <v>0</v>
      </c>
      <c r="AA134" s="71">
        <v>129</v>
      </c>
      <c r="AB134" s="33">
        <f t="shared" si="71"/>
        <v>0</v>
      </c>
      <c r="AC134" s="304">
        <f t="shared" si="64"/>
        <v>0</v>
      </c>
      <c r="AD134" s="100">
        <f t="shared" si="72"/>
        <v>0</v>
      </c>
      <c r="AE134" s="100">
        <f t="shared" si="73"/>
        <v>0</v>
      </c>
      <c r="AF134" s="193">
        <f t="shared" si="60"/>
        <v>0</v>
      </c>
      <c r="AG134" s="193">
        <f t="shared" si="61"/>
        <v>0</v>
      </c>
      <c r="AH134" s="193">
        <f t="shared" si="62"/>
        <v>0</v>
      </c>
      <c r="AI134" s="198">
        <f t="shared" si="63"/>
        <v>0</v>
      </c>
      <c r="AK134" s="71">
        <v>129</v>
      </c>
      <c r="AL134" s="33"/>
      <c r="AM134" s="33"/>
      <c r="AN134" s="33"/>
      <c r="AO134" s="33"/>
      <c r="AP134" s="33"/>
      <c r="AQ134" s="193"/>
      <c r="AR134" s="193"/>
      <c r="AS134" s="193"/>
      <c r="AT134" s="193"/>
      <c r="AU134" s="33"/>
      <c r="AV134" s="33"/>
      <c r="AW134" s="33"/>
      <c r="AX134" s="33"/>
      <c r="AY134" s="76"/>
    </row>
    <row r="135" spans="3:51">
      <c r="C135" s="165" t="s">
        <v>10</v>
      </c>
      <c r="D135" s="4">
        <v>0.52</v>
      </c>
      <c r="E135" s="187" t="s">
        <v>228</v>
      </c>
      <c r="F135" s="342">
        <f>IF(OR(Tableau145[[#This Row],[Type]]="Feuillus",Tableau145[[#This Row],[Type]]="Peupliers"),1.56,1.3)</f>
        <v>1.56</v>
      </c>
      <c r="I135" s="55">
        <v>130</v>
      </c>
      <c r="J135" s="33">
        <f t="shared" ref="J135:J198" si="76">IF($I135&lt;=$F$10,$F$11*$F$13+J134,)</f>
        <v>0</v>
      </c>
      <c r="K135" s="33">
        <f t="shared" ref="K135:K198" si="77">IF(J135=0,0,EXP(-1.0587+0.8836*LN(J135)+0.284))</f>
        <v>0</v>
      </c>
      <c r="L135" s="33">
        <f t="shared" ref="L135:L198" si="78">IF(I135&lt;=$F$10,$F$5+($F$8-$F$5)*(1-EXP(-0.0175*I135)),)</f>
        <v>0</v>
      </c>
      <c r="M135" s="33">
        <f t="shared" ref="M135:M198" si="79">IF(I135&lt;=$F$10,IF(I135&lt;=30,I135*($F$9-$F$6)/30,$F$9-$F$6),)</f>
        <v>0</v>
      </c>
      <c r="N135" s="33">
        <f t="shared" si="65"/>
        <v>0</v>
      </c>
      <c r="O135" s="34">
        <f t="shared" si="66"/>
        <v>0</v>
      </c>
      <c r="P135" s="55">
        <v>130</v>
      </c>
      <c r="Q135" s="33">
        <f t="shared" si="74"/>
        <v>0</v>
      </c>
      <c r="R135" s="33">
        <f t="shared" ref="R135:R198" si="80">IF(P135&lt;=$F$18,Q135+R134,)</f>
        <v>0</v>
      </c>
      <c r="S135" s="33">
        <f t="shared" ref="S135:S198" si="81">$F$19*R135</f>
        <v>0</v>
      </c>
      <c r="T135" s="33">
        <f t="shared" si="67"/>
        <v>0</v>
      </c>
      <c r="U135" s="33">
        <f t="shared" si="75"/>
        <v>0</v>
      </c>
      <c r="V135" s="33">
        <f t="shared" si="68"/>
        <v>0</v>
      </c>
      <c r="W135" s="33">
        <v>0</v>
      </c>
      <c r="X135" s="33">
        <f t="shared" si="69"/>
        <v>0</v>
      </c>
      <c r="Y135" s="38">
        <f t="shared" si="70"/>
        <v>0</v>
      </c>
      <c r="AA135" s="71">
        <v>130</v>
      </c>
      <c r="AB135" s="33">
        <f t="shared" si="71"/>
        <v>0</v>
      </c>
      <c r="AC135" s="304">
        <f t="shared" si="64"/>
        <v>0</v>
      </c>
      <c r="AD135" s="100">
        <f t="shared" si="72"/>
        <v>0</v>
      </c>
      <c r="AE135" s="100">
        <f t="shared" si="73"/>
        <v>0</v>
      </c>
      <c r="AF135" s="193">
        <f t="shared" si="60"/>
        <v>0</v>
      </c>
      <c r="AG135" s="193">
        <f t="shared" si="61"/>
        <v>0</v>
      </c>
      <c r="AH135" s="193">
        <f t="shared" si="62"/>
        <v>0</v>
      </c>
      <c r="AI135" s="198">
        <f t="shared" si="63"/>
        <v>0</v>
      </c>
      <c r="AK135" s="71">
        <v>130</v>
      </c>
      <c r="AL135" s="33"/>
      <c r="AM135" s="33"/>
      <c r="AN135" s="33"/>
      <c r="AO135" s="33"/>
      <c r="AP135" s="33"/>
      <c r="AQ135" s="193"/>
      <c r="AR135" s="193"/>
      <c r="AS135" s="193"/>
      <c r="AT135" s="193"/>
      <c r="AU135" s="33"/>
      <c r="AV135" s="33"/>
      <c r="AW135" s="33"/>
      <c r="AX135" s="33"/>
      <c r="AY135" s="76"/>
    </row>
    <row r="136" spans="3:51">
      <c r="C136" s="165" t="s">
        <v>11</v>
      </c>
      <c r="D136" s="4">
        <v>0.36</v>
      </c>
      <c r="E136" s="187" t="s">
        <v>229</v>
      </c>
      <c r="F136" s="342">
        <f>IF(OR(Tableau145[[#This Row],[Type]]="Feuillus",Tableau145[[#This Row],[Type]]="Peupliers"),1.56,1.3)</f>
        <v>1.3</v>
      </c>
      <c r="I136" s="55">
        <v>131</v>
      </c>
      <c r="J136" s="33">
        <f t="shared" si="76"/>
        <v>0</v>
      </c>
      <c r="K136" s="33">
        <f t="shared" si="77"/>
        <v>0</v>
      </c>
      <c r="L136" s="33">
        <f t="shared" si="78"/>
        <v>0</v>
      </c>
      <c r="M136" s="33">
        <f t="shared" si="79"/>
        <v>0</v>
      </c>
      <c r="N136" s="33">
        <f t="shared" si="65"/>
        <v>0</v>
      </c>
      <c r="O136" s="34">
        <f t="shared" si="66"/>
        <v>0</v>
      </c>
      <c r="P136" s="55">
        <v>131</v>
      </c>
      <c r="Q136" s="33">
        <f t="shared" si="74"/>
        <v>0</v>
      </c>
      <c r="R136" s="33">
        <f t="shared" si="80"/>
        <v>0</v>
      </c>
      <c r="S136" s="33">
        <f t="shared" si="81"/>
        <v>0</v>
      </c>
      <c r="T136" s="33">
        <f t="shared" si="67"/>
        <v>0</v>
      </c>
      <c r="U136" s="33">
        <f t="shared" si="75"/>
        <v>0</v>
      </c>
      <c r="V136" s="33">
        <f t="shared" si="68"/>
        <v>0</v>
      </c>
      <c r="W136" s="33">
        <v>0</v>
      </c>
      <c r="X136" s="33">
        <f t="shared" si="69"/>
        <v>0</v>
      </c>
      <c r="Y136" s="38">
        <f t="shared" si="70"/>
        <v>0</v>
      </c>
      <c r="AA136" s="71">
        <v>131</v>
      </c>
      <c r="AB136" s="33">
        <f t="shared" si="71"/>
        <v>0</v>
      </c>
      <c r="AC136" s="304">
        <f t="shared" si="64"/>
        <v>0</v>
      </c>
      <c r="AD136" s="100">
        <f t="shared" si="72"/>
        <v>0</v>
      </c>
      <c r="AE136" s="100">
        <f t="shared" si="73"/>
        <v>0</v>
      </c>
      <c r="AF136" s="193">
        <f t="shared" si="60"/>
        <v>0</v>
      </c>
      <c r="AG136" s="193">
        <f t="shared" si="61"/>
        <v>0</v>
      </c>
      <c r="AH136" s="193">
        <f t="shared" si="62"/>
        <v>0</v>
      </c>
      <c r="AI136" s="198">
        <f t="shared" si="63"/>
        <v>0</v>
      </c>
      <c r="AK136" s="71">
        <v>131</v>
      </c>
      <c r="AL136" s="33"/>
      <c r="AM136" s="33"/>
      <c r="AN136" s="33"/>
      <c r="AO136" s="33"/>
      <c r="AP136" s="33"/>
      <c r="AQ136" s="193"/>
      <c r="AR136" s="193"/>
      <c r="AS136" s="193"/>
      <c r="AT136" s="193"/>
      <c r="AU136" s="33"/>
      <c r="AV136" s="33"/>
      <c r="AW136" s="33"/>
      <c r="AX136" s="33"/>
      <c r="AY136" s="76"/>
    </row>
    <row r="137" spans="3:51">
      <c r="C137" s="165" t="s">
        <v>12</v>
      </c>
      <c r="D137" s="4">
        <v>0.61</v>
      </c>
      <c r="E137" s="187" t="s">
        <v>228</v>
      </c>
      <c r="F137" s="342">
        <f>IF(OR(Tableau145[[#This Row],[Type]]="Feuillus",Tableau145[[#This Row],[Type]]="Peupliers"),1.56,1.3)</f>
        <v>1.56</v>
      </c>
      <c r="I137" s="55">
        <v>132</v>
      </c>
      <c r="J137" s="33">
        <f t="shared" si="76"/>
        <v>0</v>
      </c>
      <c r="K137" s="33">
        <f t="shared" si="77"/>
        <v>0</v>
      </c>
      <c r="L137" s="33">
        <f t="shared" si="78"/>
        <v>0</v>
      </c>
      <c r="M137" s="33">
        <f t="shared" si="79"/>
        <v>0</v>
      </c>
      <c r="N137" s="33">
        <f t="shared" si="65"/>
        <v>0</v>
      </c>
      <c r="O137" s="34">
        <f t="shared" si="66"/>
        <v>0</v>
      </c>
      <c r="P137" s="55">
        <v>132</v>
      </c>
      <c r="Q137" s="33">
        <f t="shared" si="74"/>
        <v>0</v>
      </c>
      <c r="R137" s="33">
        <f t="shared" si="80"/>
        <v>0</v>
      </c>
      <c r="S137" s="33">
        <f t="shared" si="81"/>
        <v>0</v>
      </c>
      <c r="T137" s="33">
        <f t="shared" si="67"/>
        <v>0</v>
      </c>
      <c r="U137" s="33">
        <f t="shared" si="75"/>
        <v>0</v>
      </c>
      <c r="V137" s="33">
        <f t="shared" si="68"/>
        <v>0</v>
      </c>
      <c r="W137" s="33">
        <v>0</v>
      </c>
      <c r="X137" s="33">
        <f t="shared" si="69"/>
        <v>0</v>
      </c>
      <c r="Y137" s="38">
        <f t="shared" si="70"/>
        <v>0</v>
      </c>
      <c r="AA137" s="71">
        <v>132</v>
      </c>
      <c r="AB137" s="33">
        <f t="shared" si="71"/>
        <v>0</v>
      </c>
      <c r="AC137" s="304">
        <f t="shared" si="64"/>
        <v>0</v>
      </c>
      <c r="AD137" s="100">
        <f t="shared" si="72"/>
        <v>0</v>
      </c>
      <c r="AE137" s="100">
        <f t="shared" si="73"/>
        <v>0</v>
      </c>
      <c r="AF137" s="193">
        <f t="shared" si="60"/>
        <v>0</v>
      </c>
      <c r="AG137" s="193">
        <f t="shared" si="61"/>
        <v>0</v>
      </c>
      <c r="AH137" s="193">
        <f t="shared" si="62"/>
        <v>0</v>
      </c>
      <c r="AI137" s="198">
        <f t="shared" si="63"/>
        <v>0</v>
      </c>
      <c r="AK137" s="71">
        <v>132</v>
      </c>
      <c r="AL137" s="33"/>
      <c r="AM137" s="33"/>
      <c r="AN137" s="33"/>
      <c r="AO137" s="33"/>
      <c r="AP137" s="33"/>
      <c r="AQ137" s="193"/>
      <c r="AR137" s="193"/>
      <c r="AS137" s="193"/>
      <c r="AT137" s="193"/>
      <c r="AU137" s="33"/>
      <c r="AV137" s="33"/>
      <c r="AW137" s="33"/>
      <c r="AX137" s="33"/>
      <c r="AY137" s="76"/>
    </row>
    <row r="138" spans="3:51">
      <c r="C138" s="165" t="s">
        <v>13</v>
      </c>
      <c r="D138" s="4">
        <v>0.66</v>
      </c>
      <c r="E138" s="187" t="s">
        <v>228</v>
      </c>
      <c r="F138" s="342">
        <f>IF(OR(Tableau145[[#This Row],[Type]]="Feuillus",Tableau145[[#This Row],[Type]]="Peupliers"),1.56,1.3)</f>
        <v>1.56</v>
      </c>
      <c r="I138" s="55">
        <v>133</v>
      </c>
      <c r="J138" s="33">
        <f t="shared" si="76"/>
        <v>0</v>
      </c>
      <c r="K138" s="33">
        <f t="shared" si="77"/>
        <v>0</v>
      </c>
      <c r="L138" s="33">
        <f t="shared" si="78"/>
        <v>0</v>
      </c>
      <c r="M138" s="33">
        <f t="shared" si="79"/>
        <v>0</v>
      </c>
      <c r="N138" s="33">
        <f t="shared" si="65"/>
        <v>0</v>
      </c>
      <c r="O138" s="34">
        <f t="shared" si="66"/>
        <v>0</v>
      </c>
      <c r="P138" s="55">
        <v>133</v>
      </c>
      <c r="Q138" s="33">
        <f t="shared" si="74"/>
        <v>0</v>
      </c>
      <c r="R138" s="33">
        <f t="shared" si="80"/>
        <v>0</v>
      </c>
      <c r="S138" s="33">
        <f t="shared" si="81"/>
        <v>0</v>
      </c>
      <c r="T138" s="33">
        <f t="shared" si="67"/>
        <v>0</v>
      </c>
      <c r="U138" s="33">
        <f t="shared" si="75"/>
        <v>0</v>
      </c>
      <c r="V138" s="33">
        <f t="shared" si="68"/>
        <v>0</v>
      </c>
      <c r="W138" s="33">
        <v>0</v>
      </c>
      <c r="X138" s="33">
        <f t="shared" si="69"/>
        <v>0</v>
      </c>
      <c r="Y138" s="38">
        <f t="shared" si="70"/>
        <v>0</v>
      </c>
      <c r="AA138" s="71">
        <v>133</v>
      </c>
      <c r="AB138" s="33">
        <f t="shared" si="71"/>
        <v>0</v>
      </c>
      <c r="AC138" s="304">
        <f t="shared" si="64"/>
        <v>0</v>
      </c>
      <c r="AD138" s="100">
        <f t="shared" si="72"/>
        <v>0</v>
      </c>
      <c r="AE138" s="100">
        <f t="shared" si="73"/>
        <v>0</v>
      </c>
      <c r="AF138" s="193">
        <f t="shared" si="60"/>
        <v>0</v>
      </c>
      <c r="AG138" s="193">
        <f t="shared" si="61"/>
        <v>0</v>
      </c>
      <c r="AH138" s="193">
        <f t="shared" si="62"/>
        <v>0</v>
      </c>
      <c r="AI138" s="198">
        <f t="shared" si="63"/>
        <v>0</v>
      </c>
      <c r="AK138" s="71">
        <v>133</v>
      </c>
      <c r="AL138" s="33"/>
      <c r="AM138" s="33"/>
      <c r="AN138" s="33"/>
      <c r="AO138" s="33"/>
      <c r="AP138" s="33"/>
      <c r="AQ138" s="193"/>
      <c r="AR138" s="193"/>
      <c r="AS138" s="193"/>
      <c r="AT138" s="193"/>
      <c r="AU138" s="33"/>
      <c r="AV138" s="33"/>
      <c r="AW138" s="33"/>
      <c r="AX138" s="33"/>
      <c r="AY138" s="76"/>
    </row>
    <row r="139" spans="3:51">
      <c r="C139" s="166" t="s">
        <v>14</v>
      </c>
      <c r="D139" s="133">
        <v>0.47</v>
      </c>
      <c r="E139" s="187" t="s">
        <v>228</v>
      </c>
      <c r="F139" s="342">
        <f>IF(OR(Tableau145[[#This Row],[Type]]="Feuillus",Tableau145[[#This Row],[Type]]="Peupliers"),1.56,1.3)</f>
        <v>1.56</v>
      </c>
      <c r="I139" s="55">
        <v>134</v>
      </c>
      <c r="J139" s="33">
        <f t="shared" si="76"/>
        <v>0</v>
      </c>
      <c r="K139" s="33">
        <f t="shared" si="77"/>
        <v>0</v>
      </c>
      <c r="L139" s="33">
        <f t="shared" si="78"/>
        <v>0</v>
      </c>
      <c r="M139" s="33">
        <f t="shared" si="79"/>
        <v>0</v>
      </c>
      <c r="N139" s="33">
        <f t="shared" si="65"/>
        <v>0</v>
      </c>
      <c r="O139" s="34">
        <f t="shared" si="66"/>
        <v>0</v>
      </c>
      <c r="P139" s="55">
        <v>134</v>
      </c>
      <c r="Q139" s="33">
        <f t="shared" si="74"/>
        <v>0</v>
      </c>
      <c r="R139" s="33">
        <f t="shared" si="80"/>
        <v>0</v>
      </c>
      <c r="S139" s="33">
        <f t="shared" si="81"/>
        <v>0</v>
      </c>
      <c r="T139" s="33">
        <f t="shared" si="67"/>
        <v>0</v>
      </c>
      <c r="U139" s="33">
        <f t="shared" si="75"/>
        <v>0</v>
      </c>
      <c r="V139" s="33">
        <f t="shared" si="68"/>
        <v>0</v>
      </c>
      <c r="W139" s="33">
        <v>0</v>
      </c>
      <c r="X139" s="33">
        <f t="shared" si="69"/>
        <v>0</v>
      </c>
      <c r="Y139" s="38">
        <f t="shared" si="70"/>
        <v>0</v>
      </c>
      <c r="AA139" s="71">
        <v>134</v>
      </c>
      <c r="AB139" s="33">
        <f t="shared" si="71"/>
        <v>0</v>
      </c>
      <c r="AC139" s="304">
        <f t="shared" si="64"/>
        <v>0</v>
      </c>
      <c r="AD139" s="100">
        <f t="shared" si="72"/>
        <v>0</v>
      </c>
      <c r="AE139" s="100">
        <f t="shared" si="73"/>
        <v>0</v>
      </c>
      <c r="AF139" s="193">
        <f t="shared" si="60"/>
        <v>0</v>
      </c>
      <c r="AG139" s="193">
        <f t="shared" si="61"/>
        <v>0</v>
      </c>
      <c r="AH139" s="193">
        <f t="shared" si="62"/>
        <v>0</v>
      </c>
      <c r="AI139" s="198">
        <f t="shared" si="63"/>
        <v>0</v>
      </c>
      <c r="AK139" s="71">
        <v>134</v>
      </c>
      <c r="AL139" s="33"/>
      <c r="AM139" s="33"/>
      <c r="AN139" s="33"/>
      <c r="AO139" s="33"/>
      <c r="AP139" s="33"/>
      <c r="AQ139" s="193"/>
      <c r="AR139" s="193"/>
      <c r="AS139" s="193"/>
      <c r="AT139" s="193"/>
      <c r="AU139" s="33"/>
      <c r="AV139" s="33"/>
      <c r="AW139" s="33"/>
      <c r="AX139" s="33"/>
      <c r="AY139" s="76"/>
    </row>
    <row r="140" spans="3:51">
      <c r="C140" s="165" t="s">
        <v>15</v>
      </c>
      <c r="D140" s="4">
        <v>0.67</v>
      </c>
      <c r="E140" s="187" t="s">
        <v>228</v>
      </c>
      <c r="F140" s="342">
        <f>IF(OR(Tableau145[[#This Row],[Type]]="Feuillus",Tableau145[[#This Row],[Type]]="Peupliers"),1.56,1.3)</f>
        <v>1.56</v>
      </c>
      <c r="I140" s="55">
        <v>135</v>
      </c>
      <c r="J140" s="33">
        <f t="shared" si="76"/>
        <v>0</v>
      </c>
      <c r="K140" s="33">
        <f t="shared" si="77"/>
        <v>0</v>
      </c>
      <c r="L140" s="33">
        <f t="shared" si="78"/>
        <v>0</v>
      </c>
      <c r="M140" s="33">
        <f t="shared" si="79"/>
        <v>0</v>
      </c>
      <c r="N140" s="33">
        <f t="shared" si="65"/>
        <v>0</v>
      </c>
      <c r="O140" s="34">
        <f t="shared" si="66"/>
        <v>0</v>
      </c>
      <c r="P140" s="55">
        <v>135</v>
      </c>
      <c r="Q140" s="33">
        <f t="shared" si="74"/>
        <v>0</v>
      </c>
      <c r="R140" s="33">
        <f t="shared" si="80"/>
        <v>0</v>
      </c>
      <c r="S140" s="33">
        <f t="shared" si="81"/>
        <v>0</v>
      </c>
      <c r="T140" s="33">
        <f t="shared" si="67"/>
        <v>0</v>
      </c>
      <c r="U140" s="33">
        <f t="shared" si="75"/>
        <v>0</v>
      </c>
      <c r="V140" s="33">
        <f t="shared" si="68"/>
        <v>0</v>
      </c>
      <c r="W140" s="33">
        <v>0</v>
      </c>
      <c r="X140" s="33">
        <f t="shared" si="69"/>
        <v>0</v>
      </c>
      <c r="Y140" s="38">
        <f t="shared" si="70"/>
        <v>0</v>
      </c>
      <c r="AA140" s="71">
        <v>135</v>
      </c>
      <c r="AB140" s="33">
        <f t="shared" si="71"/>
        <v>0</v>
      </c>
      <c r="AC140" s="304">
        <f t="shared" si="64"/>
        <v>0</v>
      </c>
      <c r="AD140" s="100">
        <f t="shared" si="72"/>
        <v>0</v>
      </c>
      <c r="AE140" s="100">
        <f t="shared" si="73"/>
        <v>0</v>
      </c>
      <c r="AF140" s="193">
        <f t="shared" si="60"/>
        <v>0</v>
      </c>
      <c r="AG140" s="193">
        <f t="shared" si="61"/>
        <v>0</v>
      </c>
      <c r="AH140" s="193">
        <f t="shared" si="62"/>
        <v>0</v>
      </c>
      <c r="AI140" s="198">
        <f t="shared" si="63"/>
        <v>0</v>
      </c>
      <c r="AK140" s="71">
        <v>135</v>
      </c>
      <c r="AL140" s="33"/>
      <c r="AM140" s="33"/>
      <c r="AN140" s="33"/>
      <c r="AO140" s="33"/>
      <c r="AP140" s="33"/>
      <c r="AQ140" s="193"/>
      <c r="AR140" s="193"/>
      <c r="AS140" s="193"/>
      <c r="AT140" s="193"/>
      <c r="AU140" s="33"/>
      <c r="AV140" s="33"/>
      <c r="AW140" s="33"/>
      <c r="AX140" s="33"/>
      <c r="AY140" s="76"/>
    </row>
    <row r="141" spans="3:51">
      <c r="C141" s="165" t="s">
        <v>16</v>
      </c>
      <c r="D141" s="4">
        <v>0.7</v>
      </c>
      <c r="E141" s="187" t="s">
        <v>228</v>
      </c>
      <c r="F141" s="342">
        <f>IF(OR(Tableau145[[#This Row],[Type]]="Feuillus",Tableau145[[#This Row],[Type]]="Peupliers"),1.56,1.3)</f>
        <v>1.56</v>
      </c>
      <c r="I141" s="55">
        <v>136</v>
      </c>
      <c r="J141" s="33">
        <f t="shared" si="76"/>
        <v>0</v>
      </c>
      <c r="K141" s="33">
        <f t="shared" si="77"/>
        <v>0</v>
      </c>
      <c r="L141" s="33">
        <f t="shared" si="78"/>
        <v>0</v>
      </c>
      <c r="M141" s="33">
        <f t="shared" si="79"/>
        <v>0</v>
      </c>
      <c r="N141" s="33">
        <f t="shared" si="65"/>
        <v>0</v>
      </c>
      <c r="O141" s="34">
        <f t="shared" si="66"/>
        <v>0</v>
      </c>
      <c r="P141" s="55">
        <v>136</v>
      </c>
      <c r="Q141" s="33">
        <f t="shared" si="74"/>
        <v>0</v>
      </c>
      <c r="R141" s="33">
        <f t="shared" si="80"/>
        <v>0</v>
      </c>
      <c r="S141" s="33">
        <f t="shared" si="81"/>
        <v>0</v>
      </c>
      <c r="T141" s="33">
        <f t="shared" si="67"/>
        <v>0</v>
      </c>
      <c r="U141" s="33">
        <f t="shared" si="75"/>
        <v>0</v>
      </c>
      <c r="V141" s="33">
        <f t="shared" si="68"/>
        <v>0</v>
      </c>
      <c r="W141" s="33">
        <v>0</v>
      </c>
      <c r="X141" s="33">
        <f t="shared" si="69"/>
        <v>0</v>
      </c>
      <c r="Y141" s="38">
        <f t="shared" si="70"/>
        <v>0</v>
      </c>
      <c r="AA141" s="71">
        <v>136</v>
      </c>
      <c r="AB141" s="33">
        <f t="shared" si="71"/>
        <v>0</v>
      </c>
      <c r="AC141" s="304">
        <f t="shared" si="64"/>
        <v>0</v>
      </c>
      <c r="AD141" s="100">
        <f t="shared" si="72"/>
        <v>0</v>
      </c>
      <c r="AE141" s="100">
        <f t="shared" si="73"/>
        <v>0</v>
      </c>
      <c r="AF141" s="193">
        <f t="shared" si="60"/>
        <v>0</v>
      </c>
      <c r="AG141" s="193">
        <f t="shared" si="61"/>
        <v>0</v>
      </c>
      <c r="AH141" s="193">
        <f t="shared" si="62"/>
        <v>0</v>
      </c>
      <c r="AI141" s="198">
        <f t="shared" si="63"/>
        <v>0</v>
      </c>
      <c r="AK141" s="71">
        <v>136</v>
      </c>
      <c r="AL141" s="33"/>
      <c r="AM141" s="33"/>
      <c r="AN141" s="33"/>
      <c r="AO141" s="33"/>
      <c r="AP141" s="33"/>
      <c r="AQ141" s="193"/>
      <c r="AR141" s="193"/>
      <c r="AS141" s="193"/>
      <c r="AT141" s="193"/>
      <c r="AU141" s="33"/>
      <c r="AV141" s="33"/>
      <c r="AW141" s="33"/>
      <c r="AX141" s="33"/>
      <c r="AY141" s="76"/>
    </row>
    <row r="142" spans="3:51">
      <c r="C142" s="165" t="s">
        <v>17</v>
      </c>
      <c r="D142" s="4">
        <v>0.54</v>
      </c>
      <c r="E142" s="187" t="s">
        <v>228</v>
      </c>
      <c r="F142" s="342">
        <f>IF(OR(Tableau145[[#This Row],[Type]]="Feuillus",Tableau145[[#This Row],[Type]]="Peupliers"),1.56,1.3)</f>
        <v>1.56</v>
      </c>
      <c r="I142" s="55">
        <v>137</v>
      </c>
      <c r="J142" s="33">
        <f t="shared" si="76"/>
        <v>0</v>
      </c>
      <c r="K142" s="33">
        <f t="shared" si="77"/>
        <v>0</v>
      </c>
      <c r="L142" s="33">
        <f t="shared" si="78"/>
        <v>0</v>
      </c>
      <c r="M142" s="33">
        <f t="shared" si="79"/>
        <v>0</v>
      </c>
      <c r="N142" s="33">
        <f t="shared" si="65"/>
        <v>0</v>
      </c>
      <c r="O142" s="34">
        <f t="shared" si="66"/>
        <v>0</v>
      </c>
      <c r="P142" s="55">
        <v>137</v>
      </c>
      <c r="Q142" s="33">
        <f t="shared" si="74"/>
        <v>0</v>
      </c>
      <c r="R142" s="33">
        <f t="shared" si="80"/>
        <v>0</v>
      </c>
      <c r="S142" s="33">
        <f t="shared" si="81"/>
        <v>0</v>
      </c>
      <c r="T142" s="33">
        <f t="shared" si="67"/>
        <v>0</v>
      </c>
      <c r="U142" s="33">
        <f t="shared" si="75"/>
        <v>0</v>
      </c>
      <c r="V142" s="33">
        <f t="shared" si="68"/>
        <v>0</v>
      </c>
      <c r="W142" s="33">
        <v>0</v>
      </c>
      <c r="X142" s="33">
        <f t="shared" si="69"/>
        <v>0</v>
      </c>
      <c r="Y142" s="38">
        <f t="shared" si="70"/>
        <v>0</v>
      </c>
      <c r="AA142" s="71">
        <v>137</v>
      </c>
      <c r="AB142" s="33">
        <f t="shared" si="71"/>
        <v>0</v>
      </c>
      <c r="AC142" s="304">
        <f t="shared" si="64"/>
        <v>0</v>
      </c>
      <c r="AD142" s="100">
        <f t="shared" si="72"/>
        <v>0</v>
      </c>
      <c r="AE142" s="100">
        <f t="shared" si="73"/>
        <v>0</v>
      </c>
      <c r="AF142" s="193">
        <f t="shared" si="60"/>
        <v>0</v>
      </c>
      <c r="AG142" s="193">
        <f t="shared" si="61"/>
        <v>0</v>
      </c>
      <c r="AH142" s="193">
        <f t="shared" si="62"/>
        <v>0</v>
      </c>
      <c r="AI142" s="198">
        <f t="shared" si="63"/>
        <v>0</v>
      </c>
      <c r="AK142" s="71">
        <v>137</v>
      </c>
      <c r="AL142" s="33"/>
      <c r="AM142" s="33"/>
      <c r="AN142" s="33"/>
      <c r="AO142" s="33"/>
      <c r="AP142" s="33"/>
      <c r="AQ142" s="193"/>
      <c r="AR142" s="193"/>
      <c r="AS142" s="193"/>
      <c r="AT142" s="193"/>
      <c r="AU142" s="33"/>
      <c r="AV142" s="33"/>
      <c r="AW142" s="33"/>
      <c r="AX142" s="33"/>
      <c r="AY142" s="76"/>
    </row>
    <row r="143" spans="3:51">
      <c r="C143" s="165" t="s">
        <v>18</v>
      </c>
      <c r="D143" s="4">
        <v>0.65</v>
      </c>
      <c r="E143" s="187" t="s">
        <v>228</v>
      </c>
      <c r="F143" s="342">
        <f>IF(OR(Tableau145[[#This Row],[Type]]="Feuillus",Tableau145[[#This Row],[Type]]="Peupliers"),1.56,1.3)</f>
        <v>1.56</v>
      </c>
      <c r="I143" s="55">
        <v>138</v>
      </c>
      <c r="J143" s="33">
        <f t="shared" si="76"/>
        <v>0</v>
      </c>
      <c r="K143" s="33">
        <f t="shared" si="77"/>
        <v>0</v>
      </c>
      <c r="L143" s="33">
        <f t="shared" si="78"/>
        <v>0</v>
      </c>
      <c r="M143" s="33">
        <f t="shared" si="79"/>
        <v>0</v>
      </c>
      <c r="N143" s="33">
        <f t="shared" si="65"/>
        <v>0</v>
      </c>
      <c r="O143" s="34">
        <f t="shared" si="66"/>
        <v>0</v>
      </c>
      <c r="P143" s="55">
        <v>138</v>
      </c>
      <c r="Q143" s="33">
        <f t="shared" si="74"/>
        <v>0</v>
      </c>
      <c r="R143" s="33">
        <f t="shared" si="80"/>
        <v>0</v>
      </c>
      <c r="S143" s="33">
        <f t="shared" si="81"/>
        <v>0</v>
      </c>
      <c r="T143" s="33">
        <f t="shared" si="67"/>
        <v>0</v>
      </c>
      <c r="U143" s="33">
        <f t="shared" si="75"/>
        <v>0</v>
      </c>
      <c r="V143" s="33">
        <f t="shared" si="68"/>
        <v>0</v>
      </c>
      <c r="W143" s="33">
        <v>0</v>
      </c>
      <c r="X143" s="33">
        <f t="shared" si="69"/>
        <v>0</v>
      </c>
      <c r="Y143" s="38">
        <f t="shared" si="70"/>
        <v>0</v>
      </c>
      <c r="AA143" s="71">
        <v>138</v>
      </c>
      <c r="AB143" s="33">
        <f t="shared" si="71"/>
        <v>0</v>
      </c>
      <c r="AC143" s="304">
        <f t="shared" si="64"/>
        <v>0</v>
      </c>
      <c r="AD143" s="100">
        <f t="shared" si="72"/>
        <v>0</v>
      </c>
      <c r="AE143" s="100">
        <f t="shared" si="73"/>
        <v>0</v>
      </c>
      <c r="AF143" s="193">
        <f t="shared" si="60"/>
        <v>0</v>
      </c>
      <c r="AG143" s="193">
        <f t="shared" si="61"/>
        <v>0</v>
      </c>
      <c r="AH143" s="193">
        <f t="shared" si="62"/>
        <v>0</v>
      </c>
      <c r="AI143" s="198">
        <f t="shared" si="63"/>
        <v>0</v>
      </c>
      <c r="AK143" s="71">
        <v>138</v>
      </c>
      <c r="AL143" s="33"/>
      <c r="AM143" s="33"/>
      <c r="AN143" s="33"/>
      <c r="AO143" s="33"/>
      <c r="AP143" s="33"/>
      <c r="AQ143" s="193"/>
      <c r="AR143" s="193"/>
      <c r="AS143" s="193"/>
      <c r="AT143" s="193"/>
      <c r="AU143" s="33"/>
      <c r="AV143" s="33"/>
      <c r="AW143" s="33"/>
      <c r="AX143" s="33"/>
      <c r="AY143" s="76"/>
    </row>
    <row r="144" spans="3:51">
      <c r="C144" s="165" t="s">
        <v>19</v>
      </c>
      <c r="D144" s="4">
        <v>0.56000000000000005</v>
      </c>
      <c r="E144" s="187" t="s">
        <v>228</v>
      </c>
      <c r="F144" s="342">
        <f>IF(OR(Tableau145[[#This Row],[Type]]="Feuillus",Tableau145[[#This Row],[Type]]="Peupliers"),1.56,1.3)</f>
        <v>1.56</v>
      </c>
      <c r="I144" s="55">
        <v>139</v>
      </c>
      <c r="J144" s="33">
        <f t="shared" si="76"/>
        <v>0</v>
      </c>
      <c r="K144" s="33">
        <f t="shared" si="77"/>
        <v>0</v>
      </c>
      <c r="L144" s="33">
        <f t="shared" si="78"/>
        <v>0</v>
      </c>
      <c r="M144" s="33">
        <f t="shared" si="79"/>
        <v>0</v>
      </c>
      <c r="N144" s="33">
        <f t="shared" si="65"/>
        <v>0</v>
      </c>
      <c r="O144" s="34">
        <f t="shared" si="66"/>
        <v>0</v>
      </c>
      <c r="P144" s="55">
        <v>139</v>
      </c>
      <c r="Q144" s="33">
        <f t="shared" si="74"/>
        <v>0</v>
      </c>
      <c r="R144" s="33">
        <f t="shared" si="80"/>
        <v>0</v>
      </c>
      <c r="S144" s="33">
        <f t="shared" si="81"/>
        <v>0</v>
      </c>
      <c r="T144" s="33">
        <f t="shared" si="67"/>
        <v>0</v>
      </c>
      <c r="U144" s="33">
        <f t="shared" si="75"/>
        <v>0</v>
      </c>
      <c r="V144" s="33">
        <f t="shared" si="68"/>
        <v>0</v>
      </c>
      <c r="W144" s="33">
        <v>0</v>
      </c>
      <c r="X144" s="33">
        <f t="shared" si="69"/>
        <v>0</v>
      </c>
      <c r="Y144" s="38">
        <f t="shared" si="70"/>
        <v>0</v>
      </c>
      <c r="AA144" s="71">
        <v>139</v>
      </c>
      <c r="AB144" s="33">
        <f t="shared" si="71"/>
        <v>0</v>
      </c>
      <c r="AC144" s="304">
        <f t="shared" si="64"/>
        <v>0</v>
      </c>
      <c r="AD144" s="100">
        <f t="shared" si="72"/>
        <v>0</v>
      </c>
      <c r="AE144" s="100">
        <f t="shared" si="73"/>
        <v>0</v>
      </c>
      <c r="AF144" s="193">
        <f t="shared" si="60"/>
        <v>0</v>
      </c>
      <c r="AG144" s="193">
        <f t="shared" si="61"/>
        <v>0</v>
      </c>
      <c r="AH144" s="193">
        <f t="shared" si="62"/>
        <v>0</v>
      </c>
      <c r="AI144" s="198">
        <f t="shared" si="63"/>
        <v>0</v>
      </c>
      <c r="AK144" s="71">
        <v>139</v>
      </c>
      <c r="AL144" s="33"/>
      <c r="AM144" s="33"/>
      <c r="AN144" s="33"/>
      <c r="AO144" s="33"/>
      <c r="AP144" s="33"/>
      <c r="AQ144" s="193"/>
      <c r="AR144" s="193"/>
      <c r="AS144" s="193"/>
      <c r="AT144" s="193"/>
      <c r="AU144" s="33"/>
      <c r="AV144" s="33"/>
      <c r="AW144" s="33"/>
      <c r="AX144" s="33"/>
      <c r="AY144" s="76"/>
    </row>
    <row r="145" spans="3:51">
      <c r="C145" s="165" t="s">
        <v>20</v>
      </c>
      <c r="D145" s="4">
        <v>0.57999999999999996</v>
      </c>
      <c r="E145" s="187" t="s">
        <v>228</v>
      </c>
      <c r="F145" s="342">
        <f>IF(OR(Tableau145[[#This Row],[Type]]="Feuillus",Tableau145[[#This Row],[Type]]="Peupliers"),1.56,1.3)</f>
        <v>1.56</v>
      </c>
      <c r="I145" s="55">
        <v>140</v>
      </c>
      <c r="J145" s="33">
        <f t="shared" si="76"/>
        <v>0</v>
      </c>
      <c r="K145" s="33">
        <f t="shared" si="77"/>
        <v>0</v>
      </c>
      <c r="L145" s="33">
        <f t="shared" si="78"/>
        <v>0</v>
      </c>
      <c r="M145" s="33">
        <f t="shared" si="79"/>
        <v>0</v>
      </c>
      <c r="N145" s="33">
        <f t="shared" si="65"/>
        <v>0</v>
      </c>
      <c r="O145" s="34">
        <f t="shared" si="66"/>
        <v>0</v>
      </c>
      <c r="P145" s="55">
        <v>140</v>
      </c>
      <c r="Q145" s="33">
        <f t="shared" si="74"/>
        <v>0</v>
      </c>
      <c r="R145" s="33">
        <f t="shared" si="80"/>
        <v>0</v>
      </c>
      <c r="S145" s="33">
        <f t="shared" si="81"/>
        <v>0</v>
      </c>
      <c r="T145" s="33">
        <f t="shared" si="67"/>
        <v>0</v>
      </c>
      <c r="U145" s="33">
        <f t="shared" si="75"/>
        <v>0</v>
      </c>
      <c r="V145" s="33">
        <f t="shared" si="68"/>
        <v>0</v>
      </c>
      <c r="W145" s="33">
        <v>0</v>
      </c>
      <c r="X145" s="33">
        <f t="shared" si="69"/>
        <v>0</v>
      </c>
      <c r="Y145" s="38">
        <f t="shared" si="70"/>
        <v>0</v>
      </c>
      <c r="AA145" s="71">
        <v>140</v>
      </c>
      <c r="AB145" s="33">
        <f t="shared" si="71"/>
        <v>0</v>
      </c>
      <c r="AC145" s="304">
        <f t="shared" si="64"/>
        <v>0</v>
      </c>
      <c r="AD145" s="100">
        <f t="shared" si="72"/>
        <v>0</v>
      </c>
      <c r="AE145" s="100">
        <f t="shared" si="73"/>
        <v>0</v>
      </c>
      <c r="AF145" s="193">
        <f t="shared" si="60"/>
        <v>0</v>
      </c>
      <c r="AG145" s="193">
        <f t="shared" si="61"/>
        <v>0</v>
      </c>
      <c r="AH145" s="193">
        <f t="shared" si="62"/>
        <v>0</v>
      </c>
      <c r="AI145" s="198">
        <f t="shared" si="63"/>
        <v>0</v>
      </c>
      <c r="AK145" s="71">
        <v>140</v>
      </c>
      <c r="AL145" s="33"/>
      <c r="AM145" s="33"/>
      <c r="AN145" s="33"/>
      <c r="AO145" s="33"/>
      <c r="AP145" s="33"/>
      <c r="AQ145" s="193"/>
      <c r="AR145" s="193"/>
      <c r="AS145" s="193"/>
      <c r="AT145" s="193"/>
      <c r="AU145" s="33"/>
      <c r="AV145" s="33"/>
      <c r="AW145" s="33"/>
      <c r="AX145" s="33"/>
      <c r="AY145" s="76"/>
    </row>
    <row r="146" spans="3:51">
      <c r="C146" s="165" t="s">
        <v>21</v>
      </c>
      <c r="D146" s="4">
        <v>0.64</v>
      </c>
      <c r="E146" s="187" t="s">
        <v>228</v>
      </c>
      <c r="F146" s="342">
        <f>IF(OR(Tableau145[[#This Row],[Type]]="Feuillus",Tableau145[[#This Row],[Type]]="Peupliers"),1.56,1.3)</f>
        <v>1.56</v>
      </c>
      <c r="I146" s="55">
        <v>141</v>
      </c>
      <c r="J146" s="33">
        <f t="shared" si="76"/>
        <v>0</v>
      </c>
      <c r="K146" s="33">
        <f t="shared" si="77"/>
        <v>0</v>
      </c>
      <c r="L146" s="33">
        <f t="shared" si="78"/>
        <v>0</v>
      </c>
      <c r="M146" s="33">
        <f t="shared" si="79"/>
        <v>0</v>
      </c>
      <c r="N146" s="33">
        <f t="shared" si="65"/>
        <v>0</v>
      </c>
      <c r="O146" s="34">
        <f t="shared" si="66"/>
        <v>0</v>
      </c>
      <c r="P146" s="55">
        <v>141</v>
      </c>
      <c r="Q146" s="33">
        <f t="shared" si="74"/>
        <v>0</v>
      </c>
      <c r="R146" s="33">
        <f t="shared" si="80"/>
        <v>0</v>
      </c>
      <c r="S146" s="33">
        <f t="shared" si="81"/>
        <v>0</v>
      </c>
      <c r="T146" s="33">
        <f t="shared" si="67"/>
        <v>0</v>
      </c>
      <c r="U146" s="33">
        <f t="shared" si="75"/>
        <v>0</v>
      </c>
      <c r="V146" s="33">
        <f t="shared" si="68"/>
        <v>0</v>
      </c>
      <c r="W146" s="33">
        <v>0</v>
      </c>
      <c r="X146" s="33">
        <f t="shared" si="69"/>
        <v>0</v>
      </c>
      <c r="Y146" s="38">
        <f t="shared" si="70"/>
        <v>0</v>
      </c>
      <c r="AA146" s="71">
        <v>141</v>
      </c>
      <c r="AB146" s="33">
        <f t="shared" si="71"/>
        <v>0</v>
      </c>
      <c r="AC146" s="304">
        <f t="shared" si="64"/>
        <v>0</v>
      </c>
      <c r="AD146" s="100">
        <f t="shared" si="72"/>
        <v>0</v>
      </c>
      <c r="AE146" s="100">
        <f t="shared" si="73"/>
        <v>0</v>
      </c>
      <c r="AF146" s="193">
        <f t="shared" si="60"/>
        <v>0</v>
      </c>
      <c r="AG146" s="193">
        <f t="shared" si="61"/>
        <v>0</v>
      </c>
      <c r="AH146" s="193">
        <f t="shared" si="62"/>
        <v>0</v>
      </c>
      <c r="AI146" s="198">
        <f t="shared" si="63"/>
        <v>0</v>
      </c>
      <c r="AK146" s="71">
        <v>141</v>
      </c>
      <c r="AL146" s="33"/>
      <c r="AM146" s="33"/>
      <c r="AN146" s="33"/>
      <c r="AO146" s="33"/>
      <c r="AP146" s="33"/>
      <c r="AQ146" s="193"/>
      <c r="AR146" s="193"/>
      <c r="AS146" s="193"/>
      <c r="AT146" s="193"/>
      <c r="AU146" s="33"/>
      <c r="AV146" s="33"/>
      <c r="AW146" s="33"/>
      <c r="AX146" s="33"/>
      <c r="AY146" s="76"/>
    </row>
    <row r="147" spans="3:51">
      <c r="C147" s="165" t="s">
        <v>22</v>
      </c>
      <c r="D147" s="4">
        <v>0.73</v>
      </c>
      <c r="E147" s="187" t="s">
        <v>228</v>
      </c>
      <c r="F147" s="342">
        <f>IF(OR(Tableau145[[#This Row],[Type]]="Feuillus",Tableau145[[#This Row],[Type]]="Peupliers"),1.56,1.3)</f>
        <v>1.56</v>
      </c>
      <c r="I147" s="55">
        <v>142</v>
      </c>
      <c r="J147" s="33">
        <f t="shared" si="76"/>
        <v>0</v>
      </c>
      <c r="K147" s="33">
        <f t="shared" si="77"/>
        <v>0</v>
      </c>
      <c r="L147" s="33">
        <f t="shared" si="78"/>
        <v>0</v>
      </c>
      <c r="M147" s="33">
        <f t="shared" si="79"/>
        <v>0</v>
      </c>
      <c r="N147" s="33">
        <f t="shared" si="65"/>
        <v>0</v>
      </c>
      <c r="O147" s="34">
        <f t="shared" si="66"/>
        <v>0</v>
      </c>
      <c r="P147" s="55">
        <v>142</v>
      </c>
      <c r="Q147" s="33">
        <f t="shared" si="74"/>
        <v>0</v>
      </c>
      <c r="R147" s="33">
        <f t="shared" si="80"/>
        <v>0</v>
      </c>
      <c r="S147" s="33">
        <f t="shared" si="81"/>
        <v>0</v>
      </c>
      <c r="T147" s="33">
        <f t="shared" si="67"/>
        <v>0</v>
      </c>
      <c r="U147" s="33">
        <f t="shared" si="75"/>
        <v>0</v>
      </c>
      <c r="V147" s="33">
        <f t="shared" si="68"/>
        <v>0</v>
      </c>
      <c r="W147" s="33">
        <v>0</v>
      </c>
      <c r="X147" s="33">
        <f t="shared" si="69"/>
        <v>0</v>
      </c>
      <c r="Y147" s="38">
        <f t="shared" si="70"/>
        <v>0</v>
      </c>
      <c r="AA147" s="71">
        <v>142</v>
      </c>
      <c r="AB147" s="33">
        <f t="shared" si="71"/>
        <v>0</v>
      </c>
      <c r="AC147" s="304">
        <f t="shared" si="64"/>
        <v>0</v>
      </c>
      <c r="AD147" s="100">
        <f t="shared" si="72"/>
        <v>0</v>
      </c>
      <c r="AE147" s="100">
        <f t="shared" si="73"/>
        <v>0</v>
      </c>
      <c r="AF147" s="193">
        <f t="shared" si="60"/>
        <v>0</v>
      </c>
      <c r="AG147" s="193">
        <f t="shared" si="61"/>
        <v>0</v>
      </c>
      <c r="AH147" s="193">
        <f t="shared" si="62"/>
        <v>0</v>
      </c>
      <c r="AI147" s="198">
        <f t="shared" si="63"/>
        <v>0</v>
      </c>
      <c r="AK147" s="71">
        <v>142</v>
      </c>
      <c r="AL147" s="33"/>
      <c r="AM147" s="33"/>
      <c r="AN147" s="33"/>
      <c r="AO147" s="33"/>
      <c r="AP147" s="33"/>
      <c r="AQ147" s="193"/>
      <c r="AR147" s="193"/>
      <c r="AS147" s="193"/>
      <c r="AT147" s="193"/>
      <c r="AU147" s="33"/>
      <c r="AV147" s="33"/>
      <c r="AW147" s="33"/>
      <c r="AX147" s="33"/>
      <c r="AY147" s="76"/>
    </row>
    <row r="148" spans="3:51">
      <c r="C148" s="165" t="s">
        <v>23</v>
      </c>
      <c r="D148" s="4">
        <v>0.56000000000000005</v>
      </c>
      <c r="E148" s="187" t="s">
        <v>228</v>
      </c>
      <c r="F148" s="342">
        <f>IF(OR(Tableau145[[#This Row],[Type]]="Feuillus",Tableau145[[#This Row],[Type]]="Peupliers"),1.56,1.3)</f>
        <v>1.56</v>
      </c>
      <c r="I148" s="55">
        <v>143</v>
      </c>
      <c r="J148" s="33">
        <f t="shared" si="76"/>
        <v>0</v>
      </c>
      <c r="K148" s="33">
        <f t="shared" si="77"/>
        <v>0</v>
      </c>
      <c r="L148" s="33">
        <f t="shared" si="78"/>
        <v>0</v>
      </c>
      <c r="M148" s="33">
        <f t="shared" si="79"/>
        <v>0</v>
      </c>
      <c r="N148" s="33">
        <f t="shared" si="65"/>
        <v>0</v>
      </c>
      <c r="O148" s="34">
        <f t="shared" si="66"/>
        <v>0</v>
      </c>
      <c r="P148" s="55">
        <v>143</v>
      </c>
      <c r="Q148" s="33">
        <f t="shared" si="74"/>
        <v>0</v>
      </c>
      <c r="R148" s="33">
        <f t="shared" si="80"/>
        <v>0</v>
      </c>
      <c r="S148" s="33">
        <f t="shared" si="81"/>
        <v>0</v>
      </c>
      <c r="T148" s="33">
        <f t="shared" si="67"/>
        <v>0</v>
      </c>
      <c r="U148" s="33">
        <f t="shared" si="75"/>
        <v>0</v>
      </c>
      <c r="V148" s="33">
        <f t="shared" si="68"/>
        <v>0</v>
      </c>
      <c r="W148" s="33">
        <v>0</v>
      </c>
      <c r="X148" s="33">
        <f t="shared" si="69"/>
        <v>0</v>
      </c>
      <c r="Y148" s="38">
        <f t="shared" si="70"/>
        <v>0</v>
      </c>
      <c r="AA148" s="71">
        <v>143</v>
      </c>
      <c r="AB148" s="33">
        <f t="shared" si="71"/>
        <v>0</v>
      </c>
      <c r="AC148" s="304">
        <f t="shared" si="64"/>
        <v>0</v>
      </c>
      <c r="AD148" s="100">
        <f t="shared" si="72"/>
        <v>0</v>
      </c>
      <c r="AE148" s="100">
        <f t="shared" si="73"/>
        <v>0</v>
      </c>
      <c r="AF148" s="193">
        <f t="shared" si="60"/>
        <v>0</v>
      </c>
      <c r="AG148" s="193">
        <f t="shared" si="61"/>
        <v>0</v>
      </c>
      <c r="AH148" s="193">
        <f t="shared" si="62"/>
        <v>0</v>
      </c>
      <c r="AI148" s="198">
        <f t="shared" si="63"/>
        <v>0</v>
      </c>
      <c r="AK148" s="71">
        <v>143</v>
      </c>
      <c r="AL148" s="33"/>
      <c r="AM148" s="33"/>
      <c r="AN148" s="33"/>
      <c r="AO148" s="33"/>
      <c r="AP148" s="33"/>
      <c r="AQ148" s="193"/>
      <c r="AR148" s="193"/>
      <c r="AS148" s="193"/>
      <c r="AT148" s="193"/>
      <c r="AU148" s="33"/>
      <c r="AV148" s="33"/>
      <c r="AW148" s="33"/>
      <c r="AX148" s="33"/>
      <c r="AY148" s="76"/>
    </row>
    <row r="149" spans="3:51">
      <c r="C149" s="165" t="s">
        <v>24</v>
      </c>
      <c r="D149" s="4">
        <v>0.74</v>
      </c>
      <c r="E149" s="187" t="s">
        <v>228</v>
      </c>
      <c r="F149" s="342">
        <f>IF(OR(Tableau145[[#This Row],[Type]]="Feuillus",Tableau145[[#This Row],[Type]]="Peupliers"),1.56,1.3)</f>
        <v>1.56</v>
      </c>
      <c r="I149" s="55">
        <v>144</v>
      </c>
      <c r="J149" s="33">
        <f t="shared" si="76"/>
        <v>0</v>
      </c>
      <c r="K149" s="33">
        <f t="shared" si="77"/>
        <v>0</v>
      </c>
      <c r="L149" s="33">
        <f t="shared" si="78"/>
        <v>0</v>
      </c>
      <c r="M149" s="33">
        <f t="shared" si="79"/>
        <v>0</v>
      </c>
      <c r="N149" s="33">
        <f t="shared" si="65"/>
        <v>0</v>
      </c>
      <c r="O149" s="34">
        <f t="shared" si="66"/>
        <v>0</v>
      </c>
      <c r="P149" s="55">
        <v>144</v>
      </c>
      <c r="Q149" s="33">
        <f t="shared" si="74"/>
        <v>0</v>
      </c>
      <c r="R149" s="33">
        <f t="shared" si="80"/>
        <v>0</v>
      </c>
      <c r="S149" s="33">
        <f t="shared" si="81"/>
        <v>0</v>
      </c>
      <c r="T149" s="33">
        <f t="shared" si="67"/>
        <v>0</v>
      </c>
      <c r="U149" s="33">
        <f t="shared" si="75"/>
        <v>0</v>
      </c>
      <c r="V149" s="33">
        <f t="shared" si="68"/>
        <v>0</v>
      </c>
      <c r="W149" s="33">
        <v>0</v>
      </c>
      <c r="X149" s="33">
        <f t="shared" si="69"/>
        <v>0</v>
      </c>
      <c r="Y149" s="38">
        <f t="shared" si="70"/>
        <v>0</v>
      </c>
      <c r="AA149" s="71">
        <v>144</v>
      </c>
      <c r="AB149" s="33">
        <f t="shared" si="71"/>
        <v>0</v>
      </c>
      <c r="AC149" s="304">
        <f t="shared" si="64"/>
        <v>0</v>
      </c>
      <c r="AD149" s="100">
        <f t="shared" si="72"/>
        <v>0</v>
      </c>
      <c r="AE149" s="100">
        <f t="shared" si="73"/>
        <v>0</v>
      </c>
      <c r="AF149" s="193">
        <f t="shared" si="60"/>
        <v>0</v>
      </c>
      <c r="AG149" s="193">
        <f t="shared" si="61"/>
        <v>0</v>
      </c>
      <c r="AH149" s="193">
        <f t="shared" si="62"/>
        <v>0</v>
      </c>
      <c r="AI149" s="198">
        <f t="shared" si="63"/>
        <v>0</v>
      </c>
      <c r="AK149" s="71">
        <v>144</v>
      </c>
      <c r="AL149" s="33"/>
      <c r="AM149" s="33"/>
      <c r="AN149" s="33"/>
      <c r="AO149" s="33"/>
      <c r="AP149" s="33"/>
      <c r="AQ149" s="193"/>
      <c r="AR149" s="193"/>
      <c r="AS149" s="193"/>
      <c r="AT149" s="193"/>
      <c r="AU149" s="33"/>
      <c r="AV149" s="33"/>
      <c r="AW149" s="33"/>
      <c r="AX149" s="33"/>
      <c r="AY149" s="76"/>
    </row>
    <row r="150" spans="3:51">
      <c r="C150" s="165" t="s">
        <v>25</v>
      </c>
      <c r="D150" s="4">
        <v>0.4</v>
      </c>
      <c r="E150" s="187" t="s">
        <v>229</v>
      </c>
      <c r="F150" s="342">
        <f>IF(OR(Tableau145[[#This Row],[Type]]="Feuillus",Tableau145[[#This Row],[Type]]="Peupliers"),1.56,1.3)</f>
        <v>1.3</v>
      </c>
      <c r="I150" s="55">
        <v>145</v>
      </c>
      <c r="J150" s="33">
        <f t="shared" si="76"/>
        <v>0</v>
      </c>
      <c r="K150" s="33">
        <f t="shared" si="77"/>
        <v>0</v>
      </c>
      <c r="L150" s="33">
        <f t="shared" si="78"/>
        <v>0</v>
      </c>
      <c r="M150" s="33">
        <f t="shared" si="79"/>
        <v>0</v>
      </c>
      <c r="N150" s="33">
        <f t="shared" si="65"/>
        <v>0</v>
      </c>
      <c r="O150" s="34">
        <f t="shared" si="66"/>
        <v>0</v>
      </c>
      <c r="P150" s="55">
        <v>145</v>
      </c>
      <c r="Q150" s="33">
        <f t="shared" si="74"/>
        <v>0</v>
      </c>
      <c r="R150" s="33">
        <f t="shared" si="80"/>
        <v>0</v>
      </c>
      <c r="S150" s="33">
        <f t="shared" si="81"/>
        <v>0</v>
      </c>
      <c r="T150" s="33">
        <f t="shared" si="67"/>
        <v>0</v>
      </c>
      <c r="U150" s="33">
        <f t="shared" si="75"/>
        <v>0</v>
      </c>
      <c r="V150" s="33">
        <f t="shared" si="68"/>
        <v>0</v>
      </c>
      <c r="W150" s="33">
        <v>0</v>
      </c>
      <c r="X150" s="33">
        <f t="shared" si="69"/>
        <v>0</v>
      </c>
      <c r="Y150" s="38">
        <f t="shared" si="70"/>
        <v>0</v>
      </c>
      <c r="AA150" s="71">
        <v>145</v>
      </c>
      <c r="AB150" s="33">
        <f t="shared" si="71"/>
        <v>0</v>
      </c>
      <c r="AC150" s="304">
        <f t="shared" si="64"/>
        <v>0</v>
      </c>
      <c r="AD150" s="100">
        <f t="shared" si="72"/>
        <v>0</v>
      </c>
      <c r="AE150" s="100">
        <f t="shared" si="73"/>
        <v>0</v>
      </c>
      <c r="AF150" s="193">
        <f t="shared" si="60"/>
        <v>0</v>
      </c>
      <c r="AG150" s="193">
        <f t="shared" si="61"/>
        <v>0</v>
      </c>
      <c r="AH150" s="193">
        <f t="shared" si="62"/>
        <v>0</v>
      </c>
      <c r="AI150" s="198">
        <f t="shared" si="63"/>
        <v>0</v>
      </c>
      <c r="AK150" s="71">
        <v>145</v>
      </c>
      <c r="AL150" s="33"/>
      <c r="AM150" s="33"/>
      <c r="AN150" s="33"/>
      <c r="AO150" s="33"/>
      <c r="AP150" s="33"/>
      <c r="AQ150" s="193"/>
      <c r="AR150" s="193"/>
      <c r="AS150" s="193"/>
      <c r="AT150" s="193"/>
      <c r="AU150" s="33"/>
      <c r="AV150" s="33"/>
      <c r="AW150" s="33"/>
      <c r="AX150" s="33"/>
      <c r="AY150" s="76"/>
    </row>
    <row r="151" spans="3:51">
      <c r="C151" s="165" t="s">
        <v>26</v>
      </c>
      <c r="D151" s="4">
        <v>0.6</v>
      </c>
      <c r="E151" s="187" t="s">
        <v>228</v>
      </c>
      <c r="F151" s="342">
        <f>IF(OR(Tableau145[[#This Row],[Type]]="Feuillus",Tableau145[[#This Row],[Type]]="Peupliers"),1.56,1.3)</f>
        <v>1.56</v>
      </c>
      <c r="I151" s="55">
        <v>146</v>
      </c>
      <c r="J151" s="33">
        <f t="shared" si="76"/>
        <v>0</v>
      </c>
      <c r="K151" s="33">
        <f t="shared" si="77"/>
        <v>0</v>
      </c>
      <c r="L151" s="33">
        <f t="shared" si="78"/>
        <v>0</v>
      </c>
      <c r="M151" s="33">
        <f t="shared" si="79"/>
        <v>0</v>
      </c>
      <c r="N151" s="33">
        <f t="shared" si="65"/>
        <v>0</v>
      </c>
      <c r="O151" s="34">
        <f t="shared" si="66"/>
        <v>0</v>
      </c>
      <c r="P151" s="55">
        <v>146</v>
      </c>
      <c r="Q151" s="33">
        <f t="shared" si="74"/>
        <v>0</v>
      </c>
      <c r="R151" s="33">
        <f t="shared" si="80"/>
        <v>0</v>
      </c>
      <c r="S151" s="33">
        <f t="shared" si="81"/>
        <v>0</v>
      </c>
      <c r="T151" s="33">
        <f t="shared" si="67"/>
        <v>0</v>
      </c>
      <c r="U151" s="33">
        <f t="shared" si="75"/>
        <v>0</v>
      </c>
      <c r="V151" s="33">
        <f t="shared" si="68"/>
        <v>0</v>
      </c>
      <c r="W151" s="33">
        <v>0</v>
      </c>
      <c r="X151" s="33">
        <f t="shared" si="69"/>
        <v>0</v>
      </c>
      <c r="Y151" s="38">
        <f t="shared" si="70"/>
        <v>0</v>
      </c>
      <c r="AA151" s="71">
        <v>146</v>
      </c>
      <c r="AB151" s="33">
        <f t="shared" si="71"/>
        <v>0</v>
      </c>
      <c r="AC151" s="304">
        <f t="shared" si="64"/>
        <v>0</v>
      </c>
      <c r="AD151" s="100">
        <f t="shared" si="72"/>
        <v>0</v>
      </c>
      <c r="AE151" s="100">
        <f t="shared" si="73"/>
        <v>0</v>
      </c>
      <c r="AF151" s="193">
        <f t="shared" si="60"/>
        <v>0</v>
      </c>
      <c r="AG151" s="193">
        <f t="shared" si="61"/>
        <v>0</v>
      </c>
      <c r="AH151" s="193">
        <f t="shared" si="62"/>
        <v>0</v>
      </c>
      <c r="AI151" s="198">
        <f t="shared" si="63"/>
        <v>0</v>
      </c>
      <c r="AK151" s="71">
        <v>146</v>
      </c>
      <c r="AL151" s="33"/>
      <c r="AM151" s="33"/>
      <c r="AN151" s="33"/>
      <c r="AO151" s="33"/>
      <c r="AP151" s="33"/>
      <c r="AQ151" s="193"/>
      <c r="AR151" s="193"/>
      <c r="AS151" s="193"/>
      <c r="AT151" s="193"/>
      <c r="AU151" s="33"/>
      <c r="AV151" s="33"/>
      <c r="AW151" s="33"/>
      <c r="AX151" s="33"/>
      <c r="AY151" s="76"/>
    </row>
    <row r="152" spans="3:51">
      <c r="C152" s="165" t="s">
        <v>27</v>
      </c>
      <c r="D152" s="4">
        <v>0.43</v>
      </c>
      <c r="E152" s="187" t="s">
        <v>229</v>
      </c>
      <c r="F152" s="342">
        <f>IF(OR(Tableau145[[#This Row],[Type]]="Feuillus",Tableau145[[#This Row],[Type]]="Peupliers"),1.56,1.3)</f>
        <v>1.3</v>
      </c>
      <c r="I152" s="55">
        <v>147</v>
      </c>
      <c r="J152" s="33">
        <f t="shared" si="76"/>
        <v>0</v>
      </c>
      <c r="K152" s="33">
        <f t="shared" si="77"/>
        <v>0</v>
      </c>
      <c r="L152" s="33">
        <f t="shared" si="78"/>
        <v>0</v>
      </c>
      <c r="M152" s="33">
        <f t="shared" si="79"/>
        <v>0</v>
      </c>
      <c r="N152" s="33">
        <f t="shared" si="65"/>
        <v>0</v>
      </c>
      <c r="O152" s="34">
        <f t="shared" si="66"/>
        <v>0</v>
      </c>
      <c r="P152" s="55">
        <v>147</v>
      </c>
      <c r="Q152" s="33">
        <f t="shared" si="74"/>
        <v>0</v>
      </c>
      <c r="R152" s="33">
        <f t="shared" si="80"/>
        <v>0</v>
      </c>
      <c r="S152" s="33">
        <f t="shared" si="81"/>
        <v>0</v>
      </c>
      <c r="T152" s="33">
        <f t="shared" si="67"/>
        <v>0</v>
      </c>
      <c r="U152" s="33">
        <f t="shared" si="75"/>
        <v>0</v>
      </c>
      <c r="V152" s="33">
        <f t="shared" si="68"/>
        <v>0</v>
      </c>
      <c r="W152" s="33">
        <v>0</v>
      </c>
      <c r="X152" s="33">
        <f t="shared" si="69"/>
        <v>0</v>
      </c>
      <c r="Y152" s="38">
        <f t="shared" si="70"/>
        <v>0</v>
      </c>
      <c r="AA152" s="71">
        <v>147</v>
      </c>
      <c r="AB152" s="33">
        <f t="shared" si="71"/>
        <v>0</v>
      </c>
      <c r="AC152" s="304">
        <f t="shared" si="64"/>
        <v>0</v>
      </c>
      <c r="AD152" s="100">
        <f t="shared" si="72"/>
        <v>0</v>
      </c>
      <c r="AE152" s="100">
        <f t="shared" si="73"/>
        <v>0</v>
      </c>
      <c r="AF152" s="193">
        <f t="shared" si="60"/>
        <v>0</v>
      </c>
      <c r="AG152" s="193">
        <f t="shared" si="61"/>
        <v>0</v>
      </c>
      <c r="AH152" s="193">
        <f t="shared" si="62"/>
        <v>0</v>
      </c>
      <c r="AI152" s="198">
        <f t="shared" si="63"/>
        <v>0</v>
      </c>
      <c r="AK152" s="71">
        <v>147</v>
      </c>
      <c r="AL152" s="33"/>
      <c r="AM152" s="33"/>
      <c r="AN152" s="33"/>
      <c r="AO152" s="33"/>
      <c r="AP152" s="33"/>
      <c r="AQ152" s="193"/>
      <c r="AR152" s="193"/>
      <c r="AS152" s="193"/>
      <c r="AT152" s="193"/>
      <c r="AU152" s="33"/>
      <c r="AV152" s="33"/>
      <c r="AW152" s="33"/>
      <c r="AX152" s="33"/>
      <c r="AY152" s="76"/>
    </row>
    <row r="153" spans="3:51">
      <c r="C153" s="165" t="s">
        <v>28</v>
      </c>
      <c r="D153" s="4">
        <v>0.37</v>
      </c>
      <c r="E153" s="187" t="s">
        <v>229</v>
      </c>
      <c r="F153" s="342">
        <f>IF(OR(Tableau145[[#This Row],[Type]]="Feuillus",Tableau145[[#This Row],[Type]]="Peupliers"),1.56,1.3)</f>
        <v>1.3</v>
      </c>
      <c r="I153" s="55">
        <v>148</v>
      </c>
      <c r="J153" s="33">
        <f t="shared" si="76"/>
        <v>0</v>
      </c>
      <c r="K153" s="33">
        <f t="shared" si="77"/>
        <v>0</v>
      </c>
      <c r="L153" s="33">
        <f t="shared" si="78"/>
        <v>0</v>
      </c>
      <c r="M153" s="33">
        <f t="shared" si="79"/>
        <v>0</v>
      </c>
      <c r="N153" s="33">
        <f t="shared" si="65"/>
        <v>0</v>
      </c>
      <c r="O153" s="34">
        <f t="shared" si="66"/>
        <v>0</v>
      </c>
      <c r="P153" s="55">
        <v>148</v>
      </c>
      <c r="Q153" s="33">
        <f t="shared" si="74"/>
        <v>0</v>
      </c>
      <c r="R153" s="33">
        <f t="shared" si="80"/>
        <v>0</v>
      </c>
      <c r="S153" s="33">
        <f t="shared" si="81"/>
        <v>0</v>
      </c>
      <c r="T153" s="33">
        <f t="shared" si="67"/>
        <v>0</v>
      </c>
      <c r="U153" s="33">
        <f t="shared" si="75"/>
        <v>0</v>
      </c>
      <c r="V153" s="33">
        <f t="shared" si="68"/>
        <v>0</v>
      </c>
      <c r="W153" s="33">
        <v>0</v>
      </c>
      <c r="X153" s="33">
        <f t="shared" si="69"/>
        <v>0</v>
      </c>
      <c r="Y153" s="38">
        <f t="shared" si="70"/>
        <v>0</v>
      </c>
      <c r="AA153" s="71">
        <v>148</v>
      </c>
      <c r="AB153" s="33">
        <f t="shared" si="71"/>
        <v>0</v>
      </c>
      <c r="AC153" s="304">
        <f t="shared" si="64"/>
        <v>0</v>
      </c>
      <c r="AD153" s="100">
        <f t="shared" si="72"/>
        <v>0</v>
      </c>
      <c r="AE153" s="100">
        <f t="shared" si="73"/>
        <v>0</v>
      </c>
      <c r="AF153" s="193">
        <f t="shared" si="60"/>
        <v>0</v>
      </c>
      <c r="AG153" s="193">
        <f t="shared" si="61"/>
        <v>0</v>
      </c>
      <c r="AH153" s="193">
        <f t="shared" si="62"/>
        <v>0</v>
      </c>
      <c r="AI153" s="198">
        <f t="shared" si="63"/>
        <v>0</v>
      </c>
      <c r="AK153" s="71">
        <v>148</v>
      </c>
      <c r="AL153" s="33"/>
      <c r="AM153" s="33"/>
      <c r="AN153" s="33"/>
      <c r="AO153" s="33"/>
      <c r="AP153" s="33"/>
      <c r="AQ153" s="193"/>
      <c r="AR153" s="193"/>
      <c r="AS153" s="193"/>
      <c r="AT153" s="193"/>
      <c r="AU153" s="33"/>
      <c r="AV153" s="33"/>
      <c r="AW153" s="33"/>
      <c r="AX153" s="33"/>
      <c r="AY153" s="76"/>
    </row>
    <row r="154" spans="3:51">
      <c r="C154" s="165" t="s">
        <v>29</v>
      </c>
      <c r="D154" s="4">
        <v>0.36</v>
      </c>
      <c r="E154" s="187" t="s">
        <v>229</v>
      </c>
      <c r="F154" s="342">
        <f>IF(OR(Tableau145[[#This Row],[Type]]="Feuillus",Tableau145[[#This Row],[Type]]="Peupliers"),1.56,1.3)</f>
        <v>1.3</v>
      </c>
      <c r="I154" s="55">
        <v>149</v>
      </c>
      <c r="J154" s="33">
        <f t="shared" si="76"/>
        <v>0</v>
      </c>
      <c r="K154" s="33">
        <f t="shared" si="77"/>
        <v>0</v>
      </c>
      <c r="L154" s="33">
        <f t="shared" si="78"/>
        <v>0</v>
      </c>
      <c r="M154" s="33">
        <f t="shared" si="79"/>
        <v>0</v>
      </c>
      <c r="N154" s="33">
        <f t="shared" si="65"/>
        <v>0</v>
      </c>
      <c r="O154" s="34">
        <f t="shared" si="66"/>
        <v>0</v>
      </c>
      <c r="P154" s="55">
        <v>149</v>
      </c>
      <c r="Q154" s="33">
        <f t="shared" si="74"/>
        <v>0</v>
      </c>
      <c r="R154" s="33">
        <f t="shared" si="80"/>
        <v>0</v>
      </c>
      <c r="S154" s="33">
        <f t="shared" si="81"/>
        <v>0</v>
      </c>
      <c r="T154" s="33">
        <f t="shared" si="67"/>
        <v>0</v>
      </c>
      <c r="U154" s="33">
        <f t="shared" si="75"/>
        <v>0</v>
      </c>
      <c r="V154" s="33">
        <f t="shared" si="68"/>
        <v>0</v>
      </c>
      <c r="W154" s="33">
        <v>0</v>
      </c>
      <c r="X154" s="33">
        <f t="shared" si="69"/>
        <v>0</v>
      </c>
      <c r="Y154" s="38">
        <f t="shared" si="70"/>
        <v>0</v>
      </c>
      <c r="AA154" s="71">
        <v>149</v>
      </c>
      <c r="AB154" s="33">
        <f t="shared" si="71"/>
        <v>0</v>
      </c>
      <c r="AC154" s="304">
        <f t="shared" si="64"/>
        <v>0</v>
      </c>
      <c r="AD154" s="100">
        <f t="shared" si="72"/>
        <v>0</v>
      </c>
      <c r="AE154" s="100">
        <f t="shared" si="73"/>
        <v>0</v>
      </c>
      <c r="AF154" s="193">
        <f t="shared" si="60"/>
        <v>0</v>
      </c>
      <c r="AG154" s="193">
        <f t="shared" si="61"/>
        <v>0</v>
      </c>
      <c r="AH154" s="193">
        <f t="shared" si="62"/>
        <v>0</v>
      </c>
      <c r="AI154" s="198">
        <f t="shared" si="63"/>
        <v>0</v>
      </c>
      <c r="AK154" s="71">
        <v>149</v>
      </c>
      <c r="AL154" s="33"/>
      <c r="AM154" s="33"/>
      <c r="AN154" s="33"/>
      <c r="AO154" s="33"/>
      <c r="AP154" s="33"/>
      <c r="AQ154" s="193"/>
      <c r="AR154" s="193"/>
      <c r="AS154" s="193"/>
      <c r="AT154" s="193"/>
      <c r="AU154" s="33"/>
      <c r="AV154" s="33"/>
      <c r="AW154" s="33"/>
      <c r="AX154" s="33"/>
      <c r="AY154" s="76"/>
    </row>
    <row r="155" spans="3:51">
      <c r="C155" s="165" t="s">
        <v>30</v>
      </c>
      <c r="D155" s="4">
        <v>0.51</v>
      </c>
      <c r="E155" s="187" t="s">
        <v>228</v>
      </c>
      <c r="F155" s="342">
        <f>IF(OR(Tableau145[[#This Row],[Type]]="Feuillus",Tableau145[[#This Row],[Type]]="Peupliers"),1.56,1.3)</f>
        <v>1.56</v>
      </c>
      <c r="I155" s="55">
        <v>150</v>
      </c>
      <c r="J155" s="33">
        <f t="shared" si="76"/>
        <v>0</v>
      </c>
      <c r="K155" s="33">
        <f t="shared" si="77"/>
        <v>0</v>
      </c>
      <c r="L155" s="33">
        <f t="shared" si="78"/>
        <v>0</v>
      </c>
      <c r="M155" s="33">
        <f t="shared" si="79"/>
        <v>0</v>
      </c>
      <c r="N155" s="33">
        <f t="shared" si="65"/>
        <v>0</v>
      </c>
      <c r="O155" s="34">
        <f t="shared" si="66"/>
        <v>0</v>
      </c>
      <c r="P155" s="55">
        <v>150</v>
      </c>
      <c r="Q155" s="33">
        <f t="shared" si="74"/>
        <v>0</v>
      </c>
      <c r="R155" s="33">
        <f t="shared" si="80"/>
        <v>0</v>
      </c>
      <c r="S155" s="33">
        <f t="shared" si="81"/>
        <v>0</v>
      </c>
      <c r="T155" s="33">
        <f t="shared" si="67"/>
        <v>0</v>
      </c>
      <c r="U155" s="33">
        <f t="shared" si="75"/>
        <v>0</v>
      </c>
      <c r="V155" s="33">
        <f t="shared" si="68"/>
        <v>0</v>
      </c>
      <c r="W155" s="33">
        <v>0</v>
      </c>
      <c r="X155" s="33">
        <f t="shared" si="69"/>
        <v>0</v>
      </c>
      <c r="Y155" s="38">
        <f t="shared" si="70"/>
        <v>0</v>
      </c>
      <c r="AA155" s="71">
        <v>150</v>
      </c>
      <c r="AB155" s="33">
        <f t="shared" si="71"/>
        <v>0</v>
      </c>
      <c r="AC155" s="304">
        <f t="shared" si="64"/>
        <v>0</v>
      </c>
      <c r="AD155" s="100">
        <f t="shared" si="72"/>
        <v>0</v>
      </c>
      <c r="AE155" s="100">
        <f t="shared" si="73"/>
        <v>0</v>
      </c>
      <c r="AF155" s="193">
        <f t="shared" ref="AF155:AF205" si="82">IF(OR(AA155&lt;=$F$18,AA155&lt;=30),EXP(-LN(2)/$D$104)*AF154+((1-EXP(-LN(2)/$D$104))/(LN(2)/$D$104))*$AB155*AC155*0.475*$F$19*44/12,)</f>
        <v>0</v>
      </c>
      <c r="AG155" s="193">
        <f t="shared" ref="AG155:AG205" si="83">IF(OR(AA155&lt;=$F$18,AA155&lt;=30),EXP(-LN(2)/$D$106)*AG154+((1-EXP(-LN(2)/$D$106))/(LN(2)/$D$106))*$AB155*AD155*0.475*$F$19*44/12,)</f>
        <v>0</v>
      </c>
      <c r="AH155" s="193">
        <f t="shared" ref="AH155:AH205" si="84">IF(OR(AA155&lt;=$F$18,AA155&lt;=30),EXP(-LN(2)/$D$105)*AH154+((1-EXP(-LN(2)/$D$105))/(LN(2)/$D$105))*$AB155*AE155*0.475*$F$19*44/12,)</f>
        <v>0</v>
      </c>
      <c r="AI155" s="198">
        <f t="shared" ref="AI155:AI205" si="85">IF(OR(AA155&lt;=$F$18,AA155&lt;=30),SUM(AF155:AH155),)</f>
        <v>0</v>
      </c>
      <c r="AK155" s="71">
        <v>150</v>
      </c>
      <c r="AL155" s="33"/>
      <c r="AM155" s="33"/>
      <c r="AN155" s="33"/>
      <c r="AO155" s="33"/>
      <c r="AP155" s="33"/>
      <c r="AQ155" s="193"/>
      <c r="AR155" s="193"/>
      <c r="AS155" s="193"/>
      <c r="AT155" s="193"/>
      <c r="AU155" s="33"/>
      <c r="AV155" s="33"/>
      <c r="AW155" s="33"/>
      <c r="AX155" s="33"/>
      <c r="AY155" s="76"/>
    </row>
    <row r="156" spans="3:51">
      <c r="C156" s="165" t="s">
        <v>31</v>
      </c>
      <c r="D156" s="4">
        <v>0.56000000000000005</v>
      </c>
      <c r="E156" s="187" t="s">
        <v>228</v>
      </c>
      <c r="F156" s="342">
        <f>IF(OR(Tableau145[[#This Row],[Type]]="Feuillus",Tableau145[[#This Row],[Type]]="Peupliers"),1.56,1.3)</f>
        <v>1.56</v>
      </c>
      <c r="I156" s="55">
        <v>151</v>
      </c>
      <c r="J156" s="33">
        <f t="shared" si="76"/>
        <v>0</v>
      </c>
      <c r="K156" s="33">
        <f t="shared" si="77"/>
        <v>0</v>
      </c>
      <c r="L156" s="33">
        <f t="shared" si="78"/>
        <v>0</v>
      </c>
      <c r="M156" s="33">
        <f t="shared" si="79"/>
        <v>0</v>
      </c>
      <c r="N156" s="33">
        <f t="shared" si="65"/>
        <v>0</v>
      </c>
      <c r="O156" s="34">
        <f t="shared" si="66"/>
        <v>0</v>
      </c>
      <c r="P156" s="55">
        <v>151</v>
      </c>
      <c r="Q156" s="33">
        <f t="shared" si="74"/>
        <v>0</v>
      </c>
      <c r="R156" s="33">
        <f t="shared" si="80"/>
        <v>0</v>
      </c>
      <c r="S156" s="33">
        <f t="shared" si="81"/>
        <v>0</v>
      </c>
      <c r="T156" s="33">
        <f t="shared" si="67"/>
        <v>0</v>
      </c>
      <c r="U156" s="33">
        <f t="shared" si="75"/>
        <v>0</v>
      </c>
      <c r="V156" s="33">
        <f t="shared" si="68"/>
        <v>0</v>
      </c>
      <c r="W156" s="33">
        <v>0</v>
      </c>
      <c r="X156" s="33">
        <f t="shared" si="69"/>
        <v>0</v>
      </c>
      <c r="Y156" s="38">
        <f t="shared" si="70"/>
        <v>0</v>
      </c>
      <c r="AA156" s="71">
        <v>151</v>
      </c>
      <c r="AB156" s="33">
        <f t="shared" si="71"/>
        <v>0</v>
      </c>
      <c r="AC156" s="304">
        <f t="shared" si="64"/>
        <v>0</v>
      </c>
      <c r="AD156" s="100">
        <f t="shared" si="72"/>
        <v>0</v>
      </c>
      <c r="AE156" s="100">
        <f t="shared" si="73"/>
        <v>0</v>
      </c>
      <c r="AF156" s="193">
        <f t="shared" si="82"/>
        <v>0</v>
      </c>
      <c r="AG156" s="193">
        <f t="shared" si="83"/>
        <v>0</v>
      </c>
      <c r="AH156" s="193">
        <f t="shared" si="84"/>
        <v>0</v>
      </c>
      <c r="AI156" s="198">
        <f t="shared" si="85"/>
        <v>0</v>
      </c>
      <c r="AK156" s="71">
        <v>151</v>
      </c>
      <c r="AL156" s="33"/>
      <c r="AM156" s="33"/>
      <c r="AN156" s="33"/>
      <c r="AO156" s="33"/>
      <c r="AP156" s="33"/>
      <c r="AQ156" s="193"/>
      <c r="AR156" s="193"/>
      <c r="AS156" s="193"/>
      <c r="AT156" s="193"/>
      <c r="AU156" s="33"/>
      <c r="AV156" s="33"/>
      <c r="AW156" s="33"/>
      <c r="AX156" s="33"/>
      <c r="AY156" s="76"/>
    </row>
    <row r="157" spans="3:51">
      <c r="C157" s="165" t="s">
        <v>32</v>
      </c>
      <c r="D157" s="4">
        <v>0.56000000000000005</v>
      </c>
      <c r="E157" s="187" t="s">
        <v>228</v>
      </c>
      <c r="F157" s="342">
        <f>IF(OR(Tableau145[[#This Row],[Type]]="Feuillus",Tableau145[[#This Row],[Type]]="Peupliers"),1.56,1.3)</f>
        <v>1.56</v>
      </c>
      <c r="I157" s="55">
        <v>152</v>
      </c>
      <c r="J157" s="33">
        <f t="shared" si="76"/>
        <v>0</v>
      </c>
      <c r="K157" s="33">
        <f t="shared" si="77"/>
        <v>0</v>
      </c>
      <c r="L157" s="33">
        <f t="shared" si="78"/>
        <v>0</v>
      </c>
      <c r="M157" s="33">
        <f t="shared" si="79"/>
        <v>0</v>
      </c>
      <c r="N157" s="33">
        <f t="shared" si="65"/>
        <v>0</v>
      </c>
      <c r="O157" s="34">
        <f t="shared" si="66"/>
        <v>0</v>
      </c>
      <c r="P157" s="55">
        <v>152</v>
      </c>
      <c r="Q157" s="33">
        <f t="shared" si="74"/>
        <v>0</v>
      </c>
      <c r="R157" s="33">
        <f t="shared" si="80"/>
        <v>0</v>
      </c>
      <c r="S157" s="33">
        <f t="shared" si="81"/>
        <v>0</v>
      </c>
      <c r="T157" s="33">
        <f t="shared" si="67"/>
        <v>0</v>
      </c>
      <c r="U157" s="33">
        <f t="shared" si="75"/>
        <v>0</v>
      </c>
      <c r="V157" s="33">
        <f t="shared" si="68"/>
        <v>0</v>
      </c>
      <c r="W157" s="33">
        <v>0</v>
      </c>
      <c r="X157" s="33">
        <f t="shared" si="69"/>
        <v>0</v>
      </c>
      <c r="Y157" s="38">
        <f t="shared" si="70"/>
        <v>0</v>
      </c>
      <c r="AA157" s="71">
        <v>152</v>
      </c>
      <c r="AB157" s="33">
        <f t="shared" si="71"/>
        <v>0</v>
      </c>
      <c r="AC157" s="304">
        <f t="shared" si="64"/>
        <v>0</v>
      </c>
      <c r="AD157" s="100">
        <f t="shared" si="72"/>
        <v>0</v>
      </c>
      <c r="AE157" s="100">
        <f t="shared" si="73"/>
        <v>0</v>
      </c>
      <c r="AF157" s="193">
        <f t="shared" si="82"/>
        <v>0</v>
      </c>
      <c r="AG157" s="193">
        <f t="shared" si="83"/>
        <v>0</v>
      </c>
      <c r="AH157" s="193">
        <f t="shared" si="84"/>
        <v>0</v>
      </c>
      <c r="AI157" s="198">
        <f t="shared" si="85"/>
        <v>0</v>
      </c>
      <c r="AK157" s="71">
        <v>152</v>
      </c>
      <c r="AL157" s="33"/>
      <c r="AM157" s="33"/>
      <c r="AN157" s="33"/>
      <c r="AO157" s="33"/>
      <c r="AP157" s="33"/>
      <c r="AQ157" s="193"/>
      <c r="AR157" s="193"/>
      <c r="AS157" s="193"/>
      <c r="AT157" s="193"/>
      <c r="AU157" s="33"/>
      <c r="AV157" s="33"/>
      <c r="AW157" s="33"/>
      <c r="AX157" s="33"/>
      <c r="AY157" s="76"/>
    </row>
    <row r="158" spans="3:51">
      <c r="C158" s="165" t="s">
        <v>33</v>
      </c>
      <c r="D158" s="4">
        <v>0.48</v>
      </c>
      <c r="E158" s="187" t="s">
        <v>228</v>
      </c>
      <c r="F158" s="342">
        <f>IF(OR(Tableau145[[#This Row],[Type]]="Feuillus",Tableau145[[#This Row],[Type]]="Peupliers"),1.56,1.3)</f>
        <v>1.56</v>
      </c>
      <c r="I158" s="55">
        <v>153</v>
      </c>
      <c r="J158" s="33">
        <f t="shared" si="76"/>
        <v>0</v>
      </c>
      <c r="K158" s="33">
        <f t="shared" si="77"/>
        <v>0</v>
      </c>
      <c r="L158" s="33">
        <f t="shared" si="78"/>
        <v>0</v>
      </c>
      <c r="M158" s="33">
        <f t="shared" si="79"/>
        <v>0</v>
      </c>
      <c r="N158" s="33">
        <f t="shared" si="65"/>
        <v>0</v>
      </c>
      <c r="O158" s="34">
        <f t="shared" si="66"/>
        <v>0</v>
      </c>
      <c r="P158" s="55">
        <v>153</v>
      </c>
      <c r="Q158" s="33">
        <f t="shared" si="74"/>
        <v>0</v>
      </c>
      <c r="R158" s="33">
        <f t="shared" si="80"/>
        <v>0</v>
      </c>
      <c r="S158" s="33">
        <f t="shared" si="81"/>
        <v>0</v>
      </c>
      <c r="T158" s="33">
        <f t="shared" si="67"/>
        <v>0</v>
      </c>
      <c r="U158" s="33">
        <f t="shared" si="75"/>
        <v>0</v>
      </c>
      <c r="V158" s="33">
        <f t="shared" si="68"/>
        <v>0</v>
      </c>
      <c r="W158" s="33">
        <v>0</v>
      </c>
      <c r="X158" s="33">
        <f t="shared" si="69"/>
        <v>0</v>
      </c>
      <c r="Y158" s="38">
        <f t="shared" si="70"/>
        <v>0</v>
      </c>
      <c r="AA158" s="71">
        <v>153</v>
      </c>
      <c r="AB158" s="33">
        <f t="shared" si="71"/>
        <v>0</v>
      </c>
      <c r="AC158" s="304">
        <f t="shared" si="64"/>
        <v>0</v>
      </c>
      <c r="AD158" s="100">
        <f t="shared" si="72"/>
        <v>0</v>
      </c>
      <c r="AE158" s="100">
        <f t="shared" si="73"/>
        <v>0</v>
      </c>
      <c r="AF158" s="193">
        <f t="shared" si="82"/>
        <v>0</v>
      </c>
      <c r="AG158" s="193">
        <f t="shared" si="83"/>
        <v>0</v>
      </c>
      <c r="AH158" s="193">
        <f t="shared" si="84"/>
        <v>0</v>
      </c>
      <c r="AI158" s="198">
        <f t="shared" si="85"/>
        <v>0</v>
      </c>
      <c r="AK158" s="71">
        <v>153</v>
      </c>
      <c r="AL158" s="33"/>
      <c r="AM158" s="33"/>
      <c r="AN158" s="33"/>
      <c r="AO158" s="33"/>
      <c r="AP158" s="33"/>
      <c r="AQ158" s="193"/>
      <c r="AR158" s="193"/>
      <c r="AS158" s="193"/>
      <c r="AT158" s="193"/>
      <c r="AU158" s="33"/>
      <c r="AV158" s="33"/>
      <c r="AW158" s="33"/>
      <c r="AX158" s="33"/>
      <c r="AY158" s="76"/>
    </row>
    <row r="159" spans="3:51">
      <c r="C159" s="165" t="s">
        <v>34</v>
      </c>
      <c r="D159" s="4">
        <v>0.55000000000000004</v>
      </c>
      <c r="E159" s="187" t="s">
        <v>228</v>
      </c>
      <c r="F159" s="342">
        <f>IF(OR(Tableau145[[#This Row],[Type]]="Feuillus",Tableau145[[#This Row],[Type]]="Peupliers"),1.56,1.3)</f>
        <v>1.56</v>
      </c>
      <c r="I159" s="55">
        <v>154</v>
      </c>
      <c r="J159" s="33">
        <f t="shared" si="76"/>
        <v>0</v>
      </c>
      <c r="K159" s="33">
        <f t="shared" si="77"/>
        <v>0</v>
      </c>
      <c r="L159" s="33">
        <f t="shared" si="78"/>
        <v>0</v>
      </c>
      <c r="M159" s="33">
        <f t="shared" si="79"/>
        <v>0</v>
      </c>
      <c r="N159" s="33">
        <f t="shared" si="65"/>
        <v>0</v>
      </c>
      <c r="O159" s="34">
        <f t="shared" si="66"/>
        <v>0</v>
      </c>
      <c r="P159" s="55">
        <v>154</v>
      </c>
      <c r="Q159" s="33">
        <f t="shared" si="74"/>
        <v>0</v>
      </c>
      <c r="R159" s="33">
        <f t="shared" si="80"/>
        <v>0</v>
      </c>
      <c r="S159" s="33">
        <f t="shared" si="81"/>
        <v>0</v>
      </c>
      <c r="T159" s="33">
        <f t="shared" si="67"/>
        <v>0</v>
      </c>
      <c r="U159" s="33">
        <f t="shared" si="75"/>
        <v>0</v>
      </c>
      <c r="V159" s="33">
        <f t="shared" si="68"/>
        <v>0</v>
      </c>
      <c r="W159" s="33">
        <v>0</v>
      </c>
      <c r="X159" s="33">
        <f t="shared" si="69"/>
        <v>0</v>
      </c>
      <c r="Y159" s="38">
        <f t="shared" si="70"/>
        <v>0</v>
      </c>
      <c r="AA159" s="71">
        <v>154</v>
      </c>
      <c r="AB159" s="33">
        <f t="shared" si="71"/>
        <v>0</v>
      </c>
      <c r="AC159" s="304">
        <f t="shared" ref="AC159:AC205" si="86">IF(AA159&lt;=$F$18,IFERROR(VLOOKUP($AA159,$B$82:$G$94,3,FALSE),0),)*50%</f>
        <v>0</v>
      </c>
      <c r="AD159" s="100">
        <f t="shared" si="72"/>
        <v>0</v>
      </c>
      <c r="AE159" s="100">
        <f t="shared" si="73"/>
        <v>0</v>
      </c>
      <c r="AF159" s="193">
        <f t="shared" si="82"/>
        <v>0</v>
      </c>
      <c r="AG159" s="193">
        <f t="shared" si="83"/>
        <v>0</v>
      </c>
      <c r="AH159" s="193">
        <f t="shared" si="84"/>
        <v>0</v>
      </c>
      <c r="AI159" s="198">
        <f t="shared" si="85"/>
        <v>0</v>
      </c>
      <c r="AK159" s="71">
        <v>154</v>
      </c>
      <c r="AL159" s="33"/>
      <c r="AM159" s="33"/>
      <c r="AN159" s="33"/>
      <c r="AO159" s="33"/>
      <c r="AP159" s="33"/>
      <c r="AQ159" s="193"/>
      <c r="AR159" s="193"/>
      <c r="AS159" s="193"/>
      <c r="AT159" s="193"/>
      <c r="AU159" s="33"/>
      <c r="AV159" s="33"/>
      <c r="AW159" s="33"/>
      <c r="AX159" s="33"/>
      <c r="AY159" s="76"/>
    </row>
    <row r="160" spans="3:51">
      <c r="C160" s="165" t="s">
        <v>35</v>
      </c>
      <c r="D160" s="4">
        <v>0.56000000000000005</v>
      </c>
      <c r="E160" s="187" t="s">
        <v>228</v>
      </c>
      <c r="F160" s="342">
        <f>IF(OR(Tableau145[[#This Row],[Type]]="Feuillus",Tableau145[[#This Row],[Type]]="Peupliers"),1.56,1.3)</f>
        <v>1.56</v>
      </c>
      <c r="I160" s="55">
        <v>155</v>
      </c>
      <c r="J160" s="33">
        <f t="shared" si="76"/>
        <v>0</v>
      </c>
      <c r="K160" s="33">
        <f t="shared" si="77"/>
        <v>0</v>
      </c>
      <c r="L160" s="33">
        <f t="shared" si="78"/>
        <v>0</v>
      </c>
      <c r="M160" s="33">
        <f t="shared" si="79"/>
        <v>0</v>
      </c>
      <c r="N160" s="33">
        <f t="shared" si="65"/>
        <v>0</v>
      </c>
      <c r="O160" s="34">
        <f t="shared" si="66"/>
        <v>0</v>
      </c>
      <c r="P160" s="55">
        <v>155</v>
      </c>
      <c r="Q160" s="33">
        <f t="shared" si="74"/>
        <v>0</v>
      </c>
      <c r="R160" s="33">
        <f t="shared" si="80"/>
        <v>0</v>
      </c>
      <c r="S160" s="33">
        <f t="shared" si="81"/>
        <v>0</v>
      </c>
      <c r="T160" s="33">
        <f t="shared" si="67"/>
        <v>0</v>
      </c>
      <c r="U160" s="33">
        <f t="shared" si="75"/>
        <v>0</v>
      </c>
      <c r="V160" s="33">
        <f t="shared" si="68"/>
        <v>0</v>
      </c>
      <c r="W160" s="33">
        <v>0</v>
      </c>
      <c r="X160" s="33">
        <f t="shared" si="69"/>
        <v>0</v>
      </c>
      <c r="Y160" s="38">
        <f t="shared" si="70"/>
        <v>0</v>
      </c>
      <c r="AA160" s="71">
        <v>155</v>
      </c>
      <c r="AB160" s="33">
        <f t="shared" si="71"/>
        <v>0</v>
      </c>
      <c r="AC160" s="304">
        <f t="shared" si="86"/>
        <v>0</v>
      </c>
      <c r="AD160" s="100">
        <f t="shared" si="72"/>
        <v>0</v>
      </c>
      <c r="AE160" s="100">
        <f t="shared" si="73"/>
        <v>0</v>
      </c>
      <c r="AF160" s="193">
        <f t="shared" si="82"/>
        <v>0</v>
      </c>
      <c r="AG160" s="193">
        <f t="shared" si="83"/>
        <v>0</v>
      </c>
      <c r="AH160" s="193">
        <f t="shared" si="84"/>
        <v>0</v>
      </c>
      <c r="AI160" s="198">
        <f t="shared" si="85"/>
        <v>0</v>
      </c>
      <c r="AK160" s="71">
        <v>155</v>
      </c>
      <c r="AL160" s="33"/>
      <c r="AM160" s="33"/>
      <c r="AN160" s="33"/>
      <c r="AO160" s="33"/>
      <c r="AP160" s="33"/>
      <c r="AQ160" s="193"/>
      <c r="AR160" s="193"/>
      <c r="AS160" s="193"/>
      <c r="AT160" s="193"/>
      <c r="AU160" s="33"/>
      <c r="AV160" s="33"/>
      <c r="AW160" s="33"/>
      <c r="AX160" s="33"/>
      <c r="AY160" s="76"/>
    </row>
    <row r="161" spans="3:51">
      <c r="C161" s="165" t="s">
        <v>36</v>
      </c>
      <c r="D161" s="4">
        <v>0.57999999999999996</v>
      </c>
      <c r="E161" s="187" t="s">
        <v>228</v>
      </c>
      <c r="F161" s="342">
        <f>IF(OR(Tableau145[[#This Row],[Type]]="Feuillus",Tableau145[[#This Row],[Type]]="Peupliers"),1.56,1.3)</f>
        <v>1.56</v>
      </c>
      <c r="I161" s="55">
        <v>156</v>
      </c>
      <c r="J161" s="33">
        <f t="shared" si="76"/>
        <v>0</v>
      </c>
      <c r="K161" s="33">
        <f t="shared" si="77"/>
        <v>0</v>
      </c>
      <c r="L161" s="33">
        <f t="shared" si="78"/>
        <v>0</v>
      </c>
      <c r="M161" s="33">
        <f t="shared" si="79"/>
        <v>0</v>
      </c>
      <c r="N161" s="33">
        <f t="shared" si="65"/>
        <v>0</v>
      </c>
      <c r="O161" s="34">
        <f t="shared" si="66"/>
        <v>0</v>
      </c>
      <c r="P161" s="55">
        <v>156</v>
      </c>
      <c r="Q161" s="33">
        <f t="shared" si="74"/>
        <v>0</v>
      </c>
      <c r="R161" s="33">
        <f t="shared" si="80"/>
        <v>0</v>
      </c>
      <c r="S161" s="33">
        <f t="shared" si="81"/>
        <v>0</v>
      </c>
      <c r="T161" s="33">
        <f t="shared" si="67"/>
        <v>0</v>
      </c>
      <c r="U161" s="33">
        <f t="shared" si="75"/>
        <v>0</v>
      </c>
      <c r="V161" s="33">
        <f t="shared" si="68"/>
        <v>0</v>
      </c>
      <c r="W161" s="33">
        <v>0</v>
      </c>
      <c r="X161" s="33">
        <f t="shared" si="69"/>
        <v>0</v>
      </c>
      <c r="Y161" s="38">
        <f t="shared" si="70"/>
        <v>0</v>
      </c>
      <c r="AA161" s="71">
        <v>156</v>
      </c>
      <c r="AB161" s="33">
        <f t="shared" si="71"/>
        <v>0</v>
      </c>
      <c r="AC161" s="304">
        <f t="shared" si="86"/>
        <v>0</v>
      </c>
      <c r="AD161" s="100">
        <f t="shared" si="72"/>
        <v>0</v>
      </c>
      <c r="AE161" s="100">
        <f t="shared" si="73"/>
        <v>0</v>
      </c>
      <c r="AF161" s="193">
        <f t="shared" si="82"/>
        <v>0</v>
      </c>
      <c r="AG161" s="193">
        <f t="shared" si="83"/>
        <v>0</v>
      </c>
      <c r="AH161" s="193">
        <f t="shared" si="84"/>
        <v>0</v>
      </c>
      <c r="AI161" s="198">
        <f t="shared" si="85"/>
        <v>0</v>
      </c>
      <c r="AK161" s="71">
        <v>156</v>
      </c>
      <c r="AL161" s="33"/>
      <c r="AM161" s="33"/>
      <c r="AN161" s="33"/>
      <c r="AO161" s="33"/>
      <c r="AP161" s="33"/>
      <c r="AQ161" s="193"/>
      <c r="AR161" s="193"/>
      <c r="AS161" s="193"/>
      <c r="AT161" s="193"/>
      <c r="AU161" s="33"/>
      <c r="AV161" s="33"/>
      <c r="AW161" s="33"/>
      <c r="AX161" s="33"/>
      <c r="AY161" s="76"/>
    </row>
    <row r="162" spans="3:51">
      <c r="C162" s="165" t="s">
        <v>37</v>
      </c>
      <c r="D162" s="4">
        <v>0.57999999999999996</v>
      </c>
      <c r="E162" s="187" t="s">
        <v>229</v>
      </c>
      <c r="F162" s="342">
        <f>IF(OR(Tableau145[[#This Row],[Type]]="Feuillus",Tableau145[[#This Row],[Type]]="Peupliers"),1.56,1.3)</f>
        <v>1.3</v>
      </c>
      <c r="I162" s="55">
        <v>157</v>
      </c>
      <c r="J162" s="33">
        <f t="shared" si="76"/>
        <v>0</v>
      </c>
      <c r="K162" s="33">
        <f t="shared" si="77"/>
        <v>0</v>
      </c>
      <c r="L162" s="33">
        <f t="shared" si="78"/>
        <v>0</v>
      </c>
      <c r="M162" s="33">
        <f t="shared" si="79"/>
        <v>0</v>
      </c>
      <c r="N162" s="33">
        <f t="shared" si="65"/>
        <v>0</v>
      </c>
      <c r="O162" s="34">
        <f t="shared" si="66"/>
        <v>0</v>
      </c>
      <c r="P162" s="55">
        <v>157</v>
      </c>
      <c r="Q162" s="33">
        <f t="shared" si="74"/>
        <v>0</v>
      </c>
      <c r="R162" s="33">
        <f t="shared" si="80"/>
        <v>0</v>
      </c>
      <c r="S162" s="33">
        <f t="shared" si="81"/>
        <v>0</v>
      </c>
      <c r="T162" s="33">
        <f t="shared" si="67"/>
        <v>0</v>
      </c>
      <c r="U162" s="33">
        <f t="shared" si="75"/>
        <v>0</v>
      </c>
      <c r="V162" s="33">
        <f t="shared" si="68"/>
        <v>0</v>
      </c>
      <c r="W162" s="33">
        <v>0</v>
      </c>
      <c r="X162" s="33">
        <f t="shared" si="69"/>
        <v>0</v>
      </c>
      <c r="Y162" s="38">
        <f t="shared" si="70"/>
        <v>0</v>
      </c>
      <c r="AA162" s="71">
        <v>157</v>
      </c>
      <c r="AB162" s="33">
        <f t="shared" si="71"/>
        <v>0</v>
      </c>
      <c r="AC162" s="304">
        <f t="shared" si="86"/>
        <v>0</v>
      </c>
      <c r="AD162" s="100">
        <f t="shared" si="72"/>
        <v>0</v>
      </c>
      <c r="AE162" s="100">
        <f t="shared" si="73"/>
        <v>0</v>
      </c>
      <c r="AF162" s="193">
        <f t="shared" si="82"/>
        <v>0</v>
      </c>
      <c r="AG162" s="193">
        <f t="shared" si="83"/>
        <v>0</v>
      </c>
      <c r="AH162" s="193">
        <f t="shared" si="84"/>
        <v>0</v>
      </c>
      <c r="AI162" s="198">
        <f t="shared" si="85"/>
        <v>0</v>
      </c>
      <c r="AK162" s="71">
        <v>157</v>
      </c>
      <c r="AL162" s="33"/>
      <c r="AM162" s="33"/>
      <c r="AN162" s="33"/>
      <c r="AO162" s="33"/>
      <c r="AP162" s="33"/>
      <c r="AQ162" s="193"/>
      <c r="AR162" s="193"/>
      <c r="AS162" s="193"/>
      <c r="AT162" s="193"/>
      <c r="AU162" s="33"/>
      <c r="AV162" s="33"/>
      <c r="AW162" s="33"/>
      <c r="AX162" s="33"/>
      <c r="AY162" s="76"/>
    </row>
    <row r="163" spans="3:51">
      <c r="C163" s="165" t="s">
        <v>38</v>
      </c>
      <c r="D163" s="4">
        <v>0.48</v>
      </c>
      <c r="E163" s="187" t="s">
        <v>229</v>
      </c>
      <c r="F163" s="342">
        <f>IF(OR(Tableau145[[#This Row],[Type]]="Feuillus",Tableau145[[#This Row],[Type]]="Peupliers"),1.56,1.3)</f>
        <v>1.3</v>
      </c>
      <c r="I163" s="55">
        <v>158</v>
      </c>
      <c r="J163" s="33">
        <f t="shared" si="76"/>
        <v>0</v>
      </c>
      <c r="K163" s="33">
        <f t="shared" si="77"/>
        <v>0</v>
      </c>
      <c r="L163" s="33">
        <f t="shared" si="78"/>
        <v>0</v>
      </c>
      <c r="M163" s="33">
        <f t="shared" si="79"/>
        <v>0</v>
      </c>
      <c r="N163" s="33">
        <f t="shared" si="65"/>
        <v>0</v>
      </c>
      <c r="O163" s="34">
        <f t="shared" si="66"/>
        <v>0</v>
      </c>
      <c r="P163" s="55">
        <v>158</v>
      </c>
      <c r="Q163" s="33">
        <f t="shared" si="74"/>
        <v>0</v>
      </c>
      <c r="R163" s="33">
        <f t="shared" si="80"/>
        <v>0</v>
      </c>
      <c r="S163" s="33">
        <f t="shared" si="81"/>
        <v>0</v>
      </c>
      <c r="T163" s="33">
        <f t="shared" si="67"/>
        <v>0</v>
      </c>
      <c r="U163" s="33">
        <f t="shared" si="75"/>
        <v>0</v>
      </c>
      <c r="V163" s="33">
        <f t="shared" si="68"/>
        <v>0</v>
      </c>
      <c r="W163" s="33">
        <v>0</v>
      </c>
      <c r="X163" s="33">
        <f t="shared" si="69"/>
        <v>0</v>
      </c>
      <c r="Y163" s="38">
        <f t="shared" si="70"/>
        <v>0</v>
      </c>
      <c r="AA163" s="71">
        <v>158</v>
      </c>
      <c r="AB163" s="33">
        <f t="shared" si="71"/>
        <v>0</v>
      </c>
      <c r="AC163" s="304">
        <f t="shared" si="86"/>
        <v>0</v>
      </c>
      <c r="AD163" s="100">
        <f t="shared" si="72"/>
        <v>0</v>
      </c>
      <c r="AE163" s="100">
        <f t="shared" si="73"/>
        <v>0</v>
      </c>
      <c r="AF163" s="193">
        <f t="shared" si="82"/>
        <v>0</v>
      </c>
      <c r="AG163" s="193">
        <f t="shared" si="83"/>
        <v>0</v>
      </c>
      <c r="AH163" s="193">
        <f t="shared" si="84"/>
        <v>0</v>
      </c>
      <c r="AI163" s="198">
        <f t="shared" si="85"/>
        <v>0</v>
      </c>
      <c r="AK163" s="71">
        <v>158</v>
      </c>
      <c r="AL163" s="33"/>
      <c r="AM163" s="33"/>
      <c r="AN163" s="33"/>
      <c r="AO163" s="33"/>
      <c r="AP163" s="33"/>
      <c r="AQ163" s="193"/>
      <c r="AR163" s="193"/>
      <c r="AS163" s="193"/>
      <c r="AT163" s="193"/>
      <c r="AU163" s="33"/>
      <c r="AV163" s="33"/>
      <c r="AW163" s="33"/>
      <c r="AX163" s="33"/>
      <c r="AY163" s="76"/>
    </row>
    <row r="164" spans="3:51">
      <c r="C164" s="165" t="s">
        <v>39</v>
      </c>
      <c r="D164" s="4">
        <v>0.42</v>
      </c>
      <c r="E164" s="187" t="s">
        <v>229</v>
      </c>
      <c r="F164" s="342">
        <f>IF(OR(Tableau145[[#This Row],[Type]]="Feuillus",Tableau145[[#This Row],[Type]]="Peupliers"),1.56,1.3)</f>
        <v>1.3</v>
      </c>
      <c r="I164" s="55">
        <v>159</v>
      </c>
      <c r="J164" s="33">
        <f t="shared" si="76"/>
        <v>0</v>
      </c>
      <c r="K164" s="33">
        <f t="shared" si="77"/>
        <v>0</v>
      </c>
      <c r="L164" s="33">
        <f t="shared" si="78"/>
        <v>0</v>
      </c>
      <c r="M164" s="33">
        <f t="shared" si="79"/>
        <v>0</v>
      </c>
      <c r="N164" s="33">
        <f t="shared" si="65"/>
        <v>0</v>
      </c>
      <c r="O164" s="34">
        <f t="shared" si="66"/>
        <v>0</v>
      </c>
      <c r="P164" s="55">
        <v>159</v>
      </c>
      <c r="Q164" s="33">
        <f t="shared" si="74"/>
        <v>0</v>
      </c>
      <c r="R164" s="33">
        <f t="shared" si="80"/>
        <v>0</v>
      </c>
      <c r="S164" s="33">
        <f t="shared" si="81"/>
        <v>0</v>
      </c>
      <c r="T164" s="33">
        <f t="shared" si="67"/>
        <v>0</v>
      </c>
      <c r="U164" s="33">
        <f t="shared" si="75"/>
        <v>0</v>
      </c>
      <c r="V164" s="33">
        <f t="shared" si="68"/>
        <v>0</v>
      </c>
      <c r="W164" s="33">
        <v>0</v>
      </c>
      <c r="X164" s="33">
        <f t="shared" si="69"/>
        <v>0</v>
      </c>
      <c r="Y164" s="38">
        <f t="shared" si="70"/>
        <v>0</v>
      </c>
      <c r="AA164" s="71">
        <v>159</v>
      </c>
      <c r="AB164" s="33">
        <f t="shared" si="71"/>
        <v>0</v>
      </c>
      <c r="AC164" s="304">
        <f t="shared" si="86"/>
        <v>0</v>
      </c>
      <c r="AD164" s="100">
        <f t="shared" si="72"/>
        <v>0</v>
      </c>
      <c r="AE164" s="100">
        <f t="shared" si="73"/>
        <v>0</v>
      </c>
      <c r="AF164" s="193">
        <f t="shared" si="82"/>
        <v>0</v>
      </c>
      <c r="AG164" s="193">
        <f t="shared" si="83"/>
        <v>0</v>
      </c>
      <c r="AH164" s="193">
        <f t="shared" si="84"/>
        <v>0</v>
      </c>
      <c r="AI164" s="198">
        <f t="shared" si="85"/>
        <v>0</v>
      </c>
      <c r="AK164" s="71">
        <v>159</v>
      </c>
      <c r="AL164" s="33"/>
      <c r="AM164" s="33"/>
      <c r="AN164" s="33"/>
      <c r="AO164" s="33"/>
      <c r="AP164" s="33"/>
      <c r="AQ164" s="193"/>
      <c r="AR164" s="193"/>
      <c r="AS164" s="193"/>
      <c r="AT164" s="193"/>
      <c r="AU164" s="33"/>
      <c r="AV164" s="33"/>
      <c r="AW164" s="33"/>
      <c r="AX164" s="33"/>
      <c r="AY164" s="76"/>
    </row>
    <row r="165" spans="3:51">
      <c r="C165" s="165" t="s">
        <v>40</v>
      </c>
      <c r="D165" s="4">
        <v>0.5</v>
      </c>
      <c r="E165" s="187" t="s">
        <v>228</v>
      </c>
      <c r="F165" s="342">
        <f>IF(OR(Tableau145[[#This Row],[Type]]="Feuillus",Tableau145[[#This Row],[Type]]="Peupliers"),1.56,1.3)</f>
        <v>1.56</v>
      </c>
      <c r="I165" s="55">
        <v>160</v>
      </c>
      <c r="J165" s="33">
        <f t="shared" si="76"/>
        <v>0</v>
      </c>
      <c r="K165" s="33">
        <f t="shared" si="77"/>
        <v>0</v>
      </c>
      <c r="L165" s="33">
        <f t="shared" si="78"/>
        <v>0</v>
      </c>
      <c r="M165" s="33">
        <f t="shared" si="79"/>
        <v>0</v>
      </c>
      <c r="N165" s="33">
        <f t="shared" si="65"/>
        <v>0</v>
      </c>
      <c r="O165" s="34">
        <f t="shared" si="66"/>
        <v>0</v>
      </c>
      <c r="P165" s="55">
        <v>160</v>
      </c>
      <c r="Q165" s="33">
        <f t="shared" si="74"/>
        <v>0</v>
      </c>
      <c r="R165" s="33">
        <f t="shared" si="80"/>
        <v>0</v>
      </c>
      <c r="S165" s="33">
        <f t="shared" si="81"/>
        <v>0</v>
      </c>
      <c r="T165" s="33">
        <f t="shared" si="67"/>
        <v>0</v>
      </c>
      <c r="U165" s="33">
        <f t="shared" si="75"/>
        <v>0</v>
      </c>
      <c r="V165" s="33">
        <f t="shared" si="68"/>
        <v>0</v>
      </c>
      <c r="W165" s="33">
        <v>0</v>
      </c>
      <c r="X165" s="33">
        <f t="shared" si="69"/>
        <v>0</v>
      </c>
      <c r="Y165" s="38">
        <f t="shared" si="70"/>
        <v>0</v>
      </c>
      <c r="AA165" s="71">
        <v>160</v>
      </c>
      <c r="AB165" s="33">
        <f t="shared" si="71"/>
        <v>0</v>
      </c>
      <c r="AC165" s="304">
        <f t="shared" si="86"/>
        <v>0</v>
      </c>
      <c r="AD165" s="100">
        <f t="shared" si="72"/>
        <v>0</v>
      </c>
      <c r="AE165" s="100">
        <f t="shared" si="73"/>
        <v>0</v>
      </c>
      <c r="AF165" s="193">
        <f t="shared" si="82"/>
        <v>0</v>
      </c>
      <c r="AG165" s="193">
        <f t="shared" si="83"/>
        <v>0</v>
      </c>
      <c r="AH165" s="193">
        <f t="shared" si="84"/>
        <v>0</v>
      </c>
      <c r="AI165" s="198">
        <f t="shared" si="85"/>
        <v>0</v>
      </c>
      <c r="AK165" s="71">
        <v>160</v>
      </c>
      <c r="AL165" s="33"/>
      <c r="AM165" s="33"/>
      <c r="AN165" s="33"/>
      <c r="AO165" s="33"/>
      <c r="AP165" s="33"/>
      <c r="AQ165" s="193"/>
      <c r="AR165" s="193"/>
      <c r="AS165" s="193"/>
      <c r="AT165" s="193"/>
      <c r="AU165" s="33"/>
      <c r="AV165" s="33"/>
      <c r="AW165" s="33"/>
      <c r="AX165" s="33"/>
      <c r="AY165" s="76"/>
    </row>
    <row r="166" spans="3:51">
      <c r="C166" s="165" t="s">
        <v>41</v>
      </c>
      <c r="D166" s="4">
        <v>0.55000000000000004</v>
      </c>
      <c r="E166" s="187" t="s">
        <v>228</v>
      </c>
      <c r="F166" s="342">
        <f>IF(OR(Tableau145[[#This Row],[Type]]="Feuillus",Tableau145[[#This Row],[Type]]="Peupliers"),1.56,1.3)</f>
        <v>1.56</v>
      </c>
      <c r="I166" s="55">
        <v>161</v>
      </c>
      <c r="J166" s="33">
        <f t="shared" si="76"/>
        <v>0</v>
      </c>
      <c r="K166" s="33">
        <f t="shared" si="77"/>
        <v>0</v>
      </c>
      <c r="L166" s="33">
        <f t="shared" si="78"/>
        <v>0</v>
      </c>
      <c r="M166" s="33">
        <f t="shared" si="79"/>
        <v>0</v>
      </c>
      <c r="N166" s="33">
        <f t="shared" si="65"/>
        <v>0</v>
      </c>
      <c r="O166" s="34">
        <f t="shared" si="66"/>
        <v>0</v>
      </c>
      <c r="P166" s="55">
        <v>161</v>
      </c>
      <c r="Q166" s="33">
        <f t="shared" si="74"/>
        <v>0</v>
      </c>
      <c r="R166" s="33">
        <f t="shared" si="80"/>
        <v>0</v>
      </c>
      <c r="S166" s="33">
        <f t="shared" si="81"/>
        <v>0</v>
      </c>
      <c r="T166" s="33">
        <f t="shared" si="67"/>
        <v>0</v>
      </c>
      <c r="U166" s="33">
        <f t="shared" si="75"/>
        <v>0</v>
      </c>
      <c r="V166" s="33">
        <f t="shared" si="68"/>
        <v>0</v>
      </c>
      <c r="W166" s="33">
        <v>0</v>
      </c>
      <c r="X166" s="33">
        <f t="shared" si="69"/>
        <v>0</v>
      </c>
      <c r="Y166" s="38">
        <f t="shared" si="70"/>
        <v>0</v>
      </c>
      <c r="AA166" s="71">
        <v>161</v>
      </c>
      <c r="AB166" s="33">
        <f t="shared" si="71"/>
        <v>0</v>
      </c>
      <c r="AC166" s="304">
        <f t="shared" si="86"/>
        <v>0</v>
      </c>
      <c r="AD166" s="100">
        <f t="shared" si="72"/>
        <v>0</v>
      </c>
      <c r="AE166" s="100">
        <f t="shared" si="73"/>
        <v>0</v>
      </c>
      <c r="AF166" s="193">
        <f t="shared" si="82"/>
        <v>0</v>
      </c>
      <c r="AG166" s="193">
        <f t="shared" si="83"/>
        <v>0</v>
      </c>
      <c r="AH166" s="193">
        <f t="shared" si="84"/>
        <v>0</v>
      </c>
      <c r="AI166" s="198">
        <f t="shared" si="85"/>
        <v>0</v>
      </c>
      <c r="AK166" s="71">
        <v>161</v>
      </c>
      <c r="AL166" s="33"/>
      <c r="AM166" s="33"/>
      <c r="AN166" s="33"/>
      <c r="AO166" s="33"/>
      <c r="AP166" s="33"/>
      <c r="AQ166" s="193"/>
      <c r="AR166" s="193"/>
      <c r="AS166" s="193"/>
      <c r="AT166" s="193"/>
      <c r="AU166" s="33"/>
      <c r="AV166" s="33"/>
      <c r="AW166" s="33"/>
      <c r="AX166" s="33"/>
      <c r="AY166" s="76"/>
    </row>
    <row r="167" spans="3:51">
      <c r="C167" s="165" t="s">
        <v>42</v>
      </c>
      <c r="D167" s="4">
        <v>0.53</v>
      </c>
      <c r="E167" s="187" t="s">
        <v>228</v>
      </c>
      <c r="F167" s="342">
        <f>IF(OR(Tableau145[[#This Row],[Type]]="Feuillus",Tableau145[[#This Row],[Type]]="Peupliers"),1.56,1.3)</f>
        <v>1.56</v>
      </c>
      <c r="I167" s="55">
        <v>162</v>
      </c>
      <c r="J167" s="33">
        <f t="shared" si="76"/>
        <v>0</v>
      </c>
      <c r="K167" s="33">
        <f t="shared" si="77"/>
        <v>0</v>
      </c>
      <c r="L167" s="33">
        <f t="shared" si="78"/>
        <v>0</v>
      </c>
      <c r="M167" s="33">
        <f t="shared" si="79"/>
        <v>0</v>
      </c>
      <c r="N167" s="33">
        <f t="shared" si="65"/>
        <v>0</v>
      </c>
      <c r="O167" s="34">
        <f t="shared" si="66"/>
        <v>0</v>
      </c>
      <c r="P167" s="55">
        <v>162</v>
      </c>
      <c r="Q167" s="33">
        <f t="shared" si="74"/>
        <v>0</v>
      </c>
      <c r="R167" s="33">
        <f t="shared" si="80"/>
        <v>0</v>
      </c>
      <c r="S167" s="33">
        <f t="shared" si="81"/>
        <v>0</v>
      </c>
      <c r="T167" s="33">
        <f t="shared" si="67"/>
        <v>0</v>
      </c>
      <c r="U167" s="33">
        <f t="shared" si="75"/>
        <v>0</v>
      </c>
      <c r="V167" s="33">
        <f t="shared" si="68"/>
        <v>0</v>
      </c>
      <c r="W167" s="33">
        <v>0</v>
      </c>
      <c r="X167" s="33">
        <f t="shared" si="69"/>
        <v>0</v>
      </c>
      <c r="Y167" s="38">
        <f t="shared" si="70"/>
        <v>0</v>
      </c>
      <c r="AA167" s="71">
        <v>162</v>
      </c>
      <c r="AB167" s="33">
        <f t="shared" si="71"/>
        <v>0</v>
      </c>
      <c r="AC167" s="304">
        <f t="shared" si="86"/>
        <v>0</v>
      </c>
      <c r="AD167" s="100">
        <f t="shared" si="72"/>
        <v>0</v>
      </c>
      <c r="AE167" s="100">
        <f t="shared" si="73"/>
        <v>0</v>
      </c>
      <c r="AF167" s="193">
        <f t="shared" si="82"/>
        <v>0</v>
      </c>
      <c r="AG167" s="193">
        <f t="shared" si="83"/>
        <v>0</v>
      </c>
      <c r="AH167" s="193">
        <f t="shared" si="84"/>
        <v>0</v>
      </c>
      <c r="AI167" s="198">
        <f t="shared" si="85"/>
        <v>0</v>
      </c>
      <c r="AK167" s="71">
        <v>162</v>
      </c>
      <c r="AL167" s="33"/>
      <c r="AM167" s="33"/>
      <c r="AN167" s="33"/>
      <c r="AO167" s="33"/>
      <c r="AP167" s="33"/>
      <c r="AQ167" s="193"/>
      <c r="AR167" s="193"/>
      <c r="AS167" s="193"/>
      <c r="AT167" s="193"/>
      <c r="AU167" s="33"/>
      <c r="AV167" s="33"/>
      <c r="AW167" s="33"/>
      <c r="AX167" s="33"/>
      <c r="AY167" s="76"/>
    </row>
    <row r="168" spans="3:51">
      <c r="C168" s="165" t="s">
        <v>43</v>
      </c>
      <c r="D168" s="4">
        <v>0.52</v>
      </c>
      <c r="E168" s="187" t="s">
        <v>228</v>
      </c>
      <c r="F168" s="342">
        <f>IF(OR(Tableau145[[#This Row],[Type]]="Feuillus",Tableau145[[#This Row],[Type]]="Peupliers"),1.56,1.3)</f>
        <v>1.56</v>
      </c>
      <c r="I168" s="55">
        <v>163</v>
      </c>
      <c r="J168" s="33">
        <f t="shared" si="76"/>
        <v>0</v>
      </c>
      <c r="K168" s="33">
        <f t="shared" si="77"/>
        <v>0</v>
      </c>
      <c r="L168" s="33">
        <f t="shared" si="78"/>
        <v>0</v>
      </c>
      <c r="M168" s="33">
        <f t="shared" si="79"/>
        <v>0</v>
      </c>
      <c r="N168" s="33">
        <f t="shared" si="65"/>
        <v>0</v>
      </c>
      <c r="O168" s="34">
        <f t="shared" si="66"/>
        <v>0</v>
      </c>
      <c r="P168" s="55">
        <v>163</v>
      </c>
      <c r="Q168" s="33">
        <f t="shared" si="74"/>
        <v>0</v>
      </c>
      <c r="R168" s="33">
        <f t="shared" si="80"/>
        <v>0</v>
      </c>
      <c r="S168" s="33">
        <f t="shared" si="81"/>
        <v>0</v>
      </c>
      <c r="T168" s="33">
        <f t="shared" si="67"/>
        <v>0</v>
      </c>
      <c r="U168" s="33">
        <f t="shared" si="75"/>
        <v>0</v>
      </c>
      <c r="V168" s="33">
        <f t="shared" si="68"/>
        <v>0</v>
      </c>
      <c r="W168" s="33">
        <v>0</v>
      </c>
      <c r="X168" s="33">
        <f t="shared" si="69"/>
        <v>0</v>
      </c>
      <c r="Y168" s="38">
        <f t="shared" si="70"/>
        <v>0</v>
      </c>
      <c r="AA168" s="71">
        <v>163</v>
      </c>
      <c r="AB168" s="33">
        <f t="shared" si="71"/>
        <v>0</v>
      </c>
      <c r="AC168" s="304">
        <f t="shared" si="86"/>
        <v>0</v>
      </c>
      <c r="AD168" s="100">
        <f t="shared" si="72"/>
        <v>0</v>
      </c>
      <c r="AE168" s="100">
        <f t="shared" si="73"/>
        <v>0</v>
      </c>
      <c r="AF168" s="193">
        <f t="shared" si="82"/>
        <v>0</v>
      </c>
      <c r="AG168" s="193">
        <f t="shared" si="83"/>
        <v>0</v>
      </c>
      <c r="AH168" s="193">
        <f t="shared" si="84"/>
        <v>0</v>
      </c>
      <c r="AI168" s="198">
        <f t="shared" si="85"/>
        <v>0</v>
      </c>
      <c r="AK168" s="71">
        <v>163</v>
      </c>
      <c r="AL168" s="33"/>
      <c r="AM168" s="33"/>
      <c r="AN168" s="33"/>
      <c r="AO168" s="33"/>
      <c r="AP168" s="33"/>
      <c r="AQ168" s="193"/>
      <c r="AR168" s="193"/>
      <c r="AS168" s="193"/>
      <c r="AT168" s="193"/>
      <c r="AU168" s="33"/>
      <c r="AV168" s="33"/>
      <c r="AW168" s="33"/>
      <c r="AX168" s="33"/>
      <c r="AY168" s="76"/>
    </row>
    <row r="169" spans="3:51">
      <c r="C169" s="165" t="s">
        <v>44</v>
      </c>
      <c r="D169" s="4">
        <v>0.52</v>
      </c>
      <c r="E169" s="187" t="s">
        <v>228</v>
      </c>
      <c r="F169" s="342">
        <f>IF(OR(Tableau145[[#This Row],[Type]]="Feuillus",Tableau145[[#This Row],[Type]]="Peupliers"),1.56,1.3)</f>
        <v>1.56</v>
      </c>
      <c r="I169" s="55">
        <v>164</v>
      </c>
      <c r="J169" s="33">
        <f t="shared" si="76"/>
        <v>0</v>
      </c>
      <c r="K169" s="33">
        <f t="shared" si="77"/>
        <v>0</v>
      </c>
      <c r="L169" s="33">
        <f t="shared" si="78"/>
        <v>0</v>
      </c>
      <c r="M169" s="33">
        <f t="shared" si="79"/>
        <v>0</v>
      </c>
      <c r="N169" s="33">
        <f t="shared" si="65"/>
        <v>0</v>
      </c>
      <c r="O169" s="34">
        <f t="shared" si="66"/>
        <v>0</v>
      </c>
      <c r="P169" s="55">
        <v>164</v>
      </c>
      <c r="Q169" s="33">
        <f t="shared" si="74"/>
        <v>0</v>
      </c>
      <c r="R169" s="33">
        <f t="shared" si="80"/>
        <v>0</v>
      </c>
      <c r="S169" s="33">
        <f t="shared" si="81"/>
        <v>0</v>
      </c>
      <c r="T169" s="33">
        <f t="shared" si="67"/>
        <v>0</v>
      </c>
      <c r="U169" s="33">
        <f t="shared" si="75"/>
        <v>0</v>
      </c>
      <c r="V169" s="33">
        <f t="shared" si="68"/>
        <v>0</v>
      </c>
      <c r="W169" s="33">
        <v>0</v>
      </c>
      <c r="X169" s="33">
        <f t="shared" si="69"/>
        <v>0</v>
      </c>
      <c r="Y169" s="38">
        <f t="shared" si="70"/>
        <v>0</v>
      </c>
      <c r="AA169" s="71">
        <v>164</v>
      </c>
      <c r="AB169" s="33">
        <f t="shared" si="71"/>
        <v>0</v>
      </c>
      <c r="AC169" s="304">
        <f t="shared" si="86"/>
        <v>0</v>
      </c>
      <c r="AD169" s="100">
        <f t="shared" si="72"/>
        <v>0</v>
      </c>
      <c r="AE169" s="100">
        <f t="shared" si="73"/>
        <v>0</v>
      </c>
      <c r="AF169" s="193">
        <f t="shared" si="82"/>
        <v>0</v>
      </c>
      <c r="AG169" s="193">
        <f t="shared" si="83"/>
        <v>0</v>
      </c>
      <c r="AH169" s="193">
        <f t="shared" si="84"/>
        <v>0</v>
      </c>
      <c r="AI169" s="198">
        <f t="shared" si="85"/>
        <v>0</v>
      </c>
      <c r="AK169" s="71">
        <v>164</v>
      </c>
      <c r="AL169" s="33"/>
      <c r="AM169" s="33"/>
      <c r="AN169" s="33"/>
      <c r="AO169" s="33"/>
      <c r="AP169" s="33"/>
      <c r="AQ169" s="193"/>
      <c r="AR169" s="193"/>
      <c r="AS169" s="193"/>
      <c r="AT169" s="193"/>
      <c r="AU169" s="33"/>
      <c r="AV169" s="33"/>
      <c r="AW169" s="33"/>
      <c r="AX169" s="33"/>
      <c r="AY169" s="76"/>
    </row>
    <row r="170" spans="3:51">
      <c r="C170" s="165" t="s">
        <v>45</v>
      </c>
      <c r="D170" s="4">
        <v>0.75</v>
      </c>
      <c r="E170" s="187" t="s">
        <v>228</v>
      </c>
      <c r="F170" s="342">
        <f>IF(OR(Tableau145[[#This Row],[Type]]="Feuillus",Tableau145[[#This Row],[Type]]="Peupliers"),1.56,1.3)</f>
        <v>1.56</v>
      </c>
      <c r="I170" s="55">
        <v>165</v>
      </c>
      <c r="J170" s="33">
        <f t="shared" si="76"/>
        <v>0</v>
      </c>
      <c r="K170" s="33">
        <f t="shared" si="77"/>
        <v>0</v>
      </c>
      <c r="L170" s="33">
        <f t="shared" si="78"/>
        <v>0</v>
      </c>
      <c r="M170" s="33">
        <f t="shared" si="79"/>
        <v>0</v>
      </c>
      <c r="N170" s="33">
        <f t="shared" si="65"/>
        <v>0</v>
      </c>
      <c r="O170" s="34">
        <f t="shared" si="66"/>
        <v>0</v>
      </c>
      <c r="P170" s="55">
        <v>165</v>
      </c>
      <c r="Q170" s="33">
        <f t="shared" si="74"/>
        <v>0</v>
      </c>
      <c r="R170" s="33">
        <f t="shared" si="80"/>
        <v>0</v>
      </c>
      <c r="S170" s="33">
        <f t="shared" si="81"/>
        <v>0</v>
      </c>
      <c r="T170" s="33">
        <f t="shared" si="67"/>
        <v>0</v>
      </c>
      <c r="U170" s="33">
        <f t="shared" si="75"/>
        <v>0</v>
      </c>
      <c r="V170" s="33">
        <f t="shared" si="68"/>
        <v>0</v>
      </c>
      <c r="W170" s="33">
        <v>0</v>
      </c>
      <c r="X170" s="33">
        <f t="shared" si="69"/>
        <v>0</v>
      </c>
      <c r="Y170" s="38">
        <f t="shared" si="70"/>
        <v>0</v>
      </c>
      <c r="AA170" s="71">
        <v>165</v>
      </c>
      <c r="AB170" s="33">
        <f t="shared" si="71"/>
        <v>0</v>
      </c>
      <c r="AC170" s="304">
        <f t="shared" si="86"/>
        <v>0</v>
      </c>
      <c r="AD170" s="100">
        <f t="shared" si="72"/>
        <v>0</v>
      </c>
      <c r="AE170" s="100">
        <f t="shared" si="73"/>
        <v>0</v>
      </c>
      <c r="AF170" s="193">
        <f t="shared" si="82"/>
        <v>0</v>
      </c>
      <c r="AG170" s="193">
        <f t="shared" si="83"/>
        <v>0</v>
      </c>
      <c r="AH170" s="193">
        <f t="shared" si="84"/>
        <v>0</v>
      </c>
      <c r="AI170" s="198">
        <f t="shared" si="85"/>
        <v>0</v>
      </c>
      <c r="AK170" s="71">
        <v>165</v>
      </c>
      <c r="AL170" s="33"/>
      <c r="AM170" s="33"/>
      <c r="AN170" s="33"/>
      <c r="AO170" s="33"/>
      <c r="AP170" s="33"/>
      <c r="AQ170" s="193"/>
      <c r="AR170" s="193"/>
      <c r="AS170" s="193"/>
      <c r="AT170" s="193"/>
      <c r="AU170" s="33"/>
      <c r="AV170" s="33"/>
      <c r="AW170" s="33"/>
      <c r="AX170" s="33"/>
      <c r="AY170" s="76"/>
    </row>
    <row r="171" spans="3:51">
      <c r="C171" s="165" t="s">
        <v>46</v>
      </c>
      <c r="D171" s="4">
        <v>0.52</v>
      </c>
      <c r="E171" s="187" t="s">
        <v>228</v>
      </c>
      <c r="F171" s="342">
        <f>IF(OR(Tableau145[[#This Row],[Type]]="Feuillus",Tableau145[[#This Row],[Type]]="Peupliers"),1.56,1.3)</f>
        <v>1.56</v>
      </c>
      <c r="I171" s="55">
        <v>166</v>
      </c>
      <c r="J171" s="33">
        <f t="shared" si="76"/>
        <v>0</v>
      </c>
      <c r="K171" s="33">
        <f t="shared" si="77"/>
        <v>0</v>
      </c>
      <c r="L171" s="33">
        <f t="shared" si="78"/>
        <v>0</v>
      </c>
      <c r="M171" s="33">
        <f t="shared" si="79"/>
        <v>0</v>
      </c>
      <c r="N171" s="33">
        <f t="shared" si="65"/>
        <v>0</v>
      </c>
      <c r="O171" s="34">
        <f t="shared" si="66"/>
        <v>0</v>
      </c>
      <c r="P171" s="55">
        <v>166</v>
      </c>
      <c r="Q171" s="33">
        <f t="shared" si="74"/>
        <v>0</v>
      </c>
      <c r="R171" s="33">
        <f t="shared" si="80"/>
        <v>0</v>
      </c>
      <c r="S171" s="33">
        <f t="shared" si="81"/>
        <v>0</v>
      </c>
      <c r="T171" s="33">
        <f t="shared" si="67"/>
        <v>0</v>
      </c>
      <c r="U171" s="33">
        <f t="shared" si="75"/>
        <v>0</v>
      </c>
      <c r="V171" s="33">
        <f t="shared" si="68"/>
        <v>0</v>
      </c>
      <c r="W171" s="33">
        <v>0</v>
      </c>
      <c r="X171" s="33">
        <f t="shared" si="69"/>
        <v>0</v>
      </c>
      <c r="Y171" s="38">
        <f t="shared" si="70"/>
        <v>0</v>
      </c>
      <c r="AA171" s="71">
        <v>166</v>
      </c>
      <c r="AB171" s="33">
        <f t="shared" si="71"/>
        <v>0</v>
      </c>
      <c r="AC171" s="304">
        <f t="shared" si="86"/>
        <v>0</v>
      </c>
      <c r="AD171" s="100">
        <f t="shared" si="72"/>
        <v>0</v>
      </c>
      <c r="AE171" s="100">
        <f t="shared" si="73"/>
        <v>0</v>
      </c>
      <c r="AF171" s="193">
        <f t="shared" si="82"/>
        <v>0</v>
      </c>
      <c r="AG171" s="193">
        <f t="shared" si="83"/>
        <v>0</v>
      </c>
      <c r="AH171" s="193">
        <f t="shared" si="84"/>
        <v>0</v>
      </c>
      <c r="AI171" s="198">
        <f t="shared" si="85"/>
        <v>0</v>
      </c>
      <c r="AK171" s="71">
        <v>166</v>
      </c>
      <c r="AL171" s="33"/>
      <c r="AM171" s="33"/>
      <c r="AN171" s="33"/>
      <c r="AO171" s="33"/>
      <c r="AP171" s="33"/>
      <c r="AQ171" s="193"/>
      <c r="AR171" s="193"/>
      <c r="AS171" s="193"/>
      <c r="AT171" s="193"/>
      <c r="AU171" s="33"/>
      <c r="AV171" s="33"/>
      <c r="AW171" s="33"/>
      <c r="AX171" s="33"/>
      <c r="AY171" s="76"/>
    </row>
    <row r="172" spans="3:51">
      <c r="C172" s="165" t="s">
        <v>47</v>
      </c>
      <c r="D172" s="4">
        <v>0.35</v>
      </c>
      <c r="E172" s="187" t="s">
        <v>230</v>
      </c>
      <c r="F172" s="342">
        <f>IF(OR(Tableau145[[#This Row],[Type]]="Feuillus",Tableau145[[#This Row],[Type]]="Peupliers"),1.56,1.3)</f>
        <v>1.56</v>
      </c>
      <c r="I172" s="55">
        <v>167</v>
      </c>
      <c r="J172" s="33">
        <f t="shared" si="76"/>
        <v>0</v>
      </c>
      <c r="K172" s="33">
        <f t="shared" si="77"/>
        <v>0</v>
      </c>
      <c r="L172" s="33">
        <f t="shared" si="78"/>
        <v>0</v>
      </c>
      <c r="M172" s="33">
        <f t="shared" si="79"/>
        <v>0</v>
      </c>
      <c r="N172" s="33">
        <f t="shared" si="65"/>
        <v>0</v>
      </c>
      <c r="O172" s="34">
        <f t="shared" si="66"/>
        <v>0</v>
      </c>
      <c r="P172" s="55">
        <v>167</v>
      </c>
      <c r="Q172" s="33">
        <f t="shared" si="74"/>
        <v>0</v>
      </c>
      <c r="R172" s="33">
        <f t="shared" si="80"/>
        <v>0</v>
      </c>
      <c r="S172" s="33">
        <f t="shared" si="81"/>
        <v>0</v>
      </c>
      <c r="T172" s="33">
        <f t="shared" si="67"/>
        <v>0</v>
      </c>
      <c r="U172" s="33">
        <f t="shared" si="75"/>
        <v>0</v>
      </c>
      <c r="V172" s="33">
        <f t="shared" si="68"/>
        <v>0</v>
      </c>
      <c r="W172" s="33">
        <v>0</v>
      </c>
      <c r="X172" s="33">
        <f t="shared" si="69"/>
        <v>0</v>
      </c>
      <c r="Y172" s="38">
        <f t="shared" si="70"/>
        <v>0</v>
      </c>
      <c r="AA172" s="71">
        <v>167</v>
      </c>
      <c r="AB172" s="33">
        <f t="shared" si="71"/>
        <v>0</v>
      </c>
      <c r="AC172" s="304">
        <f t="shared" si="86"/>
        <v>0</v>
      </c>
      <c r="AD172" s="100">
        <f t="shared" si="72"/>
        <v>0</v>
      </c>
      <c r="AE172" s="100">
        <f t="shared" si="73"/>
        <v>0</v>
      </c>
      <c r="AF172" s="193">
        <f t="shared" si="82"/>
        <v>0</v>
      </c>
      <c r="AG172" s="193">
        <f t="shared" si="83"/>
        <v>0</v>
      </c>
      <c r="AH172" s="193">
        <f t="shared" si="84"/>
        <v>0</v>
      </c>
      <c r="AI172" s="198">
        <f t="shared" si="85"/>
        <v>0</v>
      </c>
      <c r="AK172" s="71">
        <v>167</v>
      </c>
      <c r="AL172" s="33"/>
      <c r="AM172" s="33"/>
      <c r="AN172" s="33"/>
      <c r="AO172" s="33"/>
      <c r="AP172" s="33"/>
      <c r="AQ172" s="193"/>
      <c r="AR172" s="193"/>
      <c r="AS172" s="193"/>
      <c r="AT172" s="193"/>
      <c r="AU172" s="33"/>
      <c r="AV172" s="33"/>
      <c r="AW172" s="33"/>
      <c r="AX172" s="33"/>
      <c r="AY172" s="76"/>
    </row>
    <row r="173" spans="3:51">
      <c r="C173" s="165" t="s">
        <v>48</v>
      </c>
      <c r="D173" s="4">
        <v>0.37</v>
      </c>
      <c r="E173" s="187" t="s">
        <v>228</v>
      </c>
      <c r="F173" s="342">
        <f>IF(OR(Tableau145[[#This Row],[Type]]="Feuillus",Tableau145[[#This Row],[Type]]="Peupliers"),1.56,1.3)</f>
        <v>1.56</v>
      </c>
      <c r="I173" s="55">
        <v>168</v>
      </c>
      <c r="J173" s="33">
        <f t="shared" si="76"/>
        <v>0</v>
      </c>
      <c r="K173" s="33">
        <f t="shared" si="77"/>
        <v>0</v>
      </c>
      <c r="L173" s="33">
        <f t="shared" si="78"/>
        <v>0</v>
      </c>
      <c r="M173" s="33">
        <f t="shared" si="79"/>
        <v>0</v>
      </c>
      <c r="N173" s="33">
        <f t="shared" si="65"/>
        <v>0</v>
      </c>
      <c r="O173" s="34">
        <f t="shared" si="66"/>
        <v>0</v>
      </c>
      <c r="P173" s="55">
        <v>168</v>
      </c>
      <c r="Q173" s="33">
        <f t="shared" si="74"/>
        <v>0</v>
      </c>
      <c r="R173" s="33">
        <f t="shared" si="80"/>
        <v>0</v>
      </c>
      <c r="S173" s="33">
        <f t="shared" si="81"/>
        <v>0</v>
      </c>
      <c r="T173" s="33">
        <f t="shared" si="67"/>
        <v>0</v>
      </c>
      <c r="U173" s="33">
        <f t="shared" si="75"/>
        <v>0</v>
      </c>
      <c r="V173" s="33">
        <f t="shared" si="68"/>
        <v>0</v>
      </c>
      <c r="W173" s="33">
        <v>0</v>
      </c>
      <c r="X173" s="33">
        <f t="shared" si="69"/>
        <v>0</v>
      </c>
      <c r="Y173" s="38">
        <f t="shared" si="70"/>
        <v>0</v>
      </c>
      <c r="AA173" s="71">
        <v>168</v>
      </c>
      <c r="AB173" s="33">
        <f t="shared" si="71"/>
        <v>0</v>
      </c>
      <c r="AC173" s="304">
        <f t="shared" si="86"/>
        <v>0</v>
      </c>
      <c r="AD173" s="100">
        <f t="shared" si="72"/>
        <v>0</v>
      </c>
      <c r="AE173" s="100">
        <f t="shared" si="73"/>
        <v>0</v>
      </c>
      <c r="AF173" s="193">
        <f t="shared" si="82"/>
        <v>0</v>
      </c>
      <c r="AG173" s="193">
        <f t="shared" si="83"/>
        <v>0</v>
      </c>
      <c r="AH173" s="193">
        <f t="shared" si="84"/>
        <v>0</v>
      </c>
      <c r="AI173" s="198">
        <f t="shared" si="85"/>
        <v>0</v>
      </c>
      <c r="AK173" s="71">
        <v>168</v>
      </c>
      <c r="AL173" s="33"/>
      <c r="AM173" s="33"/>
      <c r="AN173" s="33"/>
      <c r="AO173" s="33"/>
      <c r="AP173" s="33"/>
      <c r="AQ173" s="193"/>
      <c r="AR173" s="193"/>
      <c r="AS173" s="193"/>
      <c r="AT173" s="193"/>
      <c r="AU173" s="33"/>
      <c r="AV173" s="33"/>
      <c r="AW173" s="33"/>
      <c r="AX173" s="33"/>
      <c r="AY173" s="76"/>
    </row>
    <row r="174" spans="3:51">
      <c r="C174" s="165" t="s">
        <v>49</v>
      </c>
      <c r="D174" s="4">
        <v>0.45</v>
      </c>
      <c r="E174" s="187" t="s">
        <v>229</v>
      </c>
      <c r="F174" s="342">
        <f>IF(OR(Tableau145[[#This Row],[Type]]="Feuillus",Tableau145[[#This Row],[Type]]="Peupliers"),1.56,1.3)</f>
        <v>1.3</v>
      </c>
      <c r="I174" s="55">
        <v>169</v>
      </c>
      <c r="J174" s="33">
        <f t="shared" si="76"/>
        <v>0</v>
      </c>
      <c r="K174" s="33">
        <f t="shared" si="77"/>
        <v>0</v>
      </c>
      <c r="L174" s="33">
        <f t="shared" si="78"/>
        <v>0</v>
      </c>
      <c r="M174" s="33">
        <f t="shared" si="79"/>
        <v>0</v>
      </c>
      <c r="N174" s="33">
        <f t="shared" si="65"/>
        <v>0</v>
      </c>
      <c r="O174" s="34">
        <f t="shared" si="66"/>
        <v>0</v>
      </c>
      <c r="P174" s="55">
        <v>169</v>
      </c>
      <c r="Q174" s="33">
        <f t="shared" si="74"/>
        <v>0</v>
      </c>
      <c r="R174" s="33">
        <f t="shared" si="80"/>
        <v>0</v>
      </c>
      <c r="S174" s="33">
        <f t="shared" si="81"/>
        <v>0</v>
      </c>
      <c r="T174" s="33">
        <f t="shared" si="67"/>
        <v>0</v>
      </c>
      <c r="U174" s="33">
        <f t="shared" si="75"/>
        <v>0</v>
      </c>
      <c r="V174" s="33">
        <f t="shared" si="68"/>
        <v>0</v>
      </c>
      <c r="W174" s="33">
        <v>0</v>
      </c>
      <c r="X174" s="33">
        <f t="shared" si="69"/>
        <v>0</v>
      </c>
      <c r="Y174" s="38">
        <f t="shared" si="70"/>
        <v>0</v>
      </c>
      <c r="AA174" s="71">
        <v>169</v>
      </c>
      <c r="AB174" s="33">
        <f t="shared" si="71"/>
        <v>0</v>
      </c>
      <c r="AC174" s="304">
        <f t="shared" si="86"/>
        <v>0</v>
      </c>
      <c r="AD174" s="100">
        <f t="shared" si="72"/>
        <v>0</v>
      </c>
      <c r="AE174" s="100">
        <f t="shared" si="73"/>
        <v>0</v>
      </c>
      <c r="AF174" s="193">
        <f t="shared" si="82"/>
        <v>0</v>
      </c>
      <c r="AG174" s="193">
        <f t="shared" si="83"/>
        <v>0</v>
      </c>
      <c r="AH174" s="193">
        <f t="shared" si="84"/>
        <v>0</v>
      </c>
      <c r="AI174" s="198">
        <f t="shared" si="85"/>
        <v>0</v>
      </c>
      <c r="AK174" s="71">
        <v>169</v>
      </c>
      <c r="AL174" s="33"/>
      <c r="AM174" s="33"/>
      <c r="AN174" s="33"/>
      <c r="AO174" s="33"/>
      <c r="AP174" s="33"/>
      <c r="AQ174" s="193"/>
      <c r="AR174" s="193"/>
      <c r="AS174" s="193"/>
      <c r="AT174" s="193"/>
      <c r="AU174" s="33"/>
      <c r="AV174" s="33"/>
      <c r="AW174" s="33"/>
      <c r="AX174" s="33"/>
      <c r="AY174" s="76"/>
    </row>
    <row r="175" spans="3:51">
      <c r="C175" s="165" t="s">
        <v>50</v>
      </c>
      <c r="D175" s="4">
        <v>0.39</v>
      </c>
      <c r="E175" s="187" t="s">
        <v>229</v>
      </c>
      <c r="F175" s="342">
        <f>IF(OR(Tableau145[[#This Row],[Type]]="Feuillus",Tableau145[[#This Row],[Type]]="Peupliers"),1.56,1.3)</f>
        <v>1.3</v>
      </c>
      <c r="I175" s="55">
        <v>170</v>
      </c>
      <c r="J175" s="33">
        <f t="shared" si="76"/>
        <v>0</v>
      </c>
      <c r="K175" s="33">
        <f t="shared" si="77"/>
        <v>0</v>
      </c>
      <c r="L175" s="33">
        <f t="shared" si="78"/>
        <v>0</v>
      </c>
      <c r="M175" s="33">
        <f t="shared" si="79"/>
        <v>0</v>
      </c>
      <c r="N175" s="33">
        <f t="shared" si="65"/>
        <v>0</v>
      </c>
      <c r="O175" s="34">
        <f t="shared" si="66"/>
        <v>0</v>
      </c>
      <c r="P175" s="55">
        <v>170</v>
      </c>
      <c r="Q175" s="33">
        <f t="shared" si="74"/>
        <v>0</v>
      </c>
      <c r="R175" s="33">
        <f t="shared" si="80"/>
        <v>0</v>
      </c>
      <c r="S175" s="33">
        <f t="shared" si="81"/>
        <v>0</v>
      </c>
      <c r="T175" s="33">
        <f t="shared" si="67"/>
        <v>0</v>
      </c>
      <c r="U175" s="33">
        <f t="shared" si="75"/>
        <v>0</v>
      </c>
      <c r="V175" s="33">
        <f t="shared" si="68"/>
        <v>0</v>
      </c>
      <c r="W175" s="33">
        <v>0</v>
      </c>
      <c r="X175" s="33">
        <f t="shared" si="69"/>
        <v>0</v>
      </c>
      <c r="Y175" s="38">
        <f t="shared" si="70"/>
        <v>0</v>
      </c>
      <c r="AA175" s="71">
        <v>170</v>
      </c>
      <c r="AB175" s="33">
        <f t="shared" si="71"/>
        <v>0</v>
      </c>
      <c r="AC175" s="304">
        <f t="shared" si="86"/>
        <v>0</v>
      </c>
      <c r="AD175" s="100">
        <f t="shared" si="72"/>
        <v>0</v>
      </c>
      <c r="AE175" s="100">
        <f t="shared" si="73"/>
        <v>0</v>
      </c>
      <c r="AF175" s="193">
        <f t="shared" si="82"/>
        <v>0</v>
      </c>
      <c r="AG175" s="193">
        <f t="shared" si="83"/>
        <v>0</v>
      </c>
      <c r="AH175" s="193">
        <f t="shared" si="84"/>
        <v>0</v>
      </c>
      <c r="AI175" s="198">
        <f t="shared" si="85"/>
        <v>0</v>
      </c>
      <c r="AK175" s="71">
        <v>170</v>
      </c>
      <c r="AL175" s="33"/>
      <c r="AM175" s="33"/>
      <c r="AN175" s="33"/>
      <c r="AO175" s="33"/>
      <c r="AP175" s="33"/>
      <c r="AQ175" s="193"/>
      <c r="AR175" s="193"/>
      <c r="AS175" s="193"/>
      <c r="AT175" s="193"/>
      <c r="AU175" s="33"/>
      <c r="AV175" s="33"/>
      <c r="AW175" s="33"/>
      <c r="AX175" s="33"/>
      <c r="AY175" s="76"/>
    </row>
    <row r="176" spans="3:51">
      <c r="C176" s="165" t="s">
        <v>51</v>
      </c>
      <c r="D176" s="4">
        <v>0.44</v>
      </c>
      <c r="E176" s="187" t="s">
        <v>229</v>
      </c>
      <c r="F176" s="342">
        <f>IF(OR(Tableau145[[#This Row],[Type]]="Feuillus",Tableau145[[#This Row],[Type]]="Peupliers"),1.56,1.3)</f>
        <v>1.3</v>
      </c>
      <c r="I176" s="55">
        <v>171</v>
      </c>
      <c r="J176" s="33">
        <f t="shared" si="76"/>
        <v>0</v>
      </c>
      <c r="K176" s="33">
        <f t="shared" si="77"/>
        <v>0</v>
      </c>
      <c r="L176" s="33">
        <f t="shared" si="78"/>
        <v>0</v>
      </c>
      <c r="M176" s="33">
        <f t="shared" si="79"/>
        <v>0</v>
      </c>
      <c r="N176" s="33">
        <f t="shared" si="65"/>
        <v>0</v>
      </c>
      <c r="O176" s="34">
        <f t="shared" si="66"/>
        <v>0</v>
      </c>
      <c r="P176" s="55">
        <v>171</v>
      </c>
      <c r="Q176" s="33">
        <f t="shared" si="74"/>
        <v>0</v>
      </c>
      <c r="R176" s="33">
        <f t="shared" si="80"/>
        <v>0</v>
      </c>
      <c r="S176" s="33">
        <f t="shared" si="81"/>
        <v>0</v>
      </c>
      <c r="T176" s="33">
        <f t="shared" si="67"/>
        <v>0</v>
      </c>
      <c r="U176" s="33">
        <f t="shared" si="75"/>
        <v>0</v>
      </c>
      <c r="V176" s="33">
        <f t="shared" si="68"/>
        <v>0</v>
      </c>
      <c r="W176" s="33">
        <v>0</v>
      </c>
      <c r="X176" s="33">
        <f t="shared" si="69"/>
        <v>0</v>
      </c>
      <c r="Y176" s="38">
        <f t="shared" si="70"/>
        <v>0</v>
      </c>
      <c r="AA176" s="71">
        <v>171</v>
      </c>
      <c r="AB176" s="33">
        <f t="shared" si="71"/>
        <v>0</v>
      </c>
      <c r="AC176" s="304">
        <f t="shared" si="86"/>
        <v>0</v>
      </c>
      <c r="AD176" s="100">
        <f t="shared" si="72"/>
        <v>0</v>
      </c>
      <c r="AE176" s="100">
        <f t="shared" si="73"/>
        <v>0</v>
      </c>
      <c r="AF176" s="193">
        <f t="shared" si="82"/>
        <v>0</v>
      </c>
      <c r="AG176" s="193">
        <f t="shared" si="83"/>
        <v>0</v>
      </c>
      <c r="AH176" s="193">
        <f t="shared" si="84"/>
        <v>0</v>
      </c>
      <c r="AI176" s="198">
        <f t="shared" si="85"/>
        <v>0</v>
      </c>
      <c r="AK176" s="71">
        <v>171</v>
      </c>
      <c r="AL176" s="33"/>
      <c r="AM176" s="33"/>
      <c r="AN176" s="33"/>
      <c r="AO176" s="33"/>
      <c r="AP176" s="33"/>
      <c r="AQ176" s="193"/>
      <c r="AR176" s="193"/>
      <c r="AS176" s="193"/>
      <c r="AT176" s="193"/>
      <c r="AU176" s="33"/>
      <c r="AV176" s="33"/>
      <c r="AW176" s="33"/>
      <c r="AX176" s="33"/>
      <c r="AY176" s="76"/>
    </row>
    <row r="177" spans="3:51">
      <c r="C177" s="165" t="s">
        <v>52</v>
      </c>
      <c r="D177" s="4">
        <v>0.46</v>
      </c>
      <c r="E177" s="187" t="s">
        <v>229</v>
      </c>
      <c r="F177" s="342">
        <f>IF(OR(Tableau145[[#This Row],[Type]]="Feuillus",Tableau145[[#This Row],[Type]]="Peupliers"),1.56,1.3)</f>
        <v>1.3</v>
      </c>
      <c r="I177" s="55">
        <v>172</v>
      </c>
      <c r="J177" s="33">
        <f t="shared" si="76"/>
        <v>0</v>
      </c>
      <c r="K177" s="33">
        <f t="shared" si="77"/>
        <v>0</v>
      </c>
      <c r="L177" s="33">
        <f t="shared" si="78"/>
        <v>0</v>
      </c>
      <c r="M177" s="33">
        <f t="shared" si="79"/>
        <v>0</v>
      </c>
      <c r="N177" s="33">
        <f t="shared" si="65"/>
        <v>0</v>
      </c>
      <c r="O177" s="34">
        <f t="shared" si="66"/>
        <v>0</v>
      </c>
      <c r="P177" s="55">
        <v>172</v>
      </c>
      <c r="Q177" s="33">
        <f t="shared" si="74"/>
        <v>0</v>
      </c>
      <c r="R177" s="33">
        <f t="shared" si="80"/>
        <v>0</v>
      </c>
      <c r="S177" s="33">
        <f t="shared" si="81"/>
        <v>0</v>
      </c>
      <c r="T177" s="33">
        <f t="shared" si="67"/>
        <v>0</v>
      </c>
      <c r="U177" s="33">
        <f t="shared" si="75"/>
        <v>0</v>
      </c>
      <c r="V177" s="33">
        <f t="shared" si="68"/>
        <v>0</v>
      </c>
      <c r="W177" s="33">
        <v>0</v>
      </c>
      <c r="X177" s="33">
        <f t="shared" si="69"/>
        <v>0</v>
      </c>
      <c r="Y177" s="38">
        <f t="shared" si="70"/>
        <v>0</v>
      </c>
      <c r="AA177" s="71">
        <v>172</v>
      </c>
      <c r="AB177" s="33">
        <f t="shared" si="71"/>
        <v>0</v>
      </c>
      <c r="AC177" s="304">
        <f t="shared" si="86"/>
        <v>0</v>
      </c>
      <c r="AD177" s="100">
        <f t="shared" si="72"/>
        <v>0</v>
      </c>
      <c r="AE177" s="100">
        <f t="shared" si="73"/>
        <v>0</v>
      </c>
      <c r="AF177" s="193">
        <f t="shared" si="82"/>
        <v>0</v>
      </c>
      <c r="AG177" s="193">
        <f t="shared" si="83"/>
        <v>0</v>
      </c>
      <c r="AH177" s="193">
        <f t="shared" si="84"/>
        <v>0</v>
      </c>
      <c r="AI177" s="198">
        <f t="shared" si="85"/>
        <v>0</v>
      </c>
      <c r="AK177" s="71">
        <v>172</v>
      </c>
      <c r="AL177" s="33"/>
      <c r="AM177" s="33"/>
      <c r="AN177" s="33"/>
      <c r="AO177" s="33"/>
      <c r="AP177" s="33"/>
      <c r="AQ177" s="193"/>
      <c r="AR177" s="193"/>
      <c r="AS177" s="193"/>
      <c r="AT177" s="193"/>
      <c r="AU177" s="33"/>
      <c r="AV177" s="33"/>
      <c r="AW177" s="33"/>
      <c r="AX177" s="33"/>
      <c r="AY177" s="76"/>
    </row>
    <row r="178" spans="3:51" ht="30">
      <c r="C178" s="165" t="s">
        <v>53</v>
      </c>
      <c r="D178" s="4">
        <v>0.46</v>
      </c>
      <c r="E178" s="187" t="s">
        <v>231</v>
      </c>
      <c r="F178" s="342">
        <f>IF(OR(Tableau145[[#This Row],[Type]]="Feuillus",Tableau145[[#This Row],[Type]]="Peupliers"),1.56,1.3)</f>
        <v>1.3</v>
      </c>
      <c r="I178" s="55">
        <v>173</v>
      </c>
      <c r="J178" s="33">
        <f t="shared" si="76"/>
        <v>0</v>
      </c>
      <c r="K178" s="33">
        <f t="shared" si="77"/>
        <v>0</v>
      </c>
      <c r="L178" s="33">
        <f t="shared" si="78"/>
        <v>0</v>
      </c>
      <c r="M178" s="33">
        <f t="shared" si="79"/>
        <v>0</v>
      </c>
      <c r="N178" s="33">
        <f t="shared" si="65"/>
        <v>0</v>
      </c>
      <c r="O178" s="34">
        <f t="shared" si="66"/>
        <v>0</v>
      </c>
      <c r="P178" s="55">
        <v>173</v>
      </c>
      <c r="Q178" s="33">
        <f t="shared" si="74"/>
        <v>0</v>
      </c>
      <c r="R178" s="33">
        <f t="shared" si="80"/>
        <v>0</v>
      </c>
      <c r="S178" s="33">
        <f t="shared" si="81"/>
        <v>0</v>
      </c>
      <c r="T178" s="33">
        <f t="shared" si="67"/>
        <v>0</v>
      </c>
      <c r="U178" s="33">
        <f t="shared" si="75"/>
        <v>0</v>
      </c>
      <c r="V178" s="33">
        <f t="shared" si="68"/>
        <v>0</v>
      </c>
      <c r="W178" s="33">
        <v>0</v>
      </c>
      <c r="X178" s="33">
        <f t="shared" si="69"/>
        <v>0</v>
      </c>
      <c r="Y178" s="38">
        <f t="shared" si="70"/>
        <v>0</v>
      </c>
      <c r="AA178" s="71">
        <v>173</v>
      </c>
      <c r="AB178" s="33">
        <f t="shared" si="71"/>
        <v>0</v>
      </c>
      <c r="AC178" s="304">
        <f t="shared" si="86"/>
        <v>0</v>
      </c>
      <c r="AD178" s="100">
        <f t="shared" si="72"/>
        <v>0</v>
      </c>
      <c r="AE178" s="100">
        <f t="shared" si="73"/>
        <v>0</v>
      </c>
      <c r="AF178" s="193">
        <f t="shared" si="82"/>
        <v>0</v>
      </c>
      <c r="AG178" s="193">
        <f t="shared" si="83"/>
        <v>0</v>
      </c>
      <c r="AH178" s="193">
        <f t="shared" si="84"/>
        <v>0</v>
      </c>
      <c r="AI178" s="198">
        <f t="shared" si="85"/>
        <v>0</v>
      </c>
      <c r="AK178" s="71">
        <v>173</v>
      </c>
      <c r="AL178" s="33"/>
      <c r="AM178" s="33"/>
      <c r="AN178" s="33"/>
      <c r="AO178" s="33"/>
      <c r="AP178" s="33"/>
      <c r="AQ178" s="193"/>
      <c r="AR178" s="193"/>
      <c r="AS178" s="193"/>
      <c r="AT178" s="193"/>
      <c r="AU178" s="33"/>
      <c r="AV178" s="33"/>
      <c r="AW178" s="33"/>
      <c r="AX178" s="33"/>
      <c r="AY178" s="76"/>
    </row>
    <row r="179" spans="3:51">
      <c r="C179" s="165" t="s">
        <v>54</v>
      </c>
      <c r="D179" s="4">
        <v>0.44</v>
      </c>
      <c r="E179" s="187" t="s">
        <v>229</v>
      </c>
      <c r="F179" s="342">
        <f>IF(OR(Tableau145[[#This Row],[Type]]="Feuillus",Tableau145[[#This Row],[Type]]="Peupliers"),1.56,1.3)</f>
        <v>1.3</v>
      </c>
      <c r="I179" s="55">
        <v>174</v>
      </c>
      <c r="J179" s="33">
        <f t="shared" si="76"/>
        <v>0</v>
      </c>
      <c r="K179" s="33">
        <f t="shared" si="77"/>
        <v>0</v>
      </c>
      <c r="L179" s="33">
        <f t="shared" si="78"/>
        <v>0</v>
      </c>
      <c r="M179" s="33">
        <f t="shared" si="79"/>
        <v>0</v>
      </c>
      <c r="N179" s="33">
        <f t="shared" si="65"/>
        <v>0</v>
      </c>
      <c r="O179" s="34">
        <f t="shared" si="66"/>
        <v>0</v>
      </c>
      <c r="P179" s="55">
        <v>174</v>
      </c>
      <c r="Q179" s="33">
        <f t="shared" si="74"/>
        <v>0</v>
      </c>
      <c r="R179" s="33">
        <f t="shared" si="80"/>
        <v>0</v>
      </c>
      <c r="S179" s="33">
        <f t="shared" si="81"/>
        <v>0</v>
      </c>
      <c r="T179" s="33">
        <f t="shared" si="67"/>
        <v>0</v>
      </c>
      <c r="U179" s="33">
        <f t="shared" si="75"/>
        <v>0</v>
      </c>
      <c r="V179" s="33">
        <f t="shared" si="68"/>
        <v>0</v>
      </c>
      <c r="W179" s="33">
        <v>0</v>
      </c>
      <c r="X179" s="33">
        <f t="shared" si="69"/>
        <v>0</v>
      </c>
      <c r="Y179" s="38">
        <f t="shared" si="70"/>
        <v>0</v>
      </c>
      <c r="AA179" s="71">
        <v>174</v>
      </c>
      <c r="AB179" s="33">
        <f t="shared" si="71"/>
        <v>0</v>
      </c>
      <c r="AC179" s="304">
        <f t="shared" si="86"/>
        <v>0</v>
      </c>
      <c r="AD179" s="100">
        <f t="shared" si="72"/>
        <v>0</v>
      </c>
      <c r="AE179" s="100">
        <f t="shared" si="73"/>
        <v>0</v>
      </c>
      <c r="AF179" s="193">
        <f t="shared" si="82"/>
        <v>0</v>
      </c>
      <c r="AG179" s="193">
        <f t="shared" si="83"/>
        <v>0</v>
      </c>
      <c r="AH179" s="193">
        <f t="shared" si="84"/>
        <v>0</v>
      </c>
      <c r="AI179" s="198">
        <f t="shared" si="85"/>
        <v>0</v>
      </c>
      <c r="AK179" s="71">
        <v>174</v>
      </c>
      <c r="AL179" s="33"/>
      <c r="AM179" s="33"/>
      <c r="AN179" s="33"/>
      <c r="AO179" s="33"/>
      <c r="AP179" s="33"/>
      <c r="AQ179" s="193"/>
      <c r="AR179" s="193"/>
      <c r="AS179" s="193"/>
      <c r="AT179" s="193"/>
      <c r="AU179" s="33"/>
      <c r="AV179" s="33"/>
      <c r="AW179" s="33"/>
      <c r="AX179" s="33"/>
      <c r="AY179" s="76"/>
    </row>
    <row r="180" spans="3:51">
      <c r="C180" s="165" t="s">
        <v>55</v>
      </c>
      <c r="D180" s="4">
        <v>0.46</v>
      </c>
      <c r="E180" s="187" t="s">
        <v>229</v>
      </c>
      <c r="F180" s="342">
        <f>IF(OR(Tableau145[[#This Row],[Type]]="Feuillus",Tableau145[[#This Row],[Type]]="Peupliers"),1.56,1.3)</f>
        <v>1.3</v>
      </c>
      <c r="I180" s="55">
        <v>175</v>
      </c>
      <c r="J180" s="33">
        <f t="shared" si="76"/>
        <v>0</v>
      </c>
      <c r="K180" s="33">
        <f t="shared" si="77"/>
        <v>0</v>
      </c>
      <c r="L180" s="33">
        <f t="shared" si="78"/>
        <v>0</v>
      </c>
      <c r="M180" s="33">
        <f t="shared" si="79"/>
        <v>0</v>
      </c>
      <c r="N180" s="33">
        <f t="shared" si="65"/>
        <v>0</v>
      </c>
      <c r="O180" s="34">
        <f t="shared" si="66"/>
        <v>0</v>
      </c>
      <c r="P180" s="55">
        <v>175</v>
      </c>
      <c r="Q180" s="33">
        <f t="shared" si="74"/>
        <v>0</v>
      </c>
      <c r="R180" s="33">
        <f t="shared" si="80"/>
        <v>0</v>
      </c>
      <c r="S180" s="33">
        <f t="shared" si="81"/>
        <v>0</v>
      </c>
      <c r="T180" s="33">
        <f t="shared" si="67"/>
        <v>0</v>
      </c>
      <c r="U180" s="33">
        <f t="shared" si="75"/>
        <v>0</v>
      </c>
      <c r="V180" s="33">
        <f t="shared" si="68"/>
        <v>0</v>
      </c>
      <c r="W180" s="33">
        <v>0</v>
      </c>
      <c r="X180" s="33">
        <f t="shared" si="69"/>
        <v>0</v>
      </c>
      <c r="Y180" s="38">
        <f t="shared" si="70"/>
        <v>0</v>
      </c>
      <c r="AA180" s="71">
        <v>175</v>
      </c>
      <c r="AB180" s="33">
        <f t="shared" si="71"/>
        <v>0</v>
      </c>
      <c r="AC180" s="304">
        <f t="shared" si="86"/>
        <v>0</v>
      </c>
      <c r="AD180" s="100">
        <f t="shared" si="72"/>
        <v>0</v>
      </c>
      <c r="AE180" s="100">
        <f t="shared" si="73"/>
        <v>0</v>
      </c>
      <c r="AF180" s="193">
        <f t="shared" si="82"/>
        <v>0</v>
      </c>
      <c r="AG180" s="193">
        <f t="shared" si="83"/>
        <v>0</v>
      </c>
      <c r="AH180" s="193">
        <f t="shared" si="84"/>
        <v>0</v>
      </c>
      <c r="AI180" s="198">
        <f t="shared" si="85"/>
        <v>0</v>
      </c>
      <c r="AK180" s="71">
        <v>175</v>
      </c>
      <c r="AL180" s="33"/>
      <c r="AM180" s="33"/>
      <c r="AN180" s="33"/>
      <c r="AO180" s="33"/>
      <c r="AP180" s="33"/>
      <c r="AQ180" s="193"/>
      <c r="AR180" s="193"/>
      <c r="AS180" s="193"/>
      <c r="AT180" s="193"/>
      <c r="AU180" s="33"/>
      <c r="AV180" s="33"/>
      <c r="AW180" s="33"/>
      <c r="AX180" s="33"/>
      <c r="AY180" s="76"/>
    </row>
    <row r="181" spans="3:51">
      <c r="C181" s="165" t="s">
        <v>56</v>
      </c>
      <c r="D181" s="4">
        <v>0.48</v>
      </c>
      <c r="E181" s="187" t="s">
        <v>229</v>
      </c>
      <c r="F181" s="342">
        <f>IF(OR(Tableau145[[#This Row],[Type]]="Feuillus",Tableau145[[#This Row],[Type]]="Peupliers"),1.56,1.3)</f>
        <v>1.3</v>
      </c>
      <c r="I181" s="55">
        <v>176</v>
      </c>
      <c r="J181" s="33">
        <f t="shared" si="76"/>
        <v>0</v>
      </c>
      <c r="K181" s="33">
        <f t="shared" si="77"/>
        <v>0</v>
      </c>
      <c r="L181" s="33">
        <f t="shared" si="78"/>
        <v>0</v>
      </c>
      <c r="M181" s="33">
        <f t="shared" si="79"/>
        <v>0</v>
      </c>
      <c r="N181" s="33">
        <f t="shared" si="65"/>
        <v>0</v>
      </c>
      <c r="O181" s="34">
        <f t="shared" si="66"/>
        <v>0</v>
      </c>
      <c r="P181" s="55">
        <v>176</v>
      </c>
      <c r="Q181" s="33">
        <f t="shared" si="74"/>
        <v>0</v>
      </c>
      <c r="R181" s="33">
        <f t="shared" si="80"/>
        <v>0</v>
      </c>
      <c r="S181" s="33">
        <f t="shared" si="81"/>
        <v>0</v>
      </c>
      <c r="T181" s="33">
        <f t="shared" si="67"/>
        <v>0</v>
      </c>
      <c r="U181" s="33">
        <f t="shared" si="75"/>
        <v>0</v>
      </c>
      <c r="V181" s="33">
        <f t="shared" si="68"/>
        <v>0</v>
      </c>
      <c r="W181" s="33">
        <v>0</v>
      </c>
      <c r="X181" s="33">
        <f t="shared" si="69"/>
        <v>0</v>
      </c>
      <c r="Y181" s="38">
        <f t="shared" si="70"/>
        <v>0</v>
      </c>
      <c r="AA181" s="71">
        <v>176</v>
      </c>
      <c r="AB181" s="33">
        <f t="shared" si="71"/>
        <v>0</v>
      </c>
      <c r="AC181" s="304">
        <f t="shared" si="86"/>
        <v>0</v>
      </c>
      <c r="AD181" s="100">
        <f t="shared" si="72"/>
        <v>0</v>
      </c>
      <c r="AE181" s="100">
        <f t="shared" si="73"/>
        <v>0</v>
      </c>
      <c r="AF181" s="193">
        <f t="shared" si="82"/>
        <v>0</v>
      </c>
      <c r="AG181" s="193">
        <f t="shared" si="83"/>
        <v>0</v>
      </c>
      <c r="AH181" s="193">
        <f t="shared" si="84"/>
        <v>0</v>
      </c>
      <c r="AI181" s="198">
        <f t="shared" si="85"/>
        <v>0</v>
      </c>
      <c r="AK181" s="71">
        <v>176</v>
      </c>
      <c r="AL181" s="33"/>
      <c r="AM181" s="33"/>
      <c r="AN181" s="33"/>
      <c r="AO181" s="33"/>
      <c r="AP181" s="33"/>
      <c r="AQ181" s="193"/>
      <c r="AR181" s="193"/>
      <c r="AS181" s="193"/>
      <c r="AT181" s="193"/>
      <c r="AU181" s="33"/>
      <c r="AV181" s="33"/>
      <c r="AW181" s="33"/>
      <c r="AX181" s="33"/>
      <c r="AY181" s="76"/>
    </row>
    <row r="182" spans="3:51">
      <c r="C182" s="165" t="s">
        <v>57</v>
      </c>
      <c r="D182" s="4">
        <v>0.44</v>
      </c>
      <c r="E182" s="187" t="s">
        <v>229</v>
      </c>
      <c r="F182" s="342">
        <f>IF(OR(Tableau145[[#This Row],[Type]]="Feuillus",Tableau145[[#This Row],[Type]]="Peupliers"),1.56,1.3)</f>
        <v>1.3</v>
      </c>
      <c r="I182" s="55">
        <v>177</v>
      </c>
      <c r="J182" s="33">
        <f t="shared" si="76"/>
        <v>0</v>
      </c>
      <c r="K182" s="33">
        <f t="shared" si="77"/>
        <v>0</v>
      </c>
      <c r="L182" s="33">
        <f t="shared" si="78"/>
        <v>0</v>
      </c>
      <c r="M182" s="33">
        <f t="shared" si="79"/>
        <v>0</v>
      </c>
      <c r="N182" s="33">
        <f t="shared" si="65"/>
        <v>0</v>
      </c>
      <c r="O182" s="34">
        <f t="shared" si="66"/>
        <v>0</v>
      </c>
      <c r="P182" s="55">
        <v>177</v>
      </c>
      <c r="Q182" s="33">
        <f t="shared" si="74"/>
        <v>0</v>
      </c>
      <c r="R182" s="33">
        <f t="shared" si="80"/>
        <v>0</v>
      </c>
      <c r="S182" s="33">
        <f t="shared" si="81"/>
        <v>0</v>
      </c>
      <c r="T182" s="33">
        <f t="shared" si="67"/>
        <v>0</v>
      </c>
      <c r="U182" s="33">
        <f t="shared" si="75"/>
        <v>0</v>
      </c>
      <c r="V182" s="33">
        <f t="shared" si="68"/>
        <v>0</v>
      </c>
      <c r="W182" s="33">
        <v>0</v>
      </c>
      <c r="X182" s="33">
        <f t="shared" si="69"/>
        <v>0</v>
      </c>
      <c r="Y182" s="38">
        <f t="shared" si="70"/>
        <v>0</v>
      </c>
      <c r="AA182" s="71">
        <v>177</v>
      </c>
      <c r="AB182" s="33">
        <f t="shared" si="71"/>
        <v>0</v>
      </c>
      <c r="AC182" s="304">
        <f t="shared" si="86"/>
        <v>0</v>
      </c>
      <c r="AD182" s="100">
        <f t="shared" si="72"/>
        <v>0</v>
      </c>
      <c r="AE182" s="100">
        <f t="shared" si="73"/>
        <v>0</v>
      </c>
      <c r="AF182" s="193">
        <f t="shared" si="82"/>
        <v>0</v>
      </c>
      <c r="AG182" s="193">
        <f t="shared" si="83"/>
        <v>0</v>
      </c>
      <c r="AH182" s="193">
        <f t="shared" si="84"/>
        <v>0</v>
      </c>
      <c r="AI182" s="198">
        <f t="shared" si="85"/>
        <v>0</v>
      </c>
      <c r="AK182" s="71">
        <v>177</v>
      </c>
      <c r="AL182" s="33"/>
      <c r="AM182" s="33"/>
      <c r="AN182" s="33"/>
      <c r="AO182" s="33"/>
      <c r="AP182" s="33"/>
      <c r="AQ182" s="193"/>
      <c r="AR182" s="193"/>
      <c r="AS182" s="193"/>
      <c r="AT182" s="193"/>
      <c r="AU182" s="33"/>
      <c r="AV182" s="33"/>
      <c r="AW182" s="33"/>
      <c r="AX182" s="33"/>
      <c r="AY182" s="76"/>
    </row>
    <row r="183" spans="3:51">
      <c r="C183" s="165" t="s">
        <v>58</v>
      </c>
      <c r="D183" s="4">
        <v>0.34</v>
      </c>
      <c r="E183" s="187" t="s">
        <v>229</v>
      </c>
      <c r="F183" s="342">
        <f>IF(OR(Tableau145[[#This Row],[Type]]="Feuillus",Tableau145[[#This Row],[Type]]="Peupliers"),1.56,1.3)</f>
        <v>1.3</v>
      </c>
      <c r="I183" s="55">
        <v>178</v>
      </c>
      <c r="J183" s="33">
        <f t="shared" si="76"/>
        <v>0</v>
      </c>
      <c r="K183" s="33">
        <f t="shared" si="77"/>
        <v>0</v>
      </c>
      <c r="L183" s="33">
        <f t="shared" si="78"/>
        <v>0</v>
      </c>
      <c r="M183" s="33">
        <f t="shared" si="79"/>
        <v>0</v>
      </c>
      <c r="N183" s="33">
        <f t="shared" si="65"/>
        <v>0</v>
      </c>
      <c r="O183" s="34">
        <f t="shared" si="66"/>
        <v>0</v>
      </c>
      <c r="P183" s="55">
        <v>178</v>
      </c>
      <c r="Q183" s="33">
        <f t="shared" si="74"/>
        <v>0</v>
      </c>
      <c r="R183" s="33">
        <f t="shared" si="80"/>
        <v>0</v>
      </c>
      <c r="S183" s="33">
        <f t="shared" si="81"/>
        <v>0</v>
      </c>
      <c r="T183" s="33">
        <f t="shared" si="67"/>
        <v>0</v>
      </c>
      <c r="U183" s="33">
        <f t="shared" si="75"/>
        <v>0</v>
      </c>
      <c r="V183" s="33">
        <f t="shared" si="68"/>
        <v>0</v>
      </c>
      <c r="W183" s="33">
        <v>0</v>
      </c>
      <c r="X183" s="33">
        <f t="shared" si="69"/>
        <v>0</v>
      </c>
      <c r="Y183" s="38">
        <f t="shared" si="70"/>
        <v>0</v>
      </c>
      <c r="AA183" s="71">
        <v>178</v>
      </c>
      <c r="AB183" s="33">
        <f t="shared" si="71"/>
        <v>0</v>
      </c>
      <c r="AC183" s="304">
        <f t="shared" si="86"/>
        <v>0</v>
      </c>
      <c r="AD183" s="100">
        <f t="shared" si="72"/>
        <v>0</v>
      </c>
      <c r="AE183" s="100">
        <f t="shared" si="73"/>
        <v>0</v>
      </c>
      <c r="AF183" s="193">
        <f t="shared" si="82"/>
        <v>0</v>
      </c>
      <c r="AG183" s="193">
        <f t="shared" si="83"/>
        <v>0</v>
      </c>
      <c r="AH183" s="193">
        <f t="shared" si="84"/>
        <v>0</v>
      </c>
      <c r="AI183" s="198">
        <f t="shared" si="85"/>
        <v>0</v>
      </c>
      <c r="AK183" s="71">
        <v>178</v>
      </c>
      <c r="AL183" s="33"/>
      <c r="AM183" s="33"/>
      <c r="AN183" s="33"/>
      <c r="AO183" s="33"/>
      <c r="AP183" s="33"/>
      <c r="AQ183" s="193"/>
      <c r="AR183" s="193"/>
      <c r="AS183" s="193"/>
      <c r="AT183" s="193"/>
      <c r="AU183" s="33"/>
      <c r="AV183" s="33"/>
      <c r="AW183" s="33"/>
      <c r="AX183" s="33"/>
      <c r="AY183" s="76"/>
    </row>
    <row r="184" spans="3:51">
      <c r="C184" s="165" t="s">
        <v>59</v>
      </c>
      <c r="D184" s="4">
        <v>0.5</v>
      </c>
      <c r="E184" s="187" t="s">
        <v>228</v>
      </c>
      <c r="F184" s="342">
        <f>IF(OR(Tableau145[[#This Row],[Type]]="Feuillus",Tableau145[[#This Row],[Type]]="Peupliers"),1.56,1.3)</f>
        <v>1.56</v>
      </c>
      <c r="I184" s="55">
        <v>179</v>
      </c>
      <c r="J184" s="33">
        <f t="shared" si="76"/>
        <v>0</v>
      </c>
      <c r="K184" s="33">
        <f t="shared" si="77"/>
        <v>0</v>
      </c>
      <c r="L184" s="33">
        <f t="shared" si="78"/>
        <v>0</v>
      </c>
      <c r="M184" s="33">
        <f t="shared" si="79"/>
        <v>0</v>
      </c>
      <c r="N184" s="33">
        <f t="shared" si="65"/>
        <v>0</v>
      </c>
      <c r="O184" s="34">
        <f t="shared" si="66"/>
        <v>0</v>
      </c>
      <c r="P184" s="55">
        <v>179</v>
      </c>
      <c r="Q184" s="33">
        <f t="shared" si="74"/>
        <v>0</v>
      </c>
      <c r="R184" s="33">
        <f t="shared" si="80"/>
        <v>0</v>
      </c>
      <c r="S184" s="33">
        <f t="shared" si="81"/>
        <v>0</v>
      </c>
      <c r="T184" s="33">
        <f t="shared" si="67"/>
        <v>0</v>
      </c>
      <c r="U184" s="33">
        <f t="shared" si="75"/>
        <v>0</v>
      </c>
      <c r="V184" s="33">
        <f t="shared" si="68"/>
        <v>0</v>
      </c>
      <c r="W184" s="33">
        <v>0</v>
      </c>
      <c r="X184" s="33">
        <f t="shared" si="69"/>
        <v>0</v>
      </c>
      <c r="Y184" s="38">
        <f t="shared" si="70"/>
        <v>0</v>
      </c>
      <c r="AA184" s="71">
        <v>179</v>
      </c>
      <c r="AB184" s="33">
        <f t="shared" si="71"/>
        <v>0</v>
      </c>
      <c r="AC184" s="304">
        <f t="shared" si="86"/>
        <v>0</v>
      </c>
      <c r="AD184" s="100">
        <f t="shared" si="72"/>
        <v>0</v>
      </c>
      <c r="AE184" s="100">
        <f t="shared" si="73"/>
        <v>0</v>
      </c>
      <c r="AF184" s="193">
        <f t="shared" si="82"/>
        <v>0</v>
      </c>
      <c r="AG184" s="193">
        <f t="shared" si="83"/>
        <v>0</v>
      </c>
      <c r="AH184" s="193">
        <f t="shared" si="84"/>
        <v>0</v>
      </c>
      <c r="AI184" s="198">
        <f t="shared" si="85"/>
        <v>0</v>
      </c>
      <c r="AK184" s="71">
        <v>179</v>
      </c>
      <c r="AL184" s="33"/>
      <c r="AM184" s="33"/>
      <c r="AN184" s="33"/>
      <c r="AO184" s="33"/>
      <c r="AP184" s="33"/>
      <c r="AQ184" s="193"/>
      <c r="AR184" s="193"/>
      <c r="AS184" s="193"/>
      <c r="AT184" s="193"/>
      <c r="AU184" s="33"/>
      <c r="AV184" s="33"/>
      <c r="AW184" s="33"/>
      <c r="AX184" s="33"/>
      <c r="AY184" s="76"/>
    </row>
    <row r="185" spans="3:51">
      <c r="C185" s="165" t="s">
        <v>60</v>
      </c>
      <c r="D185" s="4">
        <v>0.57999999999999996</v>
      </c>
      <c r="E185" s="187" t="s">
        <v>228</v>
      </c>
      <c r="F185" s="342">
        <f>IF(OR(Tableau145[[#This Row],[Type]]="Feuillus",Tableau145[[#This Row],[Type]]="Peupliers"),1.56,1.3)</f>
        <v>1.56</v>
      </c>
      <c r="I185" s="55">
        <v>180</v>
      </c>
      <c r="J185" s="33">
        <f t="shared" si="76"/>
        <v>0</v>
      </c>
      <c r="K185" s="33">
        <f t="shared" si="77"/>
        <v>0</v>
      </c>
      <c r="L185" s="33">
        <f t="shared" si="78"/>
        <v>0</v>
      </c>
      <c r="M185" s="33">
        <f t="shared" si="79"/>
        <v>0</v>
      </c>
      <c r="N185" s="33">
        <f t="shared" si="65"/>
        <v>0</v>
      </c>
      <c r="O185" s="34">
        <f t="shared" si="66"/>
        <v>0</v>
      </c>
      <c r="P185" s="55">
        <v>180</v>
      </c>
      <c r="Q185" s="33">
        <f t="shared" si="74"/>
        <v>0</v>
      </c>
      <c r="R185" s="33">
        <f t="shared" si="80"/>
        <v>0</v>
      </c>
      <c r="S185" s="33">
        <f t="shared" si="81"/>
        <v>0</v>
      </c>
      <c r="T185" s="33">
        <f t="shared" si="67"/>
        <v>0</v>
      </c>
      <c r="U185" s="33">
        <f t="shared" si="75"/>
        <v>0</v>
      </c>
      <c r="V185" s="33">
        <f t="shared" si="68"/>
        <v>0</v>
      </c>
      <c r="W185" s="33">
        <v>0</v>
      </c>
      <c r="X185" s="33">
        <f t="shared" si="69"/>
        <v>0</v>
      </c>
      <c r="Y185" s="38">
        <f t="shared" si="70"/>
        <v>0</v>
      </c>
      <c r="AA185" s="71">
        <v>180</v>
      </c>
      <c r="AB185" s="33">
        <f t="shared" si="71"/>
        <v>0</v>
      </c>
      <c r="AC185" s="304">
        <f t="shared" si="86"/>
        <v>0</v>
      </c>
      <c r="AD185" s="100">
        <f t="shared" si="72"/>
        <v>0</v>
      </c>
      <c r="AE185" s="100">
        <f t="shared" si="73"/>
        <v>0</v>
      </c>
      <c r="AF185" s="193">
        <f t="shared" si="82"/>
        <v>0</v>
      </c>
      <c r="AG185" s="193">
        <f t="shared" si="83"/>
        <v>0</v>
      </c>
      <c r="AH185" s="193">
        <f t="shared" si="84"/>
        <v>0</v>
      </c>
      <c r="AI185" s="198">
        <f t="shared" si="85"/>
        <v>0</v>
      </c>
      <c r="AK185" s="71">
        <v>180</v>
      </c>
      <c r="AL185" s="33"/>
      <c r="AM185" s="33"/>
      <c r="AN185" s="33"/>
      <c r="AO185" s="33"/>
      <c r="AP185" s="33"/>
      <c r="AQ185" s="193"/>
      <c r="AR185" s="193"/>
      <c r="AS185" s="193"/>
      <c r="AT185" s="193"/>
      <c r="AU185" s="33"/>
      <c r="AV185" s="33"/>
      <c r="AW185" s="33"/>
      <c r="AX185" s="33"/>
      <c r="AY185" s="76"/>
    </row>
    <row r="186" spans="3:51">
      <c r="C186" s="165" t="s">
        <v>61</v>
      </c>
      <c r="D186" s="4">
        <v>0.37</v>
      </c>
      <c r="E186" s="187" t="s">
        <v>229</v>
      </c>
      <c r="F186" s="342">
        <f>IF(OR(Tableau145[[#This Row],[Type]]="Feuillus",Tableau145[[#This Row],[Type]]="Peupliers"),1.56,1.3)</f>
        <v>1.3</v>
      </c>
      <c r="I186" s="55">
        <v>181</v>
      </c>
      <c r="J186" s="33">
        <f t="shared" si="76"/>
        <v>0</v>
      </c>
      <c r="K186" s="33">
        <f t="shared" si="77"/>
        <v>0</v>
      </c>
      <c r="L186" s="33">
        <f t="shared" si="78"/>
        <v>0</v>
      </c>
      <c r="M186" s="33">
        <f t="shared" si="79"/>
        <v>0</v>
      </c>
      <c r="N186" s="33">
        <f t="shared" si="65"/>
        <v>0</v>
      </c>
      <c r="O186" s="34">
        <f t="shared" si="66"/>
        <v>0</v>
      </c>
      <c r="P186" s="55">
        <v>181</v>
      </c>
      <c r="Q186" s="33">
        <f t="shared" si="74"/>
        <v>0</v>
      </c>
      <c r="R186" s="33">
        <f t="shared" si="80"/>
        <v>0</v>
      </c>
      <c r="S186" s="33">
        <f t="shared" si="81"/>
        <v>0</v>
      </c>
      <c r="T186" s="33">
        <f t="shared" si="67"/>
        <v>0</v>
      </c>
      <c r="U186" s="33">
        <f t="shared" si="75"/>
        <v>0</v>
      </c>
      <c r="V186" s="33">
        <f t="shared" si="68"/>
        <v>0</v>
      </c>
      <c r="W186" s="33">
        <v>0</v>
      </c>
      <c r="X186" s="33">
        <f t="shared" si="69"/>
        <v>0</v>
      </c>
      <c r="Y186" s="38">
        <f t="shared" si="70"/>
        <v>0</v>
      </c>
      <c r="AA186" s="71">
        <v>181</v>
      </c>
      <c r="AB186" s="33">
        <f t="shared" si="71"/>
        <v>0</v>
      </c>
      <c r="AC186" s="304">
        <f t="shared" si="86"/>
        <v>0</v>
      </c>
      <c r="AD186" s="100">
        <f t="shared" si="72"/>
        <v>0</v>
      </c>
      <c r="AE186" s="100">
        <f t="shared" si="73"/>
        <v>0</v>
      </c>
      <c r="AF186" s="193">
        <f t="shared" si="82"/>
        <v>0</v>
      </c>
      <c r="AG186" s="193">
        <f t="shared" si="83"/>
        <v>0</v>
      </c>
      <c r="AH186" s="193">
        <f t="shared" si="84"/>
        <v>0</v>
      </c>
      <c r="AI186" s="198">
        <f t="shared" si="85"/>
        <v>0</v>
      </c>
      <c r="AK186" s="71">
        <v>181</v>
      </c>
      <c r="AL186" s="33"/>
      <c r="AM186" s="33"/>
      <c r="AN186" s="33"/>
      <c r="AO186" s="33"/>
      <c r="AP186" s="33"/>
      <c r="AQ186" s="193"/>
      <c r="AR186" s="193"/>
      <c r="AS186" s="193"/>
      <c r="AT186" s="193"/>
      <c r="AU186" s="33"/>
      <c r="AV186" s="33"/>
      <c r="AW186" s="33"/>
      <c r="AX186" s="33"/>
      <c r="AY186" s="76"/>
    </row>
    <row r="187" spans="3:51">
      <c r="C187" s="165" t="s">
        <v>62</v>
      </c>
      <c r="D187" s="4">
        <v>0.37</v>
      </c>
      <c r="E187" s="187" t="s">
        <v>229</v>
      </c>
      <c r="F187" s="342">
        <f>IF(OR(Tableau145[[#This Row],[Type]]="Feuillus",Tableau145[[#This Row],[Type]]="Peupliers"),1.56,1.3)</f>
        <v>1.3</v>
      </c>
      <c r="I187" s="55">
        <v>182</v>
      </c>
      <c r="J187" s="33">
        <f t="shared" si="76"/>
        <v>0</v>
      </c>
      <c r="K187" s="33">
        <f t="shared" si="77"/>
        <v>0</v>
      </c>
      <c r="L187" s="33">
        <f t="shared" si="78"/>
        <v>0</v>
      </c>
      <c r="M187" s="33">
        <f t="shared" si="79"/>
        <v>0</v>
      </c>
      <c r="N187" s="33">
        <f t="shared" si="65"/>
        <v>0</v>
      </c>
      <c r="O187" s="34">
        <f t="shared" si="66"/>
        <v>0</v>
      </c>
      <c r="P187" s="55">
        <v>182</v>
      </c>
      <c r="Q187" s="33">
        <f t="shared" si="74"/>
        <v>0</v>
      </c>
      <c r="R187" s="33">
        <f t="shared" si="80"/>
        <v>0</v>
      </c>
      <c r="S187" s="33">
        <f t="shared" si="81"/>
        <v>0</v>
      </c>
      <c r="T187" s="33">
        <f t="shared" si="67"/>
        <v>0</v>
      </c>
      <c r="U187" s="33">
        <f t="shared" si="75"/>
        <v>0</v>
      </c>
      <c r="V187" s="33">
        <f t="shared" si="68"/>
        <v>0</v>
      </c>
      <c r="W187" s="33">
        <v>0</v>
      </c>
      <c r="X187" s="33">
        <f t="shared" si="69"/>
        <v>0</v>
      </c>
      <c r="Y187" s="38">
        <f t="shared" si="70"/>
        <v>0</v>
      </c>
      <c r="AA187" s="71">
        <v>182</v>
      </c>
      <c r="AB187" s="33">
        <f t="shared" si="71"/>
        <v>0</v>
      </c>
      <c r="AC187" s="304">
        <f t="shared" si="86"/>
        <v>0</v>
      </c>
      <c r="AD187" s="100">
        <f t="shared" si="72"/>
        <v>0</v>
      </c>
      <c r="AE187" s="100">
        <f t="shared" si="73"/>
        <v>0</v>
      </c>
      <c r="AF187" s="193">
        <f t="shared" si="82"/>
        <v>0</v>
      </c>
      <c r="AG187" s="193">
        <f t="shared" si="83"/>
        <v>0</v>
      </c>
      <c r="AH187" s="193">
        <f t="shared" si="84"/>
        <v>0</v>
      </c>
      <c r="AI187" s="198">
        <f t="shared" si="85"/>
        <v>0</v>
      </c>
      <c r="AK187" s="71">
        <v>182</v>
      </c>
      <c r="AL187" s="33"/>
      <c r="AM187" s="33"/>
      <c r="AN187" s="33"/>
      <c r="AO187" s="33"/>
      <c r="AP187" s="33"/>
      <c r="AQ187" s="193"/>
      <c r="AR187" s="193"/>
      <c r="AS187" s="193"/>
      <c r="AT187" s="193"/>
      <c r="AU187" s="33"/>
      <c r="AV187" s="33"/>
      <c r="AW187" s="33"/>
      <c r="AX187" s="33"/>
      <c r="AY187" s="76"/>
    </row>
    <row r="188" spans="3:51">
      <c r="C188" s="165" t="s">
        <v>63</v>
      </c>
      <c r="D188" s="4">
        <v>0.38</v>
      </c>
      <c r="E188" s="187" t="s">
        <v>229</v>
      </c>
      <c r="F188" s="342">
        <f>IF(OR(Tableau145[[#This Row],[Type]]="Feuillus",Tableau145[[#This Row],[Type]]="Peupliers"),1.56,1.3)</f>
        <v>1.3</v>
      </c>
      <c r="I188" s="55">
        <v>183</v>
      </c>
      <c r="J188" s="33">
        <f t="shared" si="76"/>
        <v>0</v>
      </c>
      <c r="K188" s="33">
        <f t="shared" si="77"/>
        <v>0</v>
      </c>
      <c r="L188" s="33">
        <f t="shared" si="78"/>
        <v>0</v>
      </c>
      <c r="M188" s="33">
        <f t="shared" si="79"/>
        <v>0</v>
      </c>
      <c r="N188" s="33">
        <f t="shared" si="65"/>
        <v>0</v>
      </c>
      <c r="O188" s="34">
        <f t="shared" si="66"/>
        <v>0</v>
      </c>
      <c r="P188" s="55">
        <v>183</v>
      </c>
      <c r="Q188" s="33">
        <f t="shared" si="74"/>
        <v>0</v>
      </c>
      <c r="R188" s="33">
        <f t="shared" si="80"/>
        <v>0</v>
      </c>
      <c r="S188" s="33">
        <f t="shared" si="81"/>
        <v>0</v>
      </c>
      <c r="T188" s="33">
        <f t="shared" si="67"/>
        <v>0</v>
      </c>
      <c r="U188" s="33">
        <f t="shared" si="75"/>
        <v>0</v>
      </c>
      <c r="V188" s="33">
        <f t="shared" si="68"/>
        <v>0</v>
      </c>
      <c r="W188" s="33">
        <v>0</v>
      </c>
      <c r="X188" s="33">
        <f t="shared" si="69"/>
        <v>0</v>
      </c>
      <c r="Y188" s="38">
        <f t="shared" si="70"/>
        <v>0</v>
      </c>
      <c r="AA188" s="71">
        <v>183</v>
      </c>
      <c r="AB188" s="33">
        <f t="shared" si="71"/>
        <v>0</v>
      </c>
      <c r="AC188" s="304">
        <f t="shared" si="86"/>
        <v>0</v>
      </c>
      <c r="AD188" s="100">
        <f t="shared" si="72"/>
        <v>0</v>
      </c>
      <c r="AE188" s="100">
        <f t="shared" si="73"/>
        <v>0</v>
      </c>
      <c r="AF188" s="193">
        <f t="shared" si="82"/>
        <v>0</v>
      </c>
      <c r="AG188" s="193">
        <f t="shared" si="83"/>
        <v>0</v>
      </c>
      <c r="AH188" s="193">
        <f t="shared" si="84"/>
        <v>0</v>
      </c>
      <c r="AI188" s="198">
        <f t="shared" si="85"/>
        <v>0</v>
      </c>
      <c r="AK188" s="71">
        <v>183</v>
      </c>
      <c r="AL188" s="33"/>
      <c r="AM188" s="33"/>
      <c r="AN188" s="33"/>
      <c r="AO188" s="33"/>
      <c r="AP188" s="33"/>
      <c r="AQ188" s="193"/>
      <c r="AR188" s="193"/>
      <c r="AS188" s="193"/>
      <c r="AT188" s="193"/>
      <c r="AU188" s="33"/>
      <c r="AV188" s="33"/>
      <c r="AW188" s="33"/>
      <c r="AX188" s="33"/>
      <c r="AY188" s="76"/>
    </row>
    <row r="189" spans="3:51">
      <c r="C189" s="165" t="s">
        <v>64</v>
      </c>
      <c r="D189" s="4">
        <v>0.36</v>
      </c>
      <c r="E189" s="187" t="s">
        <v>229</v>
      </c>
      <c r="F189" s="342">
        <f>IF(OR(Tableau145[[#This Row],[Type]]="Feuillus",Tableau145[[#This Row],[Type]]="Peupliers"),1.56,1.3)</f>
        <v>1.3</v>
      </c>
      <c r="I189" s="55">
        <v>184</v>
      </c>
      <c r="J189" s="33">
        <f t="shared" si="76"/>
        <v>0</v>
      </c>
      <c r="K189" s="33">
        <f t="shared" si="77"/>
        <v>0</v>
      </c>
      <c r="L189" s="33">
        <f t="shared" si="78"/>
        <v>0</v>
      </c>
      <c r="M189" s="33">
        <f t="shared" si="79"/>
        <v>0</v>
      </c>
      <c r="N189" s="33">
        <f t="shared" si="65"/>
        <v>0</v>
      </c>
      <c r="O189" s="34">
        <f t="shared" si="66"/>
        <v>0</v>
      </c>
      <c r="P189" s="55">
        <v>184</v>
      </c>
      <c r="Q189" s="33">
        <f t="shared" si="74"/>
        <v>0</v>
      </c>
      <c r="R189" s="33">
        <f t="shared" si="80"/>
        <v>0</v>
      </c>
      <c r="S189" s="33">
        <f t="shared" si="81"/>
        <v>0</v>
      </c>
      <c r="T189" s="33">
        <f t="shared" si="67"/>
        <v>0</v>
      </c>
      <c r="U189" s="33">
        <f t="shared" si="75"/>
        <v>0</v>
      </c>
      <c r="V189" s="33">
        <f t="shared" si="68"/>
        <v>0</v>
      </c>
      <c r="W189" s="33">
        <v>0</v>
      </c>
      <c r="X189" s="33">
        <f t="shared" si="69"/>
        <v>0</v>
      </c>
      <c r="Y189" s="38">
        <f t="shared" si="70"/>
        <v>0</v>
      </c>
      <c r="AA189" s="71">
        <v>184</v>
      </c>
      <c r="AB189" s="33">
        <f t="shared" si="71"/>
        <v>0</v>
      </c>
      <c r="AC189" s="304">
        <f t="shared" si="86"/>
        <v>0</v>
      </c>
      <c r="AD189" s="100">
        <f t="shared" si="72"/>
        <v>0</v>
      </c>
      <c r="AE189" s="100">
        <f t="shared" si="73"/>
        <v>0</v>
      </c>
      <c r="AF189" s="193">
        <f t="shared" si="82"/>
        <v>0</v>
      </c>
      <c r="AG189" s="193">
        <f t="shared" si="83"/>
        <v>0</v>
      </c>
      <c r="AH189" s="193">
        <f t="shared" si="84"/>
        <v>0</v>
      </c>
      <c r="AI189" s="198">
        <f t="shared" si="85"/>
        <v>0</v>
      </c>
      <c r="AK189" s="71">
        <v>184</v>
      </c>
      <c r="AL189" s="33"/>
      <c r="AM189" s="33"/>
      <c r="AN189" s="33"/>
      <c r="AO189" s="33"/>
      <c r="AP189" s="33"/>
      <c r="AQ189" s="193"/>
      <c r="AR189" s="193"/>
      <c r="AS189" s="193"/>
      <c r="AT189" s="193"/>
      <c r="AU189" s="33"/>
      <c r="AV189" s="33"/>
      <c r="AW189" s="33"/>
      <c r="AX189" s="33"/>
      <c r="AY189" s="76"/>
    </row>
    <row r="190" spans="3:51">
      <c r="C190" s="165" t="s">
        <v>65</v>
      </c>
      <c r="D190" s="4">
        <v>0.37</v>
      </c>
      <c r="E190" s="187" t="s">
        <v>228</v>
      </c>
      <c r="F190" s="342">
        <f>IF(OR(Tableau145[[#This Row],[Type]]="Feuillus",Tableau145[[#This Row],[Type]]="Peupliers"),1.56,1.3)</f>
        <v>1.56</v>
      </c>
      <c r="I190" s="55">
        <v>185</v>
      </c>
      <c r="J190" s="33">
        <f t="shared" si="76"/>
        <v>0</v>
      </c>
      <c r="K190" s="33">
        <f t="shared" si="77"/>
        <v>0</v>
      </c>
      <c r="L190" s="33">
        <f t="shared" si="78"/>
        <v>0</v>
      </c>
      <c r="M190" s="33">
        <f t="shared" si="79"/>
        <v>0</v>
      </c>
      <c r="N190" s="33">
        <f t="shared" si="65"/>
        <v>0</v>
      </c>
      <c r="O190" s="34">
        <f t="shared" si="66"/>
        <v>0</v>
      </c>
      <c r="P190" s="55">
        <v>185</v>
      </c>
      <c r="Q190" s="33">
        <f t="shared" si="74"/>
        <v>0</v>
      </c>
      <c r="R190" s="33">
        <f t="shared" si="80"/>
        <v>0</v>
      </c>
      <c r="S190" s="33">
        <f t="shared" si="81"/>
        <v>0</v>
      </c>
      <c r="T190" s="33">
        <f t="shared" si="67"/>
        <v>0</v>
      </c>
      <c r="U190" s="33">
        <f t="shared" si="75"/>
        <v>0</v>
      </c>
      <c r="V190" s="33">
        <f t="shared" si="68"/>
        <v>0</v>
      </c>
      <c r="W190" s="33">
        <v>0</v>
      </c>
      <c r="X190" s="33">
        <f t="shared" si="69"/>
        <v>0</v>
      </c>
      <c r="Y190" s="38">
        <f t="shared" si="70"/>
        <v>0</v>
      </c>
      <c r="AA190" s="71">
        <v>185</v>
      </c>
      <c r="AB190" s="33">
        <f t="shared" si="71"/>
        <v>0</v>
      </c>
      <c r="AC190" s="304">
        <f t="shared" si="86"/>
        <v>0</v>
      </c>
      <c r="AD190" s="100">
        <f t="shared" si="72"/>
        <v>0</v>
      </c>
      <c r="AE190" s="100">
        <f t="shared" si="73"/>
        <v>0</v>
      </c>
      <c r="AF190" s="193">
        <f t="shared" si="82"/>
        <v>0</v>
      </c>
      <c r="AG190" s="193">
        <f t="shared" si="83"/>
        <v>0</v>
      </c>
      <c r="AH190" s="193">
        <f t="shared" si="84"/>
        <v>0</v>
      </c>
      <c r="AI190" s="198">
        <f t="shared" si="85"/>
        <v>0</v>
      </c>
      <c r="AK190" s="71">
        <v>185</v>
      </c>
      <c r="AL190" s="33"/>
      <c r="AM190" s="33"/>
      <c r="AN190" s="33"/>
      <c r="AO190" s="33"/>
      <c r="AP190" s="33"/>
      <c r="AQ190" s="193"/>
      <c r="AR190" s="193"/>
      <c r="AS190" s="193"/>
      <c r="AT190" s="193"/>
      <c r="AU190" s="33"/>
      <c r="AV190" s="33"/>
      <c r="AW190" s="33"/>
      <c r="AX190" s="33"/>
      <c r="AY190" s="76"/>
    </row>
    <row r="191" spans="3:51">
      <c r="C191" s="165" t="s">
        <v>66</v>
      </c>
      <c r="D191" s="4">
        <v>0.53</v>
      </c>
      <c r="E191" s="187" t="s">
        <v>228</v>
      </c>
      <c r="F191" s="342">
        <f>IF(OR(Tableau145[[#This Row],[Type]]="Feuillus",Tableau145[[#This Row],[Type]]="Peupliers"),1.56,1.3)</f>
        <v>1.56</v>
      </c>
      <c r="I191" s="55">
        <v>186</v>
      </c>
      <c r="J191" s="33">
        <f t="shared" si="76"/>
        <v>0</v>
      </c>
      <c r="K191" s="33">
        <f t="shared" si="77"/>
        <v>0</v>
      </c>
      <c r="L191" s="33">
        <f t="shared" si="78"/>
        <v>0</v>
      </c>
      <c r="M191" s="33">
        <f t="shared" si="79"/>
        <v>0</v>
      </c>
      <c r="N191" s="33">
        <f t="shared" si="65"/>
        <v>0</v>
      </c>
      <c r="O191" s="34">
        <f t="shared" si="66"/>
        <v>0</v>
      </c>
      <c r="P191" s="55">
        <v>186</v>
      </c>
      <c r="Q191" s="33">
        <f t="shared" si="74"/>
        <v>0</v>
      </c>
      <c r="R191" s="33">
        <f t="shared" si="80"/>
        <v>0</v>
      </c>
      <c r="S191" s="33">
        <f t="shared" si="81"/>
        <v>0</v>
      </c>
      <c r="T191" s="33">
        <f t="shared" si="67"/>
        <v>0</v>
      </c>
      <c r="U191" s="33">
        <f t="shared" si="75"/>
        <v>0</v>
      </c>
      <c r="V191" s="33">
        <f t="shared" si="68"/>
        <v>0</v>
      </c>
      <c r="W191" s="33">
        <v>0</v>
      </c>
      <c r="X191" s="33">
        <f t="shared" si="69"/>
        <v>0</v>
      </c>
      <c r="Y191" s="38">
        <f t="shared" si="70"/>
        <v>0</v>
      </c>
      <c r="AA191" s="71">
        <v>186</v>
      </c>
      <c r="AB191" s="33">
        <f t="shared" si="71"/>
        <v>0</v>
      </c>
      <c r="AC191" s="304">
        <f t="shared" si="86"/>
        <v>0</v>
      </c>
      <c r="AD191" s="100">
        <f t="shared" si="72"/>
        <v>0</v>
      </c>
      <c r="AE191" s="100">
        <f t="shared" si="73"/>
        <v>0</v>
      </c>
      <c r="AF191" s="193">
        <f t="shared" si="82"/>
        <v>0</v>
      </c>
      <c r="AG191" s="193">
        <f t="shared" si="83"/>
        <v>0</v>
      </c>
      <c r="AH191" s="193">
        <f t="shared" si="84"/>
        <v>0</v>
      </c>
      <c r="AI191" s="198">
        <f t="shared" si="85"/>
        <v>0</v>
      </c>
      <c r="AK191" s="71">
        <v>186</v>
      </c>
      <c r="AL191" s="33"/>
      <c r="AM191" s="33"/>
      <c r="AN191" s="33"/>
      <c r="AO191" s="33"/>
      <c r="AP191" s="33"/>
      <c r="AQ191" s="193"/>
      <c r="AR191" s="193"/>
      <c r="AS191" s="193"/>
      <c r="AT191" s="193"/>
      <c r="AU191" s="33"/>
      <c r="AV191" s="33"/>
      <c r="AW191" s="33"/>
      <c r="AX191" s="33"/>
      <c r="AY191" s="76"/>
    </row>
    <row r="192" spans="3:51">
      <c r="C192" s="165" t="s">
        <v>67</v>
      </c>
      <c r="D192" s="4">
        <v>0.43</v>
      </c>
      <c r="E192" s="187" t="s">
        <v>228</v>
      </c>
      <c r="F192" s="342">
        <f>IF(OR(Tableau145[[#This Row],[Type]]="Feuillus",Tableau145[[#This Row],[Type]]="Peupliers"),1.56,1.3)</f>
        <v>1.56</v>
      </c>
      <c r="I192" s="55">
        <v>187</v>
      </c>
      <c r="J192" s="33">
        <f t="shared" si="76"/>
        <v>0</v>
      </c>
      <c r="K192" s="33">
        <f t="shared" si="77"/>
        <v>0</v>
      </c>
      <c r="L192" s="33">
        <f t="shared" si="78"/>
        <v>0</v>
      </c>
      <c r="M192" s="33">
        <f t="shared" si="79"/>
        <v>0</v>
      </c>
      <c r="N192" s="33">
        <f t="shared" si="65"/>
        <v>0</v>
      </c>
      <c r="O192" s="34">
        <f t="shared" si="66"/>
        <v>0</v>
      </c>
      <c r="P192" s="55">
        <v>187</v>
      </c>
      <c r="Q192" s="33">
        <f t="shared" si="74"/>
        <v>0</v>
      </c>
      <c r="R192" s="33">
        <f t="shared" si="80"/>
        <v>0</v>
      </c>
      <c r="S192" s="33">
        <f t="shared" si="81"/>
        <v>0</v>
      </c>
      <c r="T192" s="33">
        <f t="shared" si="67"/>
        <v>0</v>
      </c>
      <c r="U192" s="33">
        <f t="shared" si="75"/>
        <v>0</v>
      </c>
      <c r="V192" s="33">
        <f t="shared" si="68"/>
        <v>0</v>
      </c>
      <c r="W192" s="33">
        <v>0</v>
      </c>
      <c r="X192" s="33">
        <f t="shared" si="69"/>
        <v>0</v>
      </c>
      <c r="Y192" s="38">
        <f t="shared" si="70"/>
        <v>0</v>
      </c>
      <c r="AA192" s="71">
        <v>187</v>
      </c>
      <c r="AB192" s="33">
        <f t="shared" si="71"/>
        <v>0</v>
      </c>
      <c r="AC192" s="304">
        <f t="shared" si="86"/>
        <v>0</v>
      </c>
      <c r="AD192" s="100">
        <f t="shared" si="72"/>
        <v>0</v>
      </c>
      <c r="AE192" s="100">
        <f t="shared" si="73"/>
        <v>0</v>
      </c>
      <c r="AF192" s="193">
        <f t="shared" si="82"/>
        <v>0</v>
      </c>
      <c r="AG192" s="193">
        <f t="shared" si="83"/>
        <v>0</v>
      </c>
      <c r="AH192" s="193">
        <f t="shared" si="84"/>
        <v>0</v>
      </c>
      <c r="AI192" s="198">
        <f t="shared" si="85"/>
        <v>0</v>
      </c>
      <c r="AK192" s="71">
        <v>187</v>
      </c>
      <c r="AL192" s="33"/>
      <c r="AM192" s="33"/>
      <c r="AN192" s="33"/>
      <c r="AO192" s="33"/>
      <c r="AP192" s="33"/>
      <c r="AQ192" s="193"/>
      <c r="AR192" s="193"/>
      <c r="AS192" s="193"/>
      <c r="AT192" s="193"/>
      <c r="AU192" s="33"/>
      <c r="AV192" s="33"/>
      <c r="AW192" s="33"/>
      <c r="AX192" s="33"/>
      <c r="AY192" s="76"/>
    </row>
    <row r="193" spans="3:51">
      <c r="C193" s="165" t="s">
        <v>68</v>
      </c>
      <c r="D193" s="4">
        <v>0.38</v>
      </c>
      <c r="E193" s="187" t="s">
        <v>228</v>
      </c>
      <c r="F193" s="342">
        <f>IF(OR(Tableau145[[#This Row],[Type]]="Feuillus",Tableau145[[#This Row],[Type]]="Peupliers"),1.56,1.3)</f>
        <v>1.56</v>
      </c>
      <c r="I193" s="55">
        <v>188</v>
      </c>
      <c r="J193" s="33">
        <f t="shared" si="76"/>
        <v>0</v>
      </c>
      <c r="K193" s="33">
        <f t="shared" si="77"/>
        <v>0</v>
      </c>
      <c r="L193" s="33">
        <f t="shared" si="78"/>
        <v>0</v>
      </c>
      <c r="M193" s="33">
        <f t="shared" si="79"/>
        <v>0</v>
      </c>
      <c r="N193" s="33">
        <f t="shared" si="65"/>
        <v>0</v>
      </c>
      <c r="O193" s="34">
        <f t="shared" si="66"/>
        <v>0</v>
      </c>
      <c r="P193" s="55">
        <v>188</v>
      </c>
      <c r="Q193" s="33">
        <f t="shared" si="74"/>
        <v>0</v>
      </c>
      <c r="R193" s="33">
        <f t="shared" si="80"/>
        <v>0</v>
      </c>
      <c r="S193" s="33">
        <f t="shared" si="81"/>
        <v>0</v>
      </c>
      <c r="T193" s="33">
        <f t="shared" si="67"/>
        <v>0</v>
      </c>
      <c r="U193" s="33">
        <f t="shared" si="75"/>
        <v>0</v>
      </c>
      <c r="V193" s="33">
        <f t="shared" si="68"/>
        <v>0</v>
      </c>
      <c r="W193" s="33">
        <v>0</v>
      </c>
      <c r="X193" s="33">
        <f t="shared" si="69"/>
        <v>0</v>
      </c>
      <c r="Y193" s="38">
        <f t="shared" si="70"/>
        <v>0</v>
      </c>
      <c r="AA193" s="71">
        <v>188</v>
      </c>
      <c r="AB193" s="33">
        <f t="shared" si="71"/>
        <v>0</v>
      </c>
      <c r="AC193" s="304">
        <f t="shared" si="86"/>
        <v>0</v>
      </c>
      <c r="AD193" s="100">
        <f t="shared" si="72"/>
        <v>0</v>
      </c>
      <c r="AE193" s="100">
        <f t="shared" si="73"/>
        <v>0</v>
      </c>
      <c r="AF193" s="193">
        <f t="shared" si="82"/>
        <v>0</v>
      </c>
      <c r="AG193" s="193">
        <f t="shared" si="83"/>
        <v>0</v>
      </c>
      <c r="AH193" s="193">
        <f t="shared" si="84"/>
        <v>0</v>
      </c>
      <c r="AI193" s="198">
        <f t="shared" si="85"/>
        <v>0</v>
      </c>
      <c r="AK193" s="71">
        <v>188</v>
      </c>
      <c r="AL193" s="33"/>
      <c r="AM193" s="33"/>
      <c r="AN193" s="33"/>
      <c r="AO193" s="33"/>
      <c r="AP193" s="33"/>
      <c r="AQ193" s="193"/>
      <c r="AR193" s="193"/>
      <c r="AS193" s="193"/>
      <c r="AT193" s="193"/>
      <c r="AU193" s="33"/>
      <c r="AV193" s="33"/>
      <c r="AW193" s="33"/>
      <c r="AX193" s="33"/>
      <c r="AY193" s="76"/>
    </row>
    <row r="194" spans="3:51">
      <c r="C194" s="167" t="s">
        <v>69</v>
      </c>
      <c r="D194" s="3">
        <v>0.42</v>
      </c>
      <c r="E194" s="187" t="s">
        <v>229</v>
      </c>
      <c r="F194" s="342">
        <f>IF(OR(Tableau145[[#This Row],[Type]]="Feuillus",Tableau145[[#This Row],[Type]]="Peupliers"),1.56,1.3)</f>
        <v>1.3</v>
      </c>
      <c r="I194" s="55">
        <v>189</v>
      </c>
      <c r="J194" s="33">
        <f t="shared" si="76"/>
        <v>0</v>
      </c>
      <c r="K194" s="33">
        <f t="shared" si="77"/>
        <v>0</v>
      </c>
      <c r="L194" s="33">
        <f t="shared" si="78"/>
        <v>0</v>
      </c>
      <c r="M194" s="33">
        <f t="shared" si="79"/>
        <v>0</v>
      </c>
      <c r="N194" s="33">
        <f t="shared" si="65"/>
        <v>0</v>
      </c>
      <c r="O194" s="34">
        <f t="shared" si="66"/>
        <v>0</v>
      </c>
      <c r="P194" s="55">
        <v>189</v>
      </c>
      <c r="Q194" s="33">
        <f t="shared" si="74"/>
        <v>0</v>
      </c>
      <c r="R194" s="33">
        <f t="shared" si="80"/>
        <v>0</v>
      </c>
      <c r="S194" s="33">
        <f t="shared" si="81"/>
        <v>0</v>
      </c>
      <c r="T194" s="33">
        <f t="shared" si="67"/>
        <v>0</v>
      </c>
      <c r="U194" s="33">
        <f t="shared" si="75"/>
        <v>0</v>
      </c>
      <c r="V194" s="33">
        <f t="shared" si="68"/>
        <v>0</v>
      </c>
      <c r="W194" s="33">
        <v>0</v>
      </c>
      <c r="X194" s="33">
        <f t="shared" si="69"/>
        <v>0</v>
      </c>
      <c r="Y194" s="38">
        <f t="shared" si="70"/>
        <v>0</v>
      </c>
      <c r="AA194" s="71">
        <v>189</v>
      </c>
      <c r="AB194" s="33">
        <f t="shared" si="71"/>
        <v>0</v>
      </c>
      <c r="AC194" s="304">
        <f t="shared" si="86"/>
        <v>0</v>
      </c>
      <c r="AD194" s="100">
        <f t="shared" si="72"/>
        <v>0</v>
      </c>
      <c r="AE194" s="100">
        <f t="shared" si="73"/>
        <v>0</v>
      </c>
      <c r="AF194" s="193">
        <f t="shared" si="82"/>
        <v>0</v>
      </c>
      <c r="AG194" s="193">
        <f t="shared" si="83"/>
        <v>0</v>
      </c>
      <c r="AH194" s="193">
        <f t="shared" si="84"/>
        <v>0</v>
      </c>
      <c r="AI194" s="198">
        <f t="shared" si="85"/>
        <v>0</v>
      </c>
      <c r="AK194" s="71">
        <v>189</v>
      </c>
      <c r="AL194" s="33"/>
      <c r="AM194" s="33"/>
      <c r="AN194" s="33"/>
      <c r="AO194" s="33"/>
      <c r="AP194" s="33"/>
      <c r="AQ194" s="193"/>
      <c r="AR194" s="193"/>
      <c r="AS194" s="193"/>
      <c r="AT194" s="193"/>
      <c r="AU194" s="33"/>
      <c r="AV194" s="33"/>
      <c r="AW194" s="33"/>
      <c r="AX194" s="33"/>
      <c r="AY194" s="76"/>
    </row>
    <row r="195" spans="3:51">
      <c r="C195" s="167" t="s">
        <v>70</v>
      </c>
      <c r="D195" s="3">
        <v>0.56999999999999995</v>
      </c>
      <c r="E195" s="187" t="s">
        <v>228</v>
      </c>
      <c r="F195" s="342">
        <f>IF(OR(Tableau145[[#This Row],[Type]]="Feuillus",Tableau145[[#This Row],[Type]]="Peupliers"),1.56,1.3)</f>
        <v>1.56</v>
      </c>
      <c r="I195" s="55">
        <v>190</v>
      </c>
      <c r="J195" s="33">
        <f t="shared" si="76"/>
        <v>0</v>
      </c>
      <c r="K195" s="33">
        <f t="shared" si="77"/>
        <v>0</v>
      </c>
      <c r="L195" s="33">
        <f t="shared" si="78"/>
        <v>0</v>
      </c>
      <c r="M195" s="33">
        <f t="shared" si="79"/>
        <v>0</v>
      </c>
      <c r="N195" s="33">
        <f t="shared" si="65"/>
        <v>0</v>
      </c>
      <c r="O195" s="34">
        <f t="shared" si="66"/>
        <v>0</v>
      </c>
      <c r="P195" s="55">
        <v>190</v>
      </c>
      <c r="Q195" s="33">
        <f t="shared" si="74"/>
        <v>0</v>
      </c>
      <c r="R195" s="33">
        <f t="shared" si="80"/>
        <v>0</v>
      </c>
      <c r="S195" s="33">
        <f t="shared" si="81"/>
        <v>0</v>
      </c>
      <c r="T195" s="33">
        <f t="shared" si="67"/>
        <v>0</v>
      </c>
      <c r="U195" s="33">
        <f t="shared" si="75"/>
        <v>0</v>
      </c>
      <c r="V195" s="33">
        <f t="shared" si="68"/>
        <v>0</v>
      </c>
      <c r="W195" s="33">
        <v>0</v>
      </c>
      <c r="X195" s="33">
        <f t="shared" si="69"/>
        <v>0</v>
      </c>
      <c r="Y195" s="38">
        <f t="shared" si="70"/>
        <v>0</v>
      </c>
      <c r="AA195" s="71">
        <v>190</v>
      </c>
      <c r="AB195" s="33">
        <f t="shared" si="71"/>
        <v>0</v>
      </c>
      <c r="AC195" s="304">
        <f t="shared" si="86"/>
        <v>0</v>
      </c>
      <c r="AD195" s="100">
        <f t="shared" si="72"/>
        <v>0</v>
      </c>
      <c r="AE195" s="100">
        <f t="shared" si="73"/>
        <v>0</v>
      </c>
      <c r="AF195" s="193">
        <f t="shared" si="82"/>
        <v>0</v>
      </c>
      <c r="AG195" s="193">
        <f t="shared" si="83"/>
        <v>0</v>
      </c>
      <c r="AH195" s="193">
        <f t="shared" si="84"/>
        <v>0</v>
      </c>
      <c r="AI195" s="198">
        <f t="shared" si="85"/>
        <v>0</v>
      </c>
      <c r="AK195" s="71">
        <v>190</v>
      </c>
      <c r="AL195" s="33"/>
      <c r="AM195" s="33"/>
      <c r="AN195" s="33"/>
      <c r="AO195" s="33"/>
      <c r="AP195" s="33"/>
      <c r="AQ195" s="193"/>
      <c r="AR195" s="193"/>
      <c r="AS195" s="193"/>
      <c r="AT195" s="193"/>
      <c r="AU195" s="33"/>
      <c r="AV195" s="33"/>
      <c r="AW195" s="33"/>
      <c r="AX195" s="33"/>
      <c r="AY195" s="76"/>
    </row>
    <row r="196" spans="3:51">
      <c r="C196" s="167" t="s">
        <v>71</v>
      </c>
      <c r="D196" s="3">
        <v>0.54</v>
      </c>
      <c r="E196" s="187"/>
      <c r="F196" s="342">
        <f>IF(OR(Tableau145[[#This Row],[Type]]="Feuillus",Tableau145[[#This Row],[Type]]="Peupliers"),1.56,1.3)</f>
        <v>1.3</v>
      </c>
      <c r="I196" s="55">
        <v>191</v>
      </c>
      <c r="J196" s="33">
        <f t="shared" si="76"/>
        <v>0</v>
      </c>
      <c r="K196" s="33">
        <f t="shared" si="77"/>
        <v>0</v>
      </c>
      <c r="L196" s="33">
        <f t="shared" si="78"/>
        <v>0</v>
      </c>
      <c r="M196" s="33">
        <f t="shared" si="79"/>
        <v>0</v>
      </c>
      <c r="N196" s="33">
        <f t="shared" si="65"/>
        <v>0</v>
      </c>
      <c r="O196" s="34">
        <f t="shared" si="66"/>
        <v>0</v>
      </c>
      <c r="P196" s="55">
        <v>191</v>
      </c>
      <c r="Q196" s="33">
        <f t="shared" si="74"/>
        <v>0</v>
      </c>
      <c r="R196" s="33">
        <f t="shared" si="80"/>
        <v>0</v>
      </c>
      <c r="S196" s="33">
        <f t="shared" si="81"/>
        <v>0</v>
      </c>
      <c r="T196" s="33">
        <f t="shared" si="67"/>
        <v>0</v>
      </c>
      <c r="U196" s="33">
        <f t="shared" si="75"/>
        <v>0</v>
      </c>
      <c r="V196" s="33">
        <f t="shared" si="68"/>
        <v>0</v>
      </c>
      <c r="W196" s="33">
        <v>0</v>
      </c>
      <c r="X196" s="33">
        <f t="shared" si="69"/>
        <v>0</v>
      </c>
      <c r="Y196" s="38">
        <f t="shared" si="70"/>
        <v>0</v>
      </c>
      <c r="AA196" s="71">
        <v>191</v>
      </c>
      <c r="AB196" s="33">
        <f t="shared" si="71"/>
        <v>0</v>
      </c>
      <c r="AC196" s="304">
        <f t="shared" si="86"/>
        <v>0</v>
      </c>
      <c r="AD196" s="100">
        <f t="shared" si="72"/>
        <v>0</v>
      </c>
      <c r="AE196" s="100">
        <f t="shared" si="73"/>
        <v>0</v>
      </c>
      <c r="AF196" s="193">
        <f t="shared" si="82"/>
        <v>0</v>
      </c>
      <c r="AG196" s="193">
        <f t="shared" si="83"/>
        <v>0</v>
      </c>
      <c r="AH196" s="193">
        <f t="shared" si="84"/>
        <v>0</v>
      </c>
      <c r="AI196" s="198">
        <f t="shared" si="85"/>
        <v>0</v>
      </c>
      <c r="AK196" s="71">
        <v>191</v>
      </c>
      <c r="AL196" s="33"/>
      <c r="AM196" s="33"/>
      <c r="AN196" s="33"/>
      <c r="AO196" s="33"/>
      <c r="AP196" s="33"/>
      <c r="AQ196" s="193"/>
      <c r="AR196" s="193"/>
      <c r="AS196" s="193"/>
      <c r="AT196" s="193"/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76"/>
        <v>0</v>
      </c>
      <c r="K197" s="33">
        <f t="shared" si="77"/>
        <v>0</v>
      </c>
      <c r="L197" s="33">
        <f t="shared" si="78"/>
        <v>0</v>
      </c>
      <c r="M197" s="33">
        <f t="shared" si="79"/>
        <v>0</v>
      </c>
      <c r="N197" s="33">
        <f t="shared" ref="N197:N204" si="87">IF(P198&lt;=$F$18,0,)</f>
        <v>0</v>
      </c>
      <c r="O197" s="34">
        <f t="shared" ref="O197:O205" si="88">((J197+K197)*0.475+L197+M197+N197)*44/12</f>
        <v>0</v>
      </c>
      <c r="P197" s="55">
        <v>192</v>
      </c>
      <c r="Q197" s="33">
        <f t="shared" si="74"/>
        <v>0</v>
      </c>
      <c r="R197" s="33">
        <f t="shared" si="80"/>
        <v>0</v>
      </c>
      <c r="S197" s="33">
        <f t="shared" si="81"/>
        <v>0</v>
      </c>
      <c r="T197" s="33">
        <f t="shared" ref="T197:T205" si="89">IF(S197=0,0,EXP(-1.0587+0.8836*LN(S197)+0.284))</f>
        <v>0</v>
      </c>
      <c r="U197" s="33">
        <f t="shared" si="75"/>
        <v>0</v>
      </c>
      <c r="V197" s="33">
        <f t="shared" ref="V197:V205" si="90">IF(P197&lt;=$F$18,IF(P197&lt;=30,P197*($F$16-$F$6)/30,$F$16-$F$6),)</f>
        <v>0</v>
      </c>
      <c r="W197" s="33">
        <v>0</v>
      </c>
      <c r="X197" s="33">
        <f t="shared" ref="X197:X205" si="91">((S197+T197)*0.475+U197+V197+W197)*44/12</f>
        <v>0</v>
      </c>
      <c r="Y197" s="38">
        <f t="shared" ref="Y197:Y205" si="92">IF(P197&lt;=$F$18,X197-O197,)</f>
        <v>0</v>
      </c>
      <c r="AA197" s="71">
        <v>192</v>
      </c>
      <c r="AB197" s="33">
        <f t="shared" ref="AB197:AB205" si="93">IF(AA197&lt;=$F$18,IFERROR(VLOOKUP($AA197,$B$82:$G$94,2,FALSE),0),)</f>
        <v>0</v>
      </c>
      <c r="AC197" s="304">
        <f t="shared" si="86"/>
        <v>0</v>
      </c>
      <c r="AD197" s="100">
        <f t="shared" ref="AD197:AD205" si="94">IF(AA197&lt;=$F$18,IFERROR(VLOOKUP($AA197,$B$82:$G$94,4,FALSE),0),)</f>
        <v>0</v>
      </c>
      <c r="AE197" s="100">
        <f t="shared" ref="AE197:AE205" si="95">IF(AA197&lt;=$F$18,IFERROR(VLOOKUP($AA197,$B$82:$G$94,5,FALSE),0),)</f>
        <v>0</v>
      </c>
      <c r="AF197" s="193">
        <f t="shared" si="82"/>
        <v>0</v>
      </c>
      <c r="AG197" s="193">
        <f t="shared" si="83"/>
        <v>0</v>
      </c>
      <c r="AH197" s="193">
        <f t="shared" si="84"/>
        <v>0</v>
      </c>
      <c r="AI197" s="198">
        <f t="shared" si="85"/>
        <v>0</v>
      </c>
      <c r="AK197" s="71">
        <v>192</v>
      </c>
      <c r="AL197" s="33"/>
      <c r="AM197" s="33"/>
      <c r="AN197" s="33"/>
      <c r="AO197" s="33"/>
      <c r="AP197" s="33"/>
      <c r="AQ197" s="193"/>
      <c r="AR197" s="193"/>
      <c r="AS197" s="193"/>
      <c r="AT197" s="193"/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76"/>
        <v>0</v>
      </c>
      <c r="K198" s="33">
        <f t="shared" si="77"/>
        <v>0</v>
      </c>
      <c r="L198" s="33">
        <f t="shared" si="78"/>
        <v>0</v>
      </c>
      <c r="M198" s="33">
        <f t="shared" si="79"/>
        <v>0</v>
      </c>
      <c r="N198" s="33">
        <f t="shared" si="87"/>
        <v>0</v>
      </c>
      <c r="O198" s="34">
        <f t="shared" si="88"/>
        <v>0</v>
      </c>
      <c r="P198" s="55">
        <v>193</v>
      </c>
      <c r="Q198" s="33">
        <f t="shared" ref="Q198:Q205" si="96">IF(P198&lt;=$F$18,LOOKUP(P198-1,$B$25:$B$78,$G$25:$G$78),)</f>
        <v>0</v>
      </c>
      <c r="R198" s="33">
        <f t="shared" si="80"/>
        <v>0</v>
      </c>
      <c r="S198" s="33">
        <f t="shared" si="81"/>
        <v>0</v>
      </c>
      <c r="T198" s="33">
        <f t="shared" si="89"/>
        <v>0</v>
      </c>
      <c r="U198" s="33">
        <f t="shared" ref="U198:U205" si="97">IF(P198&lt;=$F$18,$F$5+($F$15-$F$5)*(1-EXP(-0.0175*P198)),)</f>
        <v>0</v>
      </c>
      <c r="V198" s="33">
        <f t="shared" si="90"/>
        <v>0</v>
      </c>
      <c r="W198" s="33">
        <v>0</v>
      </c>
      <c r="X198" s="33">
        <f t="shared" si="91"/>
        <v>0</v>
      </c>
      <c r="Y198" s="38">
        <f t="shared" si="92"/>
        <v>0</v>
      </c>
      <c r="AA198" s="71">
        <v>193</v>
      </c>
      <c r="AB198" s="33">
        <f t="shared" si="93"/>
        <v>0</v>
      </c>
      <c r="AC198" s="304">
        <f t="shared" si="86"/>
        <v>0</v>
      </c>
      <c r="AD198" s="100">
        <f t="shared" si="94"/>
        <v>0</v>
      </c>
      <c r="AE198" s="100">
        <f t="shared" si="95"/>
        <v>0</v>
      </c>
      <c r="AF198" s="193">
        <f t="shared" si="82"/>
        <v>0</v>
      </c>
      <c r="AG198" s="193">
        <f t="shared" si="83"/>
        <v>0</v>
      </c>
      <c r="AH198" s="193">
        <f t="shared" si="84"/>
        <v>0</v>
      </c>
      <c r="AI198" s="198">
        <f t="shared" si="85"/>
        <v>0</v>
      </c>
      <c r="AK198" s="71">
        <v>193</v>
      </c>
      <c r="AL198" s="33"/>
      <c r="AM198" s="33"/>
      <c r="AN198" s="33"/>
      <c r="AO198" s="33"/>
      <c r="AP198" s="33"/>
      <c r="AQ198" s="193"/>
      <c r="AR198" s="193"/>
      <c r="AS198" s="193"/>
      <c r="AT198" s="193"/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98">IF($I199&lt;=$F$10,$F$11*$F$13+J198,)</f>
        <v>0</v>
      </c>
      <c r="K199" s="33">
        <f t="shared" ref="K199:K205" si="99">IF(J199=0,0,EXP(-1.0587+0.8836*LN(J199)+0.284))</f>
        <v>0</v>
      </c>
      <c r="L199" s="33">
        <f t="shared" ref="L199:L205" si="100">IF(I199&lt;=$F$10,$F$5+($F$8-$F$5)*(1-EXP(-0.0175*I199)),)</f>
        <v>0</v>
      </c>
      <c r="M199" s="33">
        <f t="shared" ref="M199:M205" si="101">IF(I199&lt;=$F$10,IF(I199&lt;=30,I199*($F$9-$F$6)/30,$F$9-$F$6),)</f>
        <v>0</v>
      </c>
      <c r="N199" s="33">
        <f t="shared" si="87"/>
        <v>0</v>
      </c>
      <c r="O199" s="34">
        <f t="shared" si="88"/>
        <v>0</v>
      </c>
      <c r="P199" s="55">
        <v>194</v>
      </c>
      <c r="Q199" s="33">
        <f t="shared" si="96"/>
        <v>0</v>
      </c>
      <c r="R199" s="33">
        <f t="shared" ref="R199:R205" si="102">IF(P199&lt;=$F$18,Q199+R198,)</f>
        <v>0</v>
      </c>
      <c r="S199" s="33">
        <f t="shared" ref="S199:S205" si="103">$F$19*R199</f>
        <v>0</v>
      </c>
      <c r="T199" s="33">
        <f t="shared" si="89"/>
        <v>0</v>
      </c>
      <c r="U199" s="33">
        <f t="shared" si="97"/>
        <v>0</v>
      </c>
      <c r="V199" s="33">
        <f t="shared" si="90"/>
        <v>0</v>
      </c>
      <c r="W199" s="33">
        <v>0</v>
      </c>
      <c r="X199" s="33">
        <f t="shared" si="91"/>
        <v>0</v>
      </c>
      <c r="Y199" s="38">
        <f t="shared" si="92"/>
        <v>0</v>
      </c>
      <c r="AA199" s="71">
        <v>194</v>
      </c>
      <c r="AB199" s="33">
        <f t="shared" si="93"/>
        <v>0</v>
      </c>
      <c r="AC199" s="304">
        <f t="shared" si="86"/>
        <v>0</v>
      </c>
      <c r="AD199" s="100">
        <f t="shared" si="94"/>
        <v>0</v>
      </c>
      <c r="AE199" s="100">
        <f t="shared" si="95"/>
        <v>0</v>
      </c>
      <c r="AF199" s="193">
        <f t="shared" si="82"/>
        <v>0</v>
      </c>
      <c r="AG199" s="193">
        <f t="shared" si="83"/>
        <v>0</v>
      </c>
      <c r="AH199" s="193">
        <f t="shared" si="84"/>
        <v>0</v>
      </c>
      <c r="AI199" s="198">
        <f t="shared" si="85"/>
        <v>0</v>
      </c>
      <c r="AK199" s="71">
        <v>194</v>
      </c>
      <c r="AL199" s="33"/>
      <c r="AM199" s="33"/>
      <c r="AN199" s="33"/>
      <c r="AO199" s="33"/>
      <c r="AP199" s="33"/>
      <c r="AQ199" s="193"/>
      <c r="AR199" s="193"/>
      <c r="AS199" s="193"/>
      <c r="AT199" s="193"/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98"/>
        <v>0</v>
      </c>
      <c r="K200" s="33">
        <f t="shared" si="99"/>
        <v>0</v>
      </c>
      <c r="L200" s="33">
        <f t="shared" si="100"/>
        <v>0</v>
      </c>
      <c r="M200" s="33">
        <f t="shared" si="101"/>
        <v>0</v>
      </c>
      <c r="N200" s="33">
        <f t="shared" si="87"/>
        <v>0</v>
      </c>
      <c r="O200" s="34">
        <f t="shared" si="88"/>
        <v>0</v>
      </c>
      <c r="P200" s="55">
        <v>195</v>
      </c>
      <c r="Q200" s="33">
        <f t="shared" si="96"/>
        <v>0</v>
      </c>
      <c r="R200" s="33">
        <f t="shared" si="102"/>
        <v>0</v>
      </c>
      <c r="S200" s="33">
        <f t="shared" si="103"/>
        <v>0</v>
      </c>
      <c r="T200" s="33">
        <f t="shared" si="89"/>
        <v>0</v>
      </c>
      <c r="U200" s="33">
        <f t="shared" si="97"/>
        <v>0</v>
      </c>
      <c r="V200" s="33">
        <f t="shared" si="90"/>
        <v>0</v>
      </c>
      <c r="W200" s="33">
        <v>0</v>
      </c>
      <c r="X200" s="33">
        <f t="shared" si="91"/>
        <v>0</v>
      </c>
      <c r="Y200" s="38">
        <f t="shared" si="92"/>
        <v>0</v>
      </c>
      <c r="AA200" s="71">
        <v>195</v>
      </c>
      <c r="AB200" s="33">
        <f t="shared" si="93"/>
        <v>0</v>
      </c>
      <c r="AC200" s="304">
        <f t="shared" si="86"/>
        <v>0</v>
      </c>
      <c r="AD200" s="100">
        <f t="shared" si="94"/>
        <v>0</v>
      </c>
      <c r="AE200" s="100">
        <f t="shared" si="95"/>
        <v>0</v>
      </c>
      <c r="AF200" s="193">
        <f t="shared" si="82"/>
        <v>0</v>
      </c>
      <c r="AG200" s="193">
        <f t="shared" si="83"/>
        <v>0</v>
      </c>
      <c r="AH200" s="193">
        <f t="shared" si="84"/>
        <v>0</v>
      </c>
      <c r="AI200" s="198">
        <f t="shared" si="85"/>
        <v>0</v>
      </c>
      <c r="AK200" s="71">
        <v>195</v>
      </c>
      <c r="AL200" s="33"/>
      <c r="AM200" s="33"/>
      <c r="AN200" s="33"/>
      <c r="AO200" s="33"/>
      <c r="AP200" s="33"/>
      <c r="AQ200" s="193"/>
      <c r="AR200" s="193"/>
      <c r="AS200" s="193"/>
      <c r="AT200" s="193"/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98"/>
        <v>0</v>
      </c>
      <c r="K201" s="33">
        <f t="shared" si="99"/>
        <v>0</v>
      </c>
      <c r="L201" s="33">
        <f t="shared" si="100"/>
        <v>0</v>
      </c>
      <c r="M201" s="33">
        <f t="shared" si="101"/>
        <v>0</v>
      </c>
      <c r="N201" s="33">
        <f t="shared" si="87"/>
        <v>0</v>
      </c>
      <c r="O201" s="34">
        <f t="shared" si="88"/>
        <v>0</v>
      </c>
      <c r="P201" s="55">
        <v>196</v>
      </c>
      <c r="Q201" s="33">
        <f t="shared" si="96"/>
        <v>0</v>
      </c>
      <c r="R201" s="33">
        <f t="shared" si="102"/>
        <v>0</v>
      </c>
      <c r="S201" s="33">
        <f t="shared" si="103"/>
        <v>0</v>
      </c>
      <c r="T201" s="33">
        <f t="shared" si="89"/>
        <v>0</v>
      </c>
      <c r="U201" s="33">
        <f t="shared" si="97"/>
        <v>0</v>
      </c>
      <c r="V201" s="33">
        <f t="shared" si="90"/>
        <v>0</v>
      </c>
      <c r="W201" s="33">
        <v>0</v>
      </c>
      <c r="X201" s="33">
        <f t="shared" si="91"/>
        <v>0</v>
      </c>
      <c r="Y201" s="38">
        <f t="shared" si="92"/>
        <v>0</v>
      </c>
      <c r="AA201" s="71">
        <v>196</v>
      </c>
      <c r="AB201" s="33">
        <f t="shared" si="93"/>
        <v>0</v>
      </c>
      <c r="AC201" s="304">
        <f t="shared" si="86"/>
        <v>0</v>
      </c>
      <c r="AD201" s="100">
        <f t="shared" si="94"/>
        <v>0</v>
      </c>
      <c r="AE201" s="100">
        <f t="shared" si="95"/>
        <v>0</v>
      </c>
      <c r="AF201" s="193">
        <f t="shared" si="82"/>
        <v>0</v>
      </c>
      <c r="AG201" s="193">
        <f t="shared" si="83"/>
        <v>0</v>
      </c>
      <c r="AH201" s="193">
        <f t="shared" si="84"/>
        <v>0</v>
      </c>
      <c r="AI201" s="198">
        <f t="shared" si="85"/>
        <v>0</v>
      </c>
      <c r="AK201" s="71">
        <v>196</v>
      </c>
      <c r="AL201" s="33"/>
      <c r="AM201" s="33"/>
      <c r="AN201" s="33"/>
      <c r="AO201" s="33"/>
      <c r="AP201" s="33"/>
      <c r="AQ201" s="193"/>
      <c r="AR201" s="193"/>
      <c r="AS201" s="193"/>
      <c r="AT201" s="193"/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98"/>
        <v>0</v>
      </c>
      <c r="K202" s="33">
        <f t="shared" si="99"/>
        <v>0</v>
      </c>
      <c r="L202" s="33">
        <f t="shared" si="100"/>
        <v>0</v>
      </c>
      <c r="M202" s="33">
        <f t="shared" si="101"/>
        <v>0</v>
      </c>
      <c r="N202" s="33">
        <f t="shared" si="87"/>
        <v>0</v>
      </c>
      <c r="O202" s="34">
        <f t="shared" si="88"/>
        <v>0</v>
      </c>
      <c r="P202" s="55">
        <v>197</v>
      </c>
      <c r="Q202" s="33">
        <f t="shared" si="96"/>
        <v>0</v>
      </c>
      <c r="R202" s="33">
        <f t="shared" si="102"/>
        <v>0</v>
      </c>
      <c r="S202" s="33">
        <f t="shared" si="103"/>
        <v>0</v>
      </c>
      <c r="T202" s="33">
        <f t="shared" si="89"/>
        <v>0</v>
      </c>
      <c r="U202" s="33">
        <f t="shared" si="97"/>
        <v>0</v>
      </c>
      <c r="V202" s="33">
        <f t="shared" si="90"/>
        <v>0</v>
      </c>
      <c r="W202" s="33">
        <v>0</v>
      </c>
      <c r="X202" s="33">
        <f t="shared" si="91"/>
        <v>0</v>
      </c>
      <c r="Y202" s="38">
        <f t="shared" si="92"/>
        <v>0</v>
      </c>
      <c r="AA202" s="71">
        <v>197</v>
      </c>
      <c r="AB202" s="33">
        <f t="shared" si="93"/>
        <v>0</v>
      </c>
      <c r="AC202" s="304">
        <f t="shared" si="86"/>
        <v>0</v>
      </c>
      <c r="AD202" s="100">
        <f t="shared" si="94"/>
        <v>0</v>
      </c>
      <c r="AE202" s="100">
        <f t="shared" si="95"/>
        <v>0</v>
      </c>
      <c r="AF202" s="193">
        <f t="shared" si="82"/>
        <v>0</v>
      </c>
      <c r="AG202" s="193">
        <f t="shared" si="83"/>
        <v>0</v>
      </c>
      <c r="AH202" s="193">
        <f t="shared" si="84"/>
        <v>0</v>
      </c>
      <c r="AI202" s="198">
        <f t="shared" si="85"/>
        <v>0</v>
      </c>
      <c r="AK202" s="71">
        <v>197</v>
      </c>
      <c r="AL202" s="33"/>
      <c r="AM202" s="33"/>
      <c r="AN202" s="33"/>
      <c r="AO202" s="33"/>
      <c r="AP202" s="33"/>
      <c r="AQ202" s="193"/>
      <c r="AR202" s="193"/>
      <c r="AS202" s="193"/>
      <c r="AT202" s="193"/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98"/>
        <v>0</v>
      </c>
      <c r="K203" s="33">
        <f t="shared" si="99"/>
        <v>0</v>
      </c>
      <c r="L203" s="33">
        <f t="shared" si="100"/>
        <v>0</v>
      </c>
      <c r="M203" s="33">
        <f t="shared" si="101"/>
        <v>0</v>
      </c>
      <c r="N203" s="33">
        <f t="shared" si="87"/>
        <v>0</v>
      </c>
      <c r="O203" s="34">
        <f t="shared" si="88"/>
        <v>0</v>
      </c>
      <c r="P203" s="55">
        <v>198</v>
      </c>
      <c r="Q203" s="33">
        <f t="shared" si="96"/>
        <v>0</v>
      </c>
      <c r="R203" s="33">
        <f t="shared" si="102"/>
        <v>0</v>
      </c>
      <c r="S203" s="33">
        <f t="shared" si="103"/>
        <v>0</v>
      </c>
      <c r="T203" s="33">
        <f t="shared" si="89"/>
        <v>0</v>
      </c>
      <c r="U203" s="33">
        <f t="shared" si="97"/>
        <v>0</v>
      </c>
      <c r="V203" s="33">
        <f t="shared" si="90"/>
        <v>0</v>
      </c>
      <c r="W203" s="33">
        <v>0</v>
      </c>
      <c r="X203" s="33">
        <f t="shared" si="91"/>
        <v>0</v>
      </c>
      <c r="Y203" s="38">
        <f t="shared" si="92"/>
        <v>0</v>
      </c>
      <c r="AA203" s="71">
        <v>198</v>
      </c>
      <c r="AB203" s="33">
        <f t="shared" si="93"/>
        <v>0</v>
      </c>
      <c r="AC203" s="304">
        <f t="shared" si="86"/>
        <v>0</v>
      </c>
      <c r="AD203" s="100">
        <f t="shared" si="94"/>
        <v>0</v>
      </c>
      <c r="AE203" s="100">
        <f t="shared" si="95"/>
        <v>0</v>
      </c>
      <c r="AF203" s="193">
        <f t="shared" si="82"/>
        <v>0</v>
      </c>
      <c r="AG203" s="193">
        <f t="shared" si="83"/>
        <v>0</v>
      </c>
      <c r="AH203" s="193">
        <f t="shared" si="84"/>
        <v>0</v>
      </c>
      <c r="AI203" s="198">
        <f t="shared" si="85"/>
        <v>0</v>
      </c>
      <c r="AK203" s="71">
        <v>198</v>
      </c>
      <c r="AL203" s="33"/>
      <c r="AM203" s="33"/>
      <c r="AN203" s="33"/>
      <c r="AO203" s="33"/>
      <c r="AP203" s="33"/>
      <c r="AQ203" s="193"/>
      <c r="AR203" s="193"/>
      <c r="AS203" s="193"/>
      <c r="AT203" s="193"/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98"/>
        <v>0</v>
      </c>
      <c r="K204" s="33">
        <f t="shared" si="99"/>
        <v>0</v>
      </c>
      <c r="L204" s="33">
        <f t="shared" si="100"/>
        <v>0</v>
      </c>
      <c r="M204" s="33">
        <f t="shared" si="101"/>
        <v>0</v>
      </c>
      <c r="N204" s="33">
        <f t="shared" si="87"/>
        <v>0</v>
      </c>
      <c r="O204" s="34">
        <f t="shared" si="88"/>
        <v>0</v>
      </c>
      <c r="P204" s="55">
        <v>199</v>
      </c>
      <c r="Q204" s="33">
        <f t="shared" si="96"/>
        <v>0</v>
      </c>
      <c r="R204" s="33">
        <f t="shared" si="102"/>
        <v>0</v>
      </c>
      <c r="S204" s="33">
        <f t="shared" si="103"/>
        <v>0</v>
      </c>
      <c r="T204" s="33">
        <f t="shared" si="89"/>
        <v>0</v>
      </c>
      <c r="U204" s="33">
        <f t="shared" si="97"/>
        <v>0</v>
      </c>
      <c r="V204" s="33">
        <f t="shared" si="90"/>
        <v>0</v>
      </c>
      <c r="W204" s="33">
        <v>0</v>
      </c>
      <c r="X204" s="33">
        <f t="shared" si="91"/>
        <v>0</v>
      </c>
      <c r="Y204" s="38">
        <f t="shared" si="92"/>
        <v>0</v>
      </c>
      <c r="AA204" s="71">
        <v>199</v>
      </c>
      <c r="AB204" s="33">
        <f t="shared" si="93"/>
        <v>0</v>
      </c>
      <c r="AC204" s="304">
        <f t="shared" si="86"/>
        <v>0</v>
      </c>
      <c r="AD204" s="100">
        <f t="shared" si="94"/>
        <v>0</v>
      </c>
      <c r="AE204" s="100">
        <f t="shared" si="95"/>
        <v>0</v>
      </c>
      <c r="AF204" s="193">
        <f t="shared" si="82"/>
        <v>0</v>
      </c>
      <c r="AG204" s="193">
        <f t="shared" si="83"/>
        <v>0</v>
      </c>
      <c r="AH204" s="193">
        <f t="shared" si="84"/>
        <v>0</v>
      </c>
      <c r="AI204" s="198">
        <f t="shared" si="85"/>
        <v>0</v>
      </c>
      <c r="AK204" s="71">
        <v>199</v>
      </c>
      <c r="AL204" s="33"/>
      <c r="AM204" s="33"/>
      <c r="AN204" s="33"/>
      <c r="AO204" s="33"/>
      <c r="AP204" s="33"/>
      <c r="AQ204" s="193"/>
      <c r="AR204" s="193"/>
      <c r="AS204" s="193"/>
      <c r="AT204" s="193"/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98"/>
        <v>0</v>
      </c>
      <c r="K205" s="33">
        <f t="shared" si="99"/>
        <v>0</v>
      </c>
      <c r="L205" s="33">
        <f t="shared" si="100"/>
        <v>0</v>
      </c>
      <c r="M205" s="33">
        <f t="shared" si="101"/>
        <v>0</v>
      </c>
      <c r="N205" s="35">
        <f>IF(F208&lt;=$F$18,0,)</f>
        <v>0</v>
      </c>
      <c r="O205" s="34">
        <f t="shared" si="88"/>
        <v>0</v>
      </c>
      <c r="P205" s="56">
        <v>200</v>
      </c>
      <c r="Q205" s="35">
        <f t="shared" si="96"/>
        <v>0</v>
      </c>
      <c r="R205" s="35">
        <f t="shared" si="102"/>
        <v>0</v>
      </c>
      <c r="S205" s="35">
        <f t="shared" si="103"/>
        <v>0</v>
      </c>
      <c r="T205" s="35">
        <f t="shared" si="89"/>
        <v>0</v>
      </c>
      <c r="U205" s="35">
        <f t="shared" si="97"/>
        <v>0</v>
      </c>
      <c r="V205" s="35">
        <f t="shared" si="90"/>
        <v>0</v>
      </c>
      <c r="W205" s="35">
        <v>0</v>
      </c>
      <c r="X205" s="154">
        <f t="shared" si="91"/>
        <v>0</v>
      </c>
      <c r="Y205" s="39">
        <f t="shared" si="92"/>
        <v>0</v>
      </c>
      <c r="AA205" s="72">
        <v>200</v>
      </c>
      <c r="AB205" s="142">
        <f t="shared" si="93"/>
        <v>0</v>
      </c>
      <c r="AC205" s="304">
        <f t="shared" si="86"/>
        <v>0</v>
      </c>
      <c r="AD205" s="101">
        <f t="shared" si="94"/>
        <v>0</v>
      </c>
      <c r="AE205" s="101">
        <f t="shared" si="95"/>
        <v>0</v>
      </c>
      <c r="AF205" s="195">
        <f t="shared" si="82"/>
        <v>0</v>
      </c>
      <c r="AG205" s="195">
        <f t="shared" si="83"/>
        <v>0</v>
      </c>
      <c r="AH205" s="195">
        <f t="shared" si="84"/>
        <v>0</v>
      </c>
      <c r="AI205" s="202">
        <f t="shared" si="85"/>
        <v>0</v>
      </c>
      <c r="AK205" s="72">
        <v>200</v>
      </c>
      <c r="AL205" s="142"/>
      <c r="AM205" s="35"/>
      <c r="AN205" s="35"/>
      <c r="AO205" s="35"/>
      <c r="AP205" s="35"/>
      <c r="AQ205" s="195"/>
      <c r="AR205" s="195"/>
      <c r="AS205" s="195"/>
      <c r="AT205" s="195"/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P3:X3"/>
    <mergeCell ref="AA3:AI3"/>
    <mergeCell ref="AK3:AY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D6:E6"/>
    <mergeCell ref="I3:O3"/>
    <mergeCell ref="B23:G23"/>
    <mergeCell ref="B80:G80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4">
    <dataValidation type="list" allowBlank="1" showInputMessage="1" showErrorMessage="1" sqref="F12" xr:uid="{00000000-0002-0000-0600-000000000000}">
      <formula1>$C$194:$C$195</formula1>
    </dataValidation>
    <dataValidation type="list" allowBlank="1" showInputMessage="1" showErrorMessage="1" sqref="F17" xr:uid="{00000000-0002-0000-0600-000001000000}">
      <formula1>$C$130:$C$195</formula1>
    </dataValidation>
    <dataValidation type="list" allowBlank="1" showInputMessage="1" showErrorMessage="1" sqref="D8:E8 D5:E5 D15" xr:uid="{00000000-0002-0000-0600-000002000000}">
      <formula1>$B$97:$B$100</formula1>
    </dataValidation>
    <dataValidation type="list" allowBlank="1" showInputMessage="1" showErrorMessage="1" sqref="D81:G81" xr:uid="{00000000-0002-0000-0600-000003000000}">
      <formula1>$B$104:$B$108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79998168889431442"/>
  </sheetPr>
  <dimension ref="B3:AY207"/>
  <sheetViews>
    <sheetView zoomScale="85" zoomScaleNormal="85" workbookViewId="0">
      <selection activeCell="F12" sqref="F12"/>
    </sheetView>
  </sheetViews>
  <sheetFormatPr baseColWidth="10" defaultRowHeight="15"/>
  <cols>
    <col min="3" max="5" width="13.6640625" customWidth="1"/>
    <col min="6" max="6" width="16.5" style="26" customWidth="1"/>
    <col min="7" max="7" width="14.5" style="24" customWidth="1"/>
    <col min="8" max="8" width="11.5" style="24"/>
    <col min="9" max="9" width="10.5" style="24" customWidth="1"/>
    <col min="10" max="11" width="10.5" style="9" customWidth="1"/>
    <col min="12" max="23" width="10.5" customWidth="1"/>
    <col min="24" max="25" width="11.5" customWidth="1"/>
    <col min="26" max="42" width="10.5" customWidth="1"/>
    <col min="43" max="46" width="10.5" style="132" customWidth="1"/>
    <col min="47" max="51" width="10.5" customWidth="1"/>
    <col min="54" max="54" width="19.33203125" customWidth="1"/>
  </cols>
  <sheetData>
    <row r="3" spans="2:51" ht="16">
      <c r="I3" s="380" t="s">
        <v>172</v>
      </c>
      <c r="J3" s="381"/>
      <c r="K3" s="381"/>
      <c r="L3" s="381"/>
      <c r="M3" s="381"/>
      <c r="N3" s="381"/>
      <c r="O3" s="382"/>
      <c r="P3" s="383" t="s">
        <v>144</v>
      </c>
      <c r="Q3" s="384"/>
      <c r="R3" s="384"/>
      <c r="S3" s="384"/>
      <c r="T3" s="384"/>
      <c r="U3" s="384"/>
      <c r="V3" s="384"/>
      <c r="W3" s="384"/>
      <c r="X3" s="385"/>
      <c r="Y3" s="90"/>
      <c r="Z3" s="90"/>
      <c r="AA3" s="371" t="s">
        <v>159</v>
      </c>
      <c r="AB3" s="372"/>
      <c r="AC3" s="372"/>
      <c r="AD3" s="372"/>
      <c r="AE3" s="372"/>
      <c r="AF3" s="372"/>
      <c r="AG3" s="372"/>
      <c r="AH3" s="372"/>
      <c r="AI3" s="373"/>
      <c r="AJ3" s="90"/>
      <c r="AK3" s="371" t="s">
        <v>171</v>
      </c>
      <c r="AL3" s="372"/>
      <c r="AM3" s="372"/>
      <c r="AN3" s="372"/>
      <c r="AO3" s="372"/>
      <c r="AP3" s="372"/>
      <c r="AQ3" s="372"/>
      <c r="AR3" s="372"/>
      <c r="AS3" s="372"/>
      <c r="AT3" s="372"/>
      <c r="AU3" s="372"/>
      <c r="AV3" s="372"/>
      <c r="AW3" s="372"/>
      <c r="AX3" s="372"/>
      <c r="AY3" s="373"/>
    </row>
    <row r="4" spans="2:51" ht="45" customHeight="1">
      <c r="B4" s="375" t="s">
        <v>173</v>
      </c>
      <c r="C4" s="375"/>
      <c r="D4" s="375"/>
      <c r="E4" s="375"/>
      <c r="F4" s="375"/>
      <c r="I4" s="59" t="s">
        <v>76</v>
      </c>
      <c r="J4" s="341" t="s">
        <v>108</v>
      </c>
      <c r="K4" s="341" t="s">
        <v>109</v>
      </c>
      <c r="L4" s="341" t="s">
        <v>72</v>
      </c>
      <c r="M4" s="341" t="s">
        <v>110</v>
      </c>
      <c r="N4" s="341" t="s">
        <v>111</v>
      </c>
      <c r="O4" s="88" t="s">
        <v>113</v>
      </c>
      <c r="P4" s="59" t="s">
        <v>76</v>
      </c>
      <c r="Q4" s="61" t="s">
        <v>118</v>
      </c>
      <c r="R4" s="61" t="s">
        <v>119</v>
      </c>
      <c r="S4" s="62" t="s">
        <v>105</v>
      </c>
      <c r="T4" s="63" t="s">
        <v>104</v>
      </c>
      <c r="U4" s="341" t="s">
        <v>3</v>
      </c>
      <c r="V4" s="341" t="s">
        <v>106</v>
      </c>
      <c r="W4" s="341" t="s">
        <v>107</v>
      </c>
      <c r="X4" s="89" t="s">
        <v>112</v>
      </c>
      <c r="Y4" s="66" t="s">
        <v>120</v>
      </c>
      <c r="AA4" s="70" t="s">
        <v>76</v>
      </c>
      <c r="AB4" s="61" t="s">
        <v>146</v>
      </c>
      <c r="AC4" s="62" t="s">
        <v>147</v>
      </c>
      <c r="AD4" s="68" t="s">
        <v>148</v>
      </c>
      <c r="AE4" s="64" t="s">
        <v>149</v>
      </c>
      <c r="AF4" s="64" t="s">
        <v>150</v>
      </c>
      <c r="AG4" s="64" t="s">
        <v>151</v>
      </c>
      <c r="AH4" s="64" t="s">
        <v>152</v>
      </c>
      <c r="AI4" s="75" t="s">
        <v>153</v>
      </c>
      <c r="AK4" s="70" t="s">
        <v>76</v>
      </c>
      <c r="AL4" s="61" t="s">
        <v>146</v>
      </c>
      <c r="AM4" s="62" t="s">
        <v>147</v>
      </c>
      <c r="AN4" s="68" t="s">
        <v>148</v>
      </c>
      <c r="AO4" s="64" t="s">
        <v>149</v>
      </c>
      <c r="AP4" s="64" t="s">
        <v>161</v>
      </c>
      <c r="AQ4" s="192" t="s">
        <v>187</v>
      </c>
      <c r="AR4" s="192" t="s">
        <v>188</v>
      </c>
      <c r="AS4" s="192" t="s">
        <v>189</v>
      </c>
      <c r="AT4" s="192" t="s">
        <v>190</v>
      </c>
      <c r="AU4" s="64" t="s">
        <v>162</v>
      </c>
      <c r="AV4" s="64" t="s">
        <v>163</v>
      </c>
      <c r="AW4" s="64" t="s">
        <v>164</v>
      </c>
      <c r="AX4" s="64" t="s">
        <v>165</v>
      </c>
      <c r="AY4" s="75" t="s">
        <v>153</v>
      </c>
    </row>
    <row r="5" spans="2:51">
      <c r="B5" s="364" t="s">
        <v>133</v>
      </c>
      <c r="C5" s="91" t="s">
        <v>73</v>
      </c>
      <c r="D5" s="376" t="s">
        <v>135</v>
      </c>
      <c r="E5" s="376"/>
      <c r="F5" s="92">
        <f>IF(D5="","",VLOOKUP(D5,$B$97:$C$100,2,0))</f>
        <v>70</v>
      </c>
      <c r="I5" s="55">
        <v>0</v>
      </c>
      <c r="J5" s="33">
        <v>0</v>
      </c>
      <c r="K5" s="33">
        <v>0</v>
      </c>
      <c r="L5" s="33">
        <v>0</v>
      </c>
      <c r="M5" s="33">
        <f>IF(I5&lt;=$F$10,IF(I5&lt;=30,I5*($F$9-$F$6)/30,$F$9-$F$6),)</f>
        <v>0</v>
      </c>
      <c r="N5" s="33">
        <f t="shared" ref="N5:N68" si="0">IF(P6&lt;=$F$18,0,)</f>
        <v>0</v>
      </c>
      <c r="O5" s="34">
        <f t="shared" ref="O5:O68" si="1">((J5+K5)*0.475+L5+M5+N5)*44/12</f>
        <v>0</v>
      </c>
      <c r="P5" s="55">
        <v>0</v>
      </c>
      <c r="Q5" s="33">
        <v>0</v>
      </c>
      <c r="R5" s="33">
        <v>0</v>
      </c>
      <c r="S5" s="33">
        <f>$F$19*R5</f>
        <v>0</v>
      </c>
      <c r="T5" s="33">
        <f t="shared" ref="T5:T68" si="2">IF(S5=0,0,EXP(-1.0587+0.8836*LN(S5)+0.284))</f>
        <v>0</v>
      </c>
      <c r="U5" s="33">
        <v>0</v>
      </c>
      <c r="V5" s="33">
        <f t="shared" ref="V5:V68" si="3">IF(P5&lt;=$F$18,IF(P5&lt;=30,P5*($F$16-$F$6)/30,$F$16-$F$6),)</f>
        <v>0</v>
      </c>
      <c r="W5" s="33">
        <v>0</v>
      </c>
      <c r="X5" s="33">
        <f t="shared" ref="X5:X68" si="4">((S5+T5)*0.475+U5+V5+W5)*44/12</f>
        <v>0</v>
      </c>
      <c r="Y5" s="38">
        <f t="shared" ref="Y5:Y68" si="5">IF(P5&lt;=$F$18,X5-O5,)</f>
        <v>0</v>
      </c>
      <c r="AA5" s="71">
        <v>0</v>
      </c>
      <c r="AB5" s="33">
        <f t="shared" ref="AB5:AB68" si="6">IF(AA5&lt;=$F$18,IFERROR(VLOOKUP($AA5,$B$82:$G$94,2,FALSE),0),)</f>
        <v>0</v>
      </c>
      <c r="AC5" s="304">
        <f t="shared" ref="AC5:AC29" si="7">IF(AA5&lt;=$F$18,IFERROR(VLOOKUP($AA5,$B$82:$G$94,3,FALSE),0),)*50%</f>
        <v>0</v>
      </c>
      <c r="AD5" s="100">
        <f t="shared" ref="AD5:AD68" si="8">IF(AA5&lt;=$F$18,IFERROR(VLOOKUP($AA5,$B$82:$G$94,4,FALSE),0),)</f>
        <v>0</v>
      </c>
      <c r="AE5" s="100">
        <f t="shared" ref="AE5:AE68" si="9">IF(AA5&lt;=$F$18,IFERROR(VLOOKUP($AA5,$B$82:$G$94,5,FALSE),0),)</f>
        <v>0</v>
      </c>
      <c r="AF5" s="33">
        <v>0</v>
      </c>
      <c r="AG5" s="33">
        <v>0</v>
      </c>
      <c r="AH5" s="33">
        <v>0</v>
      </c>
      <c r="AI5" s="76">
        <f>SUM(AF5:AH5)</f>
        <v>0</v>
      </c>
      <c r="AK5" s="71">
        <v>0</v>
      </c>
      <c r="AL5" s="33">
        <f t="shared" ref="AL5:AL35" si="10">IF(AK5&lt;=$F$18,IFERROR(VLOOKUP($AA5,$B$82:$G$94,2,FALSE),0),)</f>
        <v>0</v>
      </c>
      <c r="AM5" s="33">
        <f t="shared" ref="AM5:AM35" si="11">IF(AK5&lt;=$F$18,IFERROR(VLOOKUP($AA5,$B$82:$G$94,3,FALSE),0),)</f>
        <v>0</v>
      </c>
      <c r="AN5" s="33">
        <f t="shared" ref="AN5:AN35" si="12">IF(AK5&lt;=$F$18,IFERROR(VLOOKUP($AA5,$B$82:$G$94,4,FALSE),0),)</f>
        <v>0</v>
      </c>
      <c r="AO5" s="33">
        <f t="shared" ref="AO5:AO35" si="13">IF(AK5&lt;=$F$18,IFERROR(VLOOKUP($AA5,$B$82:$G$94,5,FALSE),0),)</f>
        <v>0</v>
      </c>
      <c r="AP5" s="33">
        <f t="shared" ref="AP5:AP35" si="14">IF(AK5&lt;=$F$18,IFERROR(VLOOKUP($AA5,$B$82:$G$94,6,FALSE),0),)</f>
        <v>0</v>
      </c>
      <c r="AQ5" s="193">
        <v>0</v>
      </c>
      <c r="AR5" s="193">
        <v>0</v>
      </c>
      <c r="AS5" s="193">
        <v>0</v>
      </c>
      <c r="AT5" s="193">
        <v>0</v>
      </c>
      <c r="AU5" s="33"/>
      <c r="AV5" s="33"/>
      <c r="AW5" s="33"/>
      <c r="AX5" s="33"/>
      <c r="AY5" s="163">
        <v>0</v>
      </c>
    </row>
    <row r="6" spans="2:51">
      <c r="B6" s="365"/>
      <c r="C6" s="98" t="s">
        <v>74</v>
      </c>
      <c r="D6" s="367" t="s">
        <v>260</v>
      </c>
      <c r="E6" s="367"/>
      <c r="F6" s="99">
        <f>VLOOKUP(D5,$B$97:$D$100,3,FALSE)</f>
        <v>0</v>
      </c>
      <c r="I6" s="55">
        <v>1</v>
      </c>
      <c r="J6" s="33">
        <f>IF(D8&lt;&gt;"Cultures",IF($I6&lt;=$F$10,$F$11*$F$13+J5,),5)</f>
        <v>0.42</v>
      </c>
      <c r="K6" s="33">
        <f>IF(J6=0,0,EXP(-1.0587+0.8836*LN(J6)+0.284))</f>
        <v>0.2141189661953912</v>
      </c>
      <c r="L6" s="33">
        <f>IF(I6&lt;=$F$10,$F$5+($F$8-$F$5)*(1-EXP(-0.0175*I6)),)</f>
        <v>70</v>
      </c>
      <c r="M6" s="33">
        <f>IF(I6&lt;=$F$10,IF(I6&lt;=30,I6*($F$9-$F$6)/30,$F$9-$F$6),)</f>
        <v>0.33333333333333331</v>
      </c>
      <c r="N6" s="33">
        <f t="shared" si="0"/>
        <v>0</v>
      </c>
      <c r="O6" s="34">
        <f t="shared" si="1"/>
        <v>258.99331275501248</v>
      </c>
      <c r="P6" s="55">
        <v>1</v>
      </c>
      <c r="Q6" s="33">
        <f t="shared" ref="Q6:Q69" si="15">IF(P6&lt;=$F$18,LOOKUP(P6-1,$B$25:$B$78,$G$25:$G$78),)</f>
        <v>3.2759999999999998</v>
      </c>
      <c r="R6" s="33">
        <f>IF(P6&lt;=$F$18,Q6+R5,)</f>
        <v>3.2759999999999998</v>
      </c>
      <c r="S6" s="33">
        <f>$F$19*R6</f>
        <v>1.9000799999999998</v>
      </c>
      <c r="T6" s="33">
        <f t="shared" si="2"/>
        <v>0.81259641861782395</v>
      </c>
      <c r="U6" s="33">
        <f t="shared" ref="U6:U69" si="16">IF(P6&lt;=$F$18,$F$5+($F$15-$F$5)*(1-EXP(-0.0175*P6)),)</f>
        <v>70</v>
      </c>
      <c r="V6" s="33">
        <f t="shared" si="3"/>
        <v>0.33333333333333331</v>
      </c>
      <c r="W6" s="33">
        <v>0</v>
      </c>
      <c r="X6" s="33">
        <f t="shared" si="4"/>
        <v>262.61346698464826</v>
      </c>
      <c r="Y6" s="38">
        <f t="shared" si="5"/>
        <v>3.6201542296357729</v>
      </c>
      <c r="AA6" s="71">
        <v>1</v>
      </c>
      <c r="AB6" s="33">
        <f t="shared" si="6"/>
        <v>0</v>
      </c>
      <c r="AC6" s="304">
        <f t="shared" si="7"/>
        <v>0</v>
      </c>
      <c r="AD6" s="100">
        <f t="shared" si="8"/>
        <v>0</v>
      </c>
      <c r="AE6" s="100">
        <f t="shared" si="9"/>
        <v>0</v>
      </c>
      <c r="AF6" s="193">
        <f>IF(OR(AA6&lt;=$F$18,AA6&lt;=30),EXP(-LN(2)/$D$104)*AF5+((1-EXP(-LN(2)/$D$104))/(LN(2)/$D$104))*$AB6*AC6*0.475*$F$19*44/12,)</f>
        <v>0</v>
      </c>
      <c r="AG6" s="193">
        <f>IF(OR(AA6&lt;=$F$18,AA6&lt;=30),EXP(-LN(2)/$D$106)*AG5+((1-EXP(-LN(2)/$D$106))/(LN(2)/$D$106))*$AB6*AD6*0.475*$F$19*44/12,)</f>
        <v>0</v>
      </c>
      <c r="AH6" s="193">
        <f>IF(OR(AA6&lt;=$F$18,AA6&lt;=30),EXP(-LN(2)/$D$105)*AH5+((1-EXP(-LN(2)/$D$105))/(LN(2)/$D$105))*$AB6*AE6*0.475*$F$19*44/12,)</f>
        <v>0</v>
      </c>
      <c r="AI6" s="198">
        <f>IF(OR(AA6&lt;=$F$18,AA6&lt;=30),SUM(AF6:AH6),)</f>
        <v>0</v>
      </c>
      <c r="AK6" s="71">
        <v>1</v>
      </c>
      <c r="AL6" s="33">
        <f t="shared" si="10"/>
        <v>0</v>
      </c>
      <c r="AM6" s="33">
        <f t="shared" si="11"/>
        <v>0</v>
      </c>
      <c r="AN6" s="33">
        <f t="shared" si="12"/>
        <v>0</v>
      </c>
      <c r="AO6" s="33">
        <f t="shared" si="13"/>
        <v>0</v>
      </c>
      <c r="AP6" s="33">
        <f t="shared" si="14"/>
        <v>0</v>
      </c>
      <c r="AQ6" s="193">
        <f t="shared" ref="AQ6:AT24" si="17">IF($AK6&lt;=$F$18,$AL6*AM6,)</f>
        <v>0</v>
      </c>
      <c r="AR6" s="193">
        <f t="shared" si="17"/>
        <v>0</v>
      </c>
      <c r="AS6" s="193">
        <f t="shared" si="17"/>
        <v>0</v>
      </c>
      <c r="AT6" s="193">
        <f t="shared" si="17"/>
        <v>0</v>
      </c>
      <c r="AU6" s="33"/>
      <c r="AV6" s="33"/>
      <c r="AW6" s="33"/>
      <c r="AX6" s="33"/>
      <c r="AY6" s="163">
        <f>IF(AK6&lt;=$F$18,AL6*$G$108+AY5,)</f>
        <v>0</v>
      </c>
    </row>
    <row r="7" spans="2:51">
      <c r="B7" s="364" t="s">
        <v>134</v>
      </c>
      <c r="C7" s="377"/>
      <c r="D7" s="378"/>
      <c r="E7" s="378"/>
      <c r="F7" s="379"/>
      <c r="I7" s="55">
        <v>2</v>
      </c>
      <c r="J7" s="33">
        <f t="shared" ref="J7:J70" si="18">IF($I7&lt;=$F$10,$F$11*$F$13+J6,)</f>
        <v>0.84</v>
      </c>
      <c r="K7" s="33">
        <f t="shared" ref="K7:K70" si="19">IF(J7=0,0,EXP(-1.0587+0.8836*LN(J7)+0.284))</f>
        <v>0.39504379260136169</v>
      </c>
      <c r="L7" s="33">
        <f t="shared" ref="L7:L70" si="20">IF(I7&lt;=$F$10,$F$5+($F$8-$F$5)*(1-EXP(-0.0175*I7)),)</f>
        <v>70</v>
      </c>
      <c r="M7" s="33">
        <f t="shared" ref="M7:M70" si="21">IF(I7&lt;=$F$10,IF(I7&lt;=30,I7*($F$9-$F$6)/30,$F$9-$F$6),)</f>
        <v>0.66666666666666663</v>
      </c>
      <c r="N7" s="33">
        <f t="shared" si="0"/>
        <v>0</v>
      </c>
      <c r="O7" s="34">
        <f t="shared" si="1"/>
        <v>261.26214571655851</v>
      </c>
      <c r="P7" s="55">
        <v>2</v>
      </c>
      <c r="Q7" s="33">
        <f t="shared" si="15"/>
        <v>3.2759999999999998</v>
      </c>
      <c r="R7" s="33">
        <f t="shared" ref="R7:R70" si="22">IF(P7&lt;=$F$18,Q7+R6,)</f>
        <v>6.5519999999999996</v>
      </c>
      <c r="S7" s="33">
        <f t="shared" ref="S7:S70" si="23">$F$19*R7</f>
        <v>3.8001599999999995</v>
      </c>
      <c r="T7" s="33">
        <f t="shared" si="2"/>
        <v>1.4992187603415517</v>
      </c>
      <c r="U7" s="33">
        <f t="shared" si="16"/>
        <v>70</v>
      </c>
      <c r="V7" s="33">
        <f t="shared" si="3"/>
        <v>0.66666666666666663</v>
      </c>
      <c r="W7" s="33">
        <v>0</v>
      </c>
      <c r="X7" s="33">
        <f t="shared" si="4"/>
        <v>268.34086245203935</v>
      </c>
      <c r="Y7" s="38">
        <f t="shared" si="5"/>
        <v>7.0787167354808389</v>
      </c>
      <c r="AA7" s="71">
        <v>2</v>
      </c>
      <c r="AB7" s="33">
        <f t="shared" si="6"/>
        <v>0</v>
      </c>
      <c r="AC7" s="304">
        <f t="shared" si="7"/>
        <v>0</v>
      </c>
      <c r="AD7" s="100">
        <f t="shared" si="8"/>
        <v>0</v>
      </c>
      <c r="AE7" s="100">
        <f t="shared" si="9"/>
        <v>0</v>
      </c>
      <c r="AF7" s="193">
        <f>IF(OR(AA7&lt;=$F$18,AA7&lt;=30),EXP(-LN(2)/$D$104)*AF6+((1-EXP(-LN(2)/$D$104))/(LN(2)/$D$104))*$AB7*AC7*0.475*$F$19*44/12,)</f>
        <v>0</v>
      </c>
      <c r="AG7" s="193">
        <f>IF(OR(AA7&lt;=$F$18,AA7&lt;=30),EXP(-LN(2)/$D$106)*AG6+((1-EXP(-LN(2)/$D$106))/(LN(2)/$D$106))*$AB7*AD7*0.475*$F$19*44/12,)</f>
        <v>0</v>
      </c>
      <c r="AH7" s="193">
        <f>IF(OR(AA7&lt;=$F$18,AA7&lt;=30),EXP(-LN(2)/$D$105)*AH6+((1-EXP(-LN(2)/$D$105))/(LN(2)/$D$105))*$AB7*AE7*0.475*$F$19*44/12,)</f>
        <v>0</v>
      </c>
      <c r="AI7" s="198">
        <f>IF(OR(AA7&lt;=$F$18,AA7&lt;=30),SUM(AF7:AH7),)</f>
        <v>0</v>
      </c>
      <c r="AK7" s="71">
        <v>2</v>
      </c>
      <c r="AL7" s="33">
        <f t="shared" si="10"/>
        <v>0</v>
      </c>
      <c r="AM7" s="33">
        <f t="shared" si="11"/>
        <v>0</v>
      </c>
      <c r="AN7" s="33">
        <f t="shared" si="12"/>
        <v>0</v>
      </c>
      <c r="AO7" s="33">
        <f t="shared" si="13"/>
        <v>0</v>
      </c>
      <c r="AP7" s="33">
        <f t="shared" si="14"/>
        <v>0</v>
      </c>
      <c r="AQ7" s="193">
        <f t="shared" si="17"/>
        <v>0</v>
      </c>
      <c r="AR7" s="193">
        <f t="shared" si="17"/>
        <v>0</v>
      </c>
      <c r="AS7" s="193">
        <f t="shared" si="17"/>
        <v>0</v>
      </c>
      <c r="AT7" s="193">
        <f t="shared" si="17"/>
        <v>0</v>
      </c>
      <c r="AU7" s="33"/>
      <c r="AV7" s="33"/>
      <c r="AW7" s="33"/>
      <c r="AX7" s="33"/>
      <c r="AY7" s="163">
        <f t="shared" ref="AY7:AY35" si="24">IF(AK7&lt;=$F$18,AL7*$G$108+AY6,)</f>
        <v>0</v>
      </c>
    </row>
    <row r="8" spans="2:51">
      <c r="B8" s="374"/>
      <c r="C8" s="93" t="s">
        <v>73</v>
      </c>
      <c r="D8" s="370" t="s">
        <v>135</v>
      </c>
      <c r="E8" s="370"/>
      <c r="F8" s="94">
        <f>IF(D8="","",VLOOKUP(D8,$B$97:$C$100,2,0))</f>
        <v>70</v>
      </c>
      <c r="I8" s="55">
        <v>3</v>
      </c>
      <c r="J8" s="33">
        <f t="shared" si="18"/>
        <v>1.26</v>
      </c>
      <c r="K8" s="33">
        <f t="shared" si="19"/>
        <v>0.56524857809693341</v>
      </c>
      <c r="L8" s="33">
        <f t="shared" si="20"/>
        <v>70</v>
      </c>
      <c r="M8" s="33">
        <f t="shared" si="21"/>
        <v>1</v>
      </c>
      <c r="N8" s="33">
        <f t="shared" si="0"/>
        <v>0</v>
      </c>
      <c r="O8" s="34">
        <f t="shared" si="1"/>
        <v>263.51230794018551</v>
      </c>
      <c r="P8" s="55">
        <v>3</v>
      </c>
      <c r="Q8" s="33">
        <f t="shared" si="15"/>
        <v>3.2759999999999998</v>
      </c>
      <c r="R8" s="33">
        <f t="shared" si="22"/>
        <v>9.8279999999999994</v>
      </c>
      <c r="S8" s="33">
        <f t="shared" si="23"/>
        <v>5.7002399999999991</v>
      </c>
      <c r="T8" s="33">
        <f t="shared" si="2"/>
        <v>2.1451577987315726</v>
      </c>
      <c r="U8" s="33">
        <f t="shared" si="16"/>
        <v>70</v>
      </c>
      <c r="V8" s="33">
        <f t="shared" si="3"/>
        <v>1</v>
      </c>
      <c r="W8" s="33">
        <v>0</v>
      </c>
      <c r="X8" s="33">
        <f t="shared" si="4"/>
        <v>273.99740116612412</v>
      </c>
      <c r="Y8" s="38">
        <f t="shared" si="5"/>
        <v>10.485093225938613</v>
      </c>
      <c r="AA8" s="71">
        <v>3</v>
      </c>
      <c r="AB8" s="33">
        <f t="shared" si="6"/>
        <v>0</v>
      </c>
      <c r="AC8" s="304">
        <f t="shared" si="7"/>
        <v>0</v>
      </c>
      <c r="AD8" s="100">
        <f t="shared" si="8"/>
        <v>0</v>
      </c>
      <c r="AE8" s="100">
        <f t="shared" si="9"/>
        <v>0</v>
      </c>
      <c r="AF8" s="193">
        <f>IF(OR(AA8&lt;=$F$18,AA8&lt;=30),EXP(-LN(2)/$D$104)*AF7+((1-EXP(-LN(2)/$D$104))/(LN(2)/$D$104))*$AB8*AC8*0.475*$F$19*44/12,)</f>
        <v>0</v>
      </c>
      <c r="AG8" s="193">
        <f>IF(OR(AA8&lt;=$F$18,AA8&lt;=30),EXP(-LN(2)/$D$106)*AG7+((1-EXP(-LN(2)/$D$106))/(LN(2)/$D$106))*$AB8*AD8*0.475*$F$19*44/12,)</f>
        <v>0</v>
      </c>
      <c r="AH8" s="193">
        <f>IF(OR(AA8&lt;=$F$18,AA8&lt;=30),EXP(-LN(2)/$D$105)*AH7+((1-EXP(-LN(2)/$D$105))/(LN(2)/$D$105))*$AB8*AE8*0.475*$F$19*44/12,)</f>
        <v>0</v>
      </c>
      <c r="AI8" s="198">
        <f>IF(OR(AA8&lt;=$F$18,AA8&lt;=30),SUM(AF8:AH8),)</f>
        <v>0</v>
      </c>
      <c r="AK8" s="71">
        <v>3</v>
      </c>
      <c r="AL8" s="33">
        <f t="shared" si="10"/>
        <v>0</v>
      </c>
      <c r="AM8" s="33">
        <f t="shared" si="11"/>
        <v>0</v>
      </c>
      <c r="AN8" s="33">
        <f t="shared" si="12"/>
        <v>0</v>
      </c>
      <c r="AO8" s="33">
        <f t="shared" si="13"/>
        <v>0</v>
      </c>
      <c r="AP8" s="33">
        <f t="shared" si="14"/>
        <v>0</v>
      </c>
      <c r="AQ8" s="193">
        <f t="shared" si="17"/>
        <v>0</v>
      </c>
      <c r="AR8" s="193">
        <f t="shared" si="17"/>
        <v>0</v>
      </c>
      <c r="AS8" s="193">
        <f t="shared" si="17"/>
        <v>0</v>
      </c>
      <c r="AT8" s="193">
        <f t="shared" si="17"/>
        <v>0</v>
      </c>
      <c r="AU8" s="33"/>
      <c r="AV8" s="33"/>
      <c r="AW8" s="33"/>
      <c r="AX8" s="33"/>
      <c r="AY8" s="163">
        <f t="shared" si="24"/>
        <v>0</v>
      </c>
    </row>
    <row r="9" spans="2:51">
      <c r="B9" s="374"/>
      <c r="C9" s="93" t="s">
        <v>74</v>
      </c>
      <c r="D9" s="366" t="str">
        <f>IF(D8=$B$100,"totale","néant")</f>
        <v>totale</v>
      </c>
      <c r="E9" s="366"/>
      <c r="F9" s="94">
        <f>IF(D8=B100,10,VLOOKUP(D8,$B$97:$D$100,3,FALSE))</f>
        <v>10</v>
      </c>
      <c r="I9" s="55">
        <v>4</v>
      </c>
      <c r="J9" s="33">
        <f t="shared" si="18"/>
        <v>1.68</v>
      </c>
      <c r="K9" s="33">
        <f t="shared" si="19"/>
        <v>0.72884528094749779</v>
      </c>
      <c r="L9" s="33">
        <f t="shared" si="20"/>
        <v>70</v>
      </c>
      <c r="M9" s="33">
        <f t="shared" si="21"/>
        <v>1.3333333333333333</v>
      </c>
      <c r="N9" s="33">
        <f t="shared" si="0"/>
        <v>0</v>
      </c>
      <c r="O9" s="34">
        <f t="shared" si="1"/>
        <v>265.75096108653912</v>
      </c>
      <c r="P9" s="55">
        <v>4</v>
      </c>
      <c r="Q9" s="33">
        <f t="shared" si="15"/>
        <v>3.2759999999999998</v>
      </c>
      <c r="R9" s="33">
        <f t="shared" si="22"/>
        <v>13.103999999999999</v>
      </c>
      <c r="S9" s="33">
        <f t="shared" si="23"/>
        <v>7.6003199999999991</v>
      </c>
      <c r="T9" s="33">
        <f t="shared" si="2"/>
        <v>2.7660187023506491</v>
      </c>
      <c r="U9" s="33">
        <f t="shared" si="16"/>
        <v>70</v>
      </c>
      <c r="V9" s="33">
        <f t="shared" si="3"/>
        <v>1.3333333333333333</v>
      </c>
      <c r="W9" s="33">
        <v>0</v>
      </c>
      <c r="X9" s="33">
        <f t="shared" si="4"/>
        <v>279.61026212881626</v>
      </c>
      <c r="Y9" s="38">
        <f t="shared" si="5"/>
        <v>13.859301042277139</v>
      </c>
      <c r="AA9" s="71">
        <v>4</v>
      </c>
      <c r="AB9" s="33">
        <f t="shared" si="6"/>
        <v>0</v>
      </c>
      <c r="AC9" s="304">
        <f t="shared" si="7"/>
        <v>0</v>
      </c>
      <c r="AD9" s="100">
        <f t="shared" si="8"/>
        <v>0</v>
      </c>
      <c r="AE9" s="100">
        <f t="shared" si="9"/>
        <v>0</v>
      </c>
      <c r="AF9" s="193">
        <f>IF(OR(AA9&lt;=$F$18,AA9&lt;=30),EXP(-LN(2)/$D$104)*AF8+((1-EXP(-LN(2)/$D$104))/(LN(2)/$D$104))*$AB9*AC9*0.475*$F$19*44/12,)</f>
        <v>0</v>
      </c>
      <c r="AG9" s="193">
        <f>IF(OR(AA9&lt;=$F$18,AA9&lt;=30),EXP(-LN(2)/$D$106)*AG8+((1-EXP(-LN(2)/$D$106))/(LN(2)/$D$106))*$AB9*AD9*0.475*$F$19*44/12,)</f>
        <v>0</v>
      </c>
      <c r="AH9" s="193">
        <f>IF(OR(AA9&lt;=$F$18,AA9&lt;=30),EXP(-LN(2)/$D$105)*AH8+((1-EXP(-LN(2)/$D$105))/(LN(2)/$D$105))*$AB9*AE9*0.475*$F$19*44/12,)</f>
        <v>0</v>
      </c>
      <c r="AI9" s="198">
        <f>IF(OR(AA9&lt;=$F$18,AA9&lt;=30),SUM(AF9:AH9),)</f>
        <v>0</v>
      </c>
      <c r="AK9" s="71">
        <v>4</v>
      </c>
      <c r="AL9" s="33">
        <f t="shared" si="10"/>
        <v>0</v>
      </c>
      <c r="AM9" s="33">
        <f t="shared" si="11"/>
        <v>0</v>
      </c>
      <c r="AN9" s="33">
        <f t="shared" si="12"/>
        <v>0</v>
      </c>
      <c r="AO9" s="33">
        <f t="shared" si="13"/>
        <v>0</v>
      </c>
      <c r="AP9" s="33">
        <f t="shared" si="14"/>
        <v>0</v>
      </c>
      <c r="AQ9" s="193">
        <f t="shared" si="17"/>
        <v>0</v>
      </c>
      <c r="AR9" s="193">
        <f t="shared" si="17"/>
        <v>0</v>
      </c>
      <c r="AS9" s="193">
        <f t="shared" si="17"/>
        <v>0</v>
      </c>
      <c r="AT9" s="193">
        <f t="shared" si="17"/>
        <v>0</v>
      </c>
      <c r="AU9" s="33"/>
      <c r="AV9" s="33"/>
      <c r="AW9" s="33"/>
      <c r="AX9" s="33"/>
      <c r="AY9" s="163">
        <f t="shared" si="24"/>
        <v>0</v>
      </c>
    </row>
    <row r="10" spans="2:51">
      <c r="B10" s="374"/>
      <c r="C10" s="368" t="s">
        <v>124</v>
      </c>
      <c r="D10" s="363" t="s">
        <v>136</v>
      </c>
      <c r="E10" s="363"/>
      <c r="F10" s="95">
        <f>F18</f>
        <v>150</v>
      </c>
      <c r="I10" s="55">
        <v>5</v>
      </c>
      <c r="J10" s="33">
        <f t="shared" si="18"/>
        <v>2.1</v>
      </c>
      <c r="K10" s="33">
        <f t="shared" si="19"/>
        <v>0.88769757543783612</v>
      </c>
      <c r="L10" s="33">
        <f t="shared" si="20"/>
        <v>70</v>
      </c>
      <c r="M10" s="33">
        <f t="shared" si="21"/>
        <v>1.6666666666666667</v>
      </c>
      <c r="N10" s="33">
        <f t="shared" si="0"/>
        <v>0</v>
      </c>
      <c r="O10" s="34">
        <f t="shared" si="1"/>
        <v>267.9813510549987</v>
      </c>
      <c r="P10" s="55">
        <v>5</v>
      </c>
      <c r="Q10" s="33">
        <f t="shared" si="15"/>
        <v>3.2759999999999998</v>
      </c>
      <c r="R10" s="33">
        <f t="shared" si="22"/>
        <v>16.38</v>
      </c>
      <c r="S10" s="33">
        <f t="shared" si="23"/>
        <v>9.5003999999999991</v>
      </c>
      <c r="T10" s="33">
        <f t="shared" si="2"/>
        <v>3.3688742451626768</v>
      </c>
      <c r="U10" s="33">
        <f t="shared" si="16"/>
        <v>70</v>
      </c>
      <c r="V10" s="33">
        <f t="shared" si="3"/>
        <v>1.6666666666666667</v>
      </c>
      <c r="W10" s="33">
        <v>0</v>
      </c>
      <c r="X10" s="33">
        <f t="shared" si="4"/>
        <v>285.19176375476945</v>
      </c>
      <c r="Y10" s="38">
        <f t="shared" si="5"/>
        <v>17.210412699770757</v>
      </c>
      <c r="AA10" s="71">
        <v>5</v>
      </c>
      <c r="AB10" s="33">
        <f t="shared" si="6"/>
        <v>0</v>
      </c>
      <c r="AC10" s="304">
        <f t="shared" si="7"/>
        <v>0</v>
      </c>
      <c r="AD10" s="100">
        <f t="shared" si="8"/>
        <v>0</v>
      </c>
      <c r="AE10" s="100">
        <f t="shared" si="9"/>
        <v>0</v>
      </c>
      <c r="AF10" s="193">
        <f t="shared" ref="AF10:AF24" si="25">IF(OR(AA10&lt;=$F$18,AA10&lt;=30),EXP(-LN(2)/$D$104)*AF9+((1-EXP(-LN(2)/$D$104))/(LN(2)/$D$104))*$AB10*AC10*0.475*$F$19*44/12,)</f>
        <v>0</v>
      </c>
      <c r="AG10" s="193">
        <f t="shared" ref="AG10:AG24" si="26">IF(OR(AA10&lt;=$F$18,AA10&lt;=30),EXP(-LN(2)/$D$106)*AG9+((1-EXP(-LN(2)/$D$106))/(LN(2)/$D$106))*$AB10*AD10*0.475*$F$19*44/12,)</f>
        <v>0</v>
      </c>
      <c r="AH10" s="193">
        <f t="shared" ref="AH10:AH24" si="27">IF(OR(AA10&lt;=$F$18,AA10&lt;=30),EXP(-LN(2)/$D$105)*AH9+((1-EXP(-LN(2)/$D$105))/(LN(2)/$D$105))*$AB10*AE10*0.475*$F$19*44/12,)</f>
        <v>0</v>
      </c>
      <c r="AI10" s="198">
        <f t="shared" ref="AI10:AI24" si="28">IF(OR(AA10&lt;=$F$18,AA10&lt;=30),SUM(AF10:AH10),)</f>
        <v>0</v>
      </c>
      <c r="AK10" s="71">
        <v>5</v>
      </c>
      <c r="AL10" s="33">
        <f t="shared" si="10"/>
        <v>0</v>
      </c>
      <c r="AM10" s="33">
        <f t="shared" si="11"/>
        <v>0</v>
      </c>
      <c r="AN10" s="33">
        <f t="shared" si="12"/>
        <v>0</v>
      </c>
      <c r="AO10" s="33">
        <f t="shared" si="13"/>
        <v>0</v>
      </c>
      <c r="AP10" s="33">
        <f t="shared" si="14"/>
        <v>0</v>
      </c>
      <c r="AQ10" s="193">
        <f t="shared" si="17"/>
        <v>0</v>
      </c>
      <c r="AR10" s="193">
        <f t="shared" si="17"/>
        <v>0</v>
      </c>
      <c r="AS10" s="193">
        <f t="shared" si="17"/>
        <v>0</v>
      </c>
      <c r="AT10" s="193">
        <f t="shared" si="17"/>
        <v>0</v>
      </c>
      <c r="AU10" s="33"/>
      <c r="AV10" s="33"/>
      <c r="AW10" s="33"/>
      <c r="AX10" s="33"/>
      <c r="AY10" s="163">
        <f t="shared" si="24"/>
        <v>0</v>
      </c>
    </row>
    <row r="11" spans="2:51">
      <c r="B11" s="374"/>
      <c r="C11" s="368"/>
      <c r="D11" s="366" t="s">
        <v>139</v>
      </c>
      <c r="E11" s="366"/>
      <c r="F11" s="36">
        <f>IF(D8=$B$100,1,0)</f>
        <v>1</v>
      </c>
      <c r="I11" s="55">
        <v>6</v>
      </c>
      <c r="J11" s="33">
        <f t="shared" si="18"/>
        <v>2.52</v>
      </c>
      <c r="K11" s="33">
        <f t="shared" si="19"/>
        <v>1.0428685791905616</v>
      </c>
      <c r="L11" s="33">
        <f t="shared" si="20"/>
        <v>70</v>
      </c>
      <c r="M11" s="33">
        <f t="shared" si="21"/>
        <v>2</v>
      </c>
      <c r="N11" s="33">
        <f t="shared" si="0"/>
        <v>0</v>
      </c>
      <c r="O11" s="34">
        <f t="shared" si="1"/>
        <v>270.2053294420902</v>
      </c>
      <c r="P11" s="55">
        <v>6</v>
      </c>
      <c r="Q11" s="33">
        <f t="shared" si="15"/>
        <v>3.2759999999999998</v>
      </c>
      <c r="R11" s="33">
        <f t="shared" si="22"/>
        <v>19.655999999999999</v>
      </c>
      <c r="S11" s="33">
        <f t="shared" si="23"/>
        <v>11.400479999999998</v>
      </c>
      <c r="T11" s="33">
        <f t="shared" si="2"/>
        <v>3.9577590327332239</v>
      </c>
      <c r="U11" s="33">
        <f t="shared" si="16"/>
        <v>70</v>
      </c>
      <c r="V11" s="33">
        <f t="shared" si="3"/>
        <v>2</v>
      </c>
      <c r="W11" s="33">
        <v>0</v>
      </c>
      <c r="X11" s="33">
        <f t="shared" si="4"/>
        <v>290.74893298201033</v>
      </c>
      <c r="Y11" s="38">
        <f t="shared" si="5"/>
        <v>20.543603539920127</v>
      </c>
      <c r="AA11" s="71">
        <v>6</v>
      </c>
      <c r="AB11" s="33">
        <f t="shared" si="6"/>
        <v>0</v>
      </c>
      <c r="AC11" s="304">
        <f t="shared" si="7"/>
        <v>0</v>
      </c>
      <c r="AD11" s="100">
        <f t="shared" si="8"/>
        <v>0</v>
      </c>
      <c r="AE11" s="100">
        <f t="shared" si="9"/>
        <v>0</v>
      </c>
      <c r="AF11" s="193">
        <f t="shared" si="25"/>
        <v>0</v>
      </c>
      <c r="AG11" s="193">
        <f t="shared" si="26"/>
        <v>0</v>
      </c>
      <c r="AH11" s="193">
        <f t="shared" si="27"/>
        <v>0</v>
      </c>
      <c r="AI11" s="198">
        <f t="shared" si="28"/>
        <v>0</v>
      </c>
      <c r="AK11" s="71">
        <v>6</v>
      </c>
      <c r="AL11" s="33">
        <f t="shared" si="10"/>
        <v>0</v>
      </c>
      <c r="AM11" s="33">
        <f t="shared" si="11"/>
        <v>0</v>
      </c>
      <c r="AN11" s="33">
        <f t="shared" si="12"/>
        <v>0</v>
      </c>
      <c r="AO11" s="33">
        <f t="shared" si="13"/>
        <v>0</v>
      </c>
      <c r="AP11" s="33">
        <f t="shared" si="14"/>
        <v>0</v>
      </c>
      <c r="AQ11" s="193">
        <f t="shared" si="17"/>
        <v>0</v>
      </c>
      <c r="AR11" s="193">
        <f t="shared" si="17"/>
        <v>0</v>
      </c>
      <c r="AS11" s="193">
        <f t="shared" si="17"/>
        <v>0</v>
      </c>
      <c r="AT11" s="193">
        <f t="shared" si="17"/>
        <v>0</v>
      </c>
      <c r="AU11" s="33"/>
      <c r="AV11" s="33"/>
      <c r="AW11" s="33"/>
      <c r="AX11" s="33"/>
      <c r="AY11" s="163">
        <f t="shared" si="24"/>
        <v>0</v>
      </c>
    </row>
    <row r="12" spans="2:51" ht="32">
      <c r="B12" s="374"/>
      <c r="C12" s="368"/>
      <c r="D12" s="363" t="s">
        <v>131</v>
      </c>
      <c r="E12" s="363"/>
      <c r="F12" s="96" t="s">
        <v>69</v>
      </c>
      <c r="I12" s="55">
        <v>7</v>
      </c>
      <c r="J12" s="33">
        <f t="shared" si="18"/>
        <v>2.94</v>
      </c>
      <c r="K12" s="33">
        <f t="shared" si="19"/>
        <v>1.1950436430309317</v>
      </c>
      <c r="L12" s="33">
        <f t="shared" si="20"/>
        <v>70</v>
      </c>
      <c r="M12" s="33">
        <f t="shared" si="21"/>
        <v>2.3333333333333335</v>
      </c>
      <c r="N12" s="33">
        <f t="shared" si="0"/>
        <v>0</v>
      </c>
      <c r="O12" s="34">
        <f t="shared" si="1"/>
        <v>272.42408990050109</v>
      </c>
      <c r="P12" s="55">
        <v>7</v>
      </c>
      <c r="Q12" s="33">
        <f t="shared" si="15"/>
        <v>3.2759999999999998</v>
      </c>
      <c r="R12" s="33">
        <f t="shared" si="22"/>
        <v>22.931999999999999</v>
      </c>
      <c r="S12" s="33">
        <f t="shared" si="23"/>
        <v>13.300559999999999</v>
      </c>
      <c r="T12" s="33">
        <f t="shared" si="2"/>
        <v>4.5352740192701093</v>
      </c>
      <c r="U12" s="33">
        <f t="shared" si="16"/>
        <v>70</v>
      </c>
      <c r="V12" s="33">
        <f t="shared" si="3"/>
        <v>2.3333333333333335</v>
      </c>
      <c r="W12" s="33">
        <v>0</v>
      </c>
      <c r="X12" s="33">
        <f t="shared" si="4"/>
        <v>296.28629980578427</v>
      </c>
      <c r="Y12" s="38">
        <f t="shared" si="5"/>
        <v>23.86220990528318</v>
      </c>
      <c r="AA12" s="71">
        <v>7</v>
      </c>
      <c r="AB12" s="33">
        <f t="shared" si="6"/>
        <v>0</v>
      </c>
      <c r="AC12" s="304">
        <f t="shared" si="7"/>
        <v>0</v>
      </c>
      <c r="AD12" s="100">
        <f t="shared" si="8"/>
        <v>0</v>
      </c>
      <c r="AE12" s="100">
        <f t="shared" si="9"/>
        <v>0</v>
      </c>
      <c r="AF12" s="193">
        <f t="shared" si="25"/>
        <v>0</v>
      </c>
      <c r="AG12" s="193">
        <f t="shared" si="26"/>
        <v>0</v>
      </c>
      <c r="AH12" s="193">
        <f t="shared" si="27"/>
        <v>0</v>
      </c>
      <c r="AI12" s="198">
        <f t="shared" si="28"/>
        <v>0</v>
      </c>
      <c r="AK12" s="71">
        <v>7</v>
      </c>
      <c r="AL12" s="33">
        <f t="shared" si="10"/>
        <v>0</v>
      </c>
      <c r="AM12" s="33">
        <f t="shared" si="11"/>
        <v>0</v>
      </c>
      <c r="AN12" s="33">
        <f t="shared" si="12"/>
        <v>0</v>
      </c>
      <c r="AO12" s="33">
        <f t="shared" si="13"/>
        <v>0</v>
      </c>
      <c r="AP12" s="33">
        <f t="shared" si="14"/>
        <v>0</v>
      </c>
      <c r="AQ12" s="193">
        <f t="shared" si="17"/>
        <v>0</v>
      </c>
      <c r="AR12" s="193">
        <f t="shared" si="17"/>
        <v>0</v>
      </c>
      <c r="AS12" s="193">
        <f t="shared" si="17"/>
        <v>0</v>
      </c>
      <c r="AT12" s="193">
        <f t="shared" si="17"/>
        <v>0</v>
      </c>
      <c r="AU12" s="33"/>
      <c r="AV12" s="33"/>
      <c r="AW12" s="33"/>
      <c r="AX12" s="33"/>
      <c r="AY12" s="163">
        <f t="shared" si="24"/>
        <v>0</v>
      </c>
    </row>
    <row r="13" spans="2:51">
      <c r="B13" s="365"/>
      <c r="C13" s="369"/>
      <c r="D13" s="367" t="s">
        <v>155</v>
      </c>
      <c r="E13" s="367"/>
      <c r="F13" s="37">
        <f>IF(ISBLANK(F$12),,VLOOKUP(F$12,C131:D195,2,FALSE))</f>
        <v>0.42</v>
      </c>
      <c r="I13" s="55">
        <v>8</v>
      </c>
      <c r="J13" s="33">
        <f t="shared" si="18"/>
        <v>3.36</v>
      </c>
      <c r="K13" s="33">
        <f t="shared" si="19"/>
        <v>1.3447001408663719</v>
      </c>
      <c r="L13" s="33">
        <f t="shared" si="20"/>
        <v>70</v>
      </c>
      <c r="M13" s="33">
        <f t="shared" si="21"/>
        <v>2.6666666666666665</v>
      </c>
      <c r="N13" s="33">
        <f t="shared" si="0"/>
        <v>0</v>
      </c>
      <c r="O13" s="34">
        <f t="shared" si="1"/>
        <v>274.63846385645343</v>
      </c>
      <c r="P13" s="55">
        <v>8</v>
      </c>
      <c r="Q13" s="33">
        <f t="shared" si="15"/>
        <v>3.2759999999999998</v>
      </c>
      <c r="R13" s="33">
        <f t="shared" si="22"/>
        <v>26.207999999999998</v>
      </c>
      <c r="S13" s="33">
        <f t="shared" si="23"/>
        <v>15.200639999999998</v>
      </c>
      <c r="T13" s="33">
        <f t="shared" si="2"/>
        <v>5.1032308720646968</v>
      </c>
      <c r="U13" s="33">
        <f t="shared" si="16"/>
        <v>70</v>
      </c>
      <c r="V13" s="33">
        <f t="shared" si="3"/>
        <v>2.6666666666666665</v>
      </c>
      <c r="W13" s="33">
        <v>0</v>
      </c>
      <c r="X13" s="33">
        <f t="shared" si="4"/>
        <v>301.80701954662379</v>
      </c>
      <c r="Y13" s="38">
        <f t="shared" si="5"/>
        <v>27.168555690170365</v>
      </c>
      <c r="AA13" s="71">
        <v>8</v>
      </c>
      <c r="AB13" s="33">
        <f t="shared" si="6"/>
        <v>0</v>
      </c>
      <c r="AC13" s="304">
        <f t="shared" si="7"/>
        <v>0</v>
      </c>
      <c r="AD13" s="100">
        <f t="shared" si="8"/>
        <v>0</v>
      </c>
      <c r="AE13" s="100">
        <f t="shared" si="9"/>
        <v>0</v>
      </c>
      <c r="AF13" s="193">
        <f t="shared" si="25"/>
        <v>0</v>
      </c>
      <c r="AG13" s="193">
        <f t="shared" si="26"/>
        <v>0</v>
      </c>
      <c r="AH13" s="193">
        <f t="shared" si="27"/>
        <v>0</v>
      </c>
      <c r="AI13" s="198">
        <f t="shared" si="28"/>
        <v>0</v>
      </c>
      <c r="AK13" s="71">
        <v>8</v>
      </c>
      <c r="AL13" s="33">
        <f t="shared" si="10"/>
        <v>0</v>
      </c>
      <c r="AM13" s="33">
        <f t="shared" si="11"/>
        <v>0</v>
      </c>
      <c r="AN13" s="33">
        <f t="shared" si="12"/>
        <v>0</v>
      </c>
      <c r="AO13" s="33">
        <f t="shared" si="13"/>
        <v>0</v>
      </c>
      <c r="AP13" s="33">
        <f t="shared" si="14"/>
        <v>0</v>
      </c>
      <c r="AQ13" s="193">
        <f t="shared" si="17"/>
        <v>0</v>
      </c>
      <c r="AR13" s="193">
        <f t="shared" si="17"/>
        <v>0</v>
      </c>
      <c r="AS13" s="193">
        <f t="shared" si="17"/>
        <v>0</v>
      </c>
      <c r="AT13" s="193">
        <f t="shared" si="17"/>
        <v>0</v>
      </c>
      <c r="AU13" s="33"/>
      <c r="AV13" s="33"/>
      <c r="AW13" s="33"/>
      <c r="AX13" s="33"/>
      <c r="AY13" s="163">
        <f t="shared" si="24"/>
        <v>0</v>
      </c>
    </row>
    <row r="14" spans="2:51">
      <c r="B14" s="364" t="s">
        <v>132</v>
      </c>
      <c r="C14" s="360"/>
      <c r="D14" s="361"/>
      <c r="E14" s="361"/>
      <c r="F14" s="362"/>
      <c r="I14" s="55">
        <v>9</v>
      </c>
      <c r="J14" s="33">
        <f t="shared" si="18"/>
        <v>3.78</v>
      </c>
      <c r="K14" s="33">
        <f t="shared" si="19"/>
        <v>1.4921889485915243</v>
      </c>
      <c r="L14" s="33">
        <f t="shared" si="20"/>
        <v>70</v>
      </c>
      <c r="M14" s="33">
        <f t="shared" si="21"/>
        <v>3</v>
      </c>
      <c r="N14" s="33">
        <f t="shared" si="0"/>
        <v>0</v>
      </c>
      <c r="O14" s="34">
        <f t="shared" si="1"/>
        <v>276.8490624187969</v>
      </c>
      <c r="P14" s="55">
        <v>9</v>
      </c>
      <c r="Q14" s="33">
        <f t="shared" si="15"/>
        <v>3.2759999999999998</v>
      </c>
      <c r="R14" s="33">
        <f t="shared" si="22"/>
        <v>29.483999999999998</v>
      </c>
      <c r="S14" s="33">
        <f t="shared" si="23"/>
        <v>17.100719999999999</v>
      </c>
      <c r="T14" s="33">
        <f t="shared" si="2"/>
        <v>5.6629611896223917</v>
      </c>
      <c r="U14" s="33">
        <f t="shared" si="16"/>
        <v>70</v>
      </c>
      <c r="V14" s="33">
        <f t="shared" si="3"/>
        <v>3</v>
      </c>
      <c r="W14" s="33">
        <v>0</v>
      </c>
      <c r="X14" s="33">
        <f t="shared" si="4"/>
        <v>307.31341140525899</v>
      </c>
      <c r="Y14" s="38">
        <f t="shared" si="5"/>
        <v>30.464348986462085</v>
      </c>
      <c r="AA14" s="71">
        <v>9</v>
      </c>
      <c r="AB14" s="33">
        <f t="shared" si="6"/>
        <v>0</v>
      </c>
      <c r="AC14" s="304">
        <f t="shared" si="7"/>
        <v>0</v>
      </c>
      <c r="AD14" s="100">
        <f t="shared" si="8"/>
        <v>0</v>
      </c>
      <c r="AE14" s="100">
        <f t="shared" si="9"/>
        <v>0</v>
      </c>
      <c r="AF14" s="193">
        <f t="shared" si="25"/>
        <v>0</v>
      </c>
      <c r="AG14" s="193">
        <f t="shared" si="26"/>
        <v>0</v>
      </c>
      <c r="AH14" s="193">
        <f t="shared" si="27"/>
        <v>0</v>
      </c>
      <c r="AI14" s="198">
        <f t="shared" si="28"/>
        <v>0</v>
      </c>
      <c r="AK14" s="71">
        <v>9</v>
      </c>
      <c r="AL14" s="33">
        <f t="shared" si="10"/>
        <v>0</v>
      </c>
      <c r="AM14" s="33">
        <f t="shared" si="11"/>
        <v>0</v>
      </c>
      <c r="AN14" s="33">
        <f t="shared" si="12"/>
        <v>0</v>
      </c>
      <c r="AO14" s="33">
        <f t="shared" si="13"/>
        <v>0</v>
      </c>
      <c r="AP14" s="33">
        <f t="shared" si="14"/>
        <v>0</v>
      </c>
      <c r="AQ14" s="193">
        <f t="shared" si="17"/>
        <v>0</v>
      </c>
      <c r="AR14" s="193">
        <f t="shared" si="17"/>
        <v>0</v>
      </c>
      <c r="AS14" s="193">
        <f t="shared" si="17"/>
        <v>0</v>
      </c>
      <c r="AT14" s="193">
        <f t="shared" si="17"/>
        <v>0</v>
      </c>
      <c r="AU14" s="33"/>
      <c r="AV14" s="33"/>
      <c r="AW14" s="33"/>
      <c r="AX14" s="33"/>
      <c r="AY14" s="163">
        <f t="shared" si="24"/>
        <v>0</v>
      </c>
    </row>
    <row r="15" spans="2:51">
      <c r="B15" s="374"/>
      <c r="C15" s="93" t="s">
        <v>73</v>
      </c>
      <c r="D15" s="370" t="s">
        <v>135</v>
      </c>
      <c r="E15" s="370"/>
      <c r="F15" s="94">
        <f>IF(D15="","",VLOOKUP(D15,$B$97:$C$100,2,0))</f>
        <v>70</v>
      </c>
      <c r="I15" s="55">
        <v>10</v>
      </c>
      <c r="J15" s="33">
        <f t="shared" si="18"/>
        <v>4.2</v>
      </c>
      <c r="K15" s="33">
        <f t="shared" si="19"/>
        <v>1.6377783954177545</v>
      </c>
      <c r="L15" s="33">
        <f t="shared" si="20"/>
        <v>70</v>
      </c>
      <c r="M15" s="33">
        <f t="shared" si="21"/>
        <v>3.3333333333333335</v>
      </c>
      <c r="N15" s="33">
        <f t="shared" si="0"/>
        <v>0</v>
      </c>
      <c r="O15" s="34">
        <f t="shared" si="1"/>
        <v>279.05635292757478</v>
      </c>
      <c r="P15" s="55">
        <v>10</v>
      </c>
      <c r="Q15" s="33">
        <f t="shared" si="15"/>
        <v>3.2759999999999998</v>
      </c>
      <c r="R15" s="33">
        <f t="shared" si="22"/>
        <v>32.76</v>
      </c>
      <c r="S15" s="33">
        <f t="shared" si="23"/>
        <v>19.000799999999998</v>
      </c>
      <c r="T15" s="33">
        <f t="shared" si="2"/>
        <v>6.2154833000251974</v>
      </c>
      <c r="U15" s="33">
        <f t="shared" si="16"/>
        <v>70</v>
      </c>
      <c r="V15" s="33">
        <f t="shared" si="3"/>
        <v>3.3333333333333335</v>
      </c>
      <c r="W15" s="33">
        <v>0</v>
      </c>
      <c r="X15" s="33">
        <f t="shared" si="4"/>
        <v>312.80724896976614</v>
      </c>
      <c r="Y15" s="38">
        <f t="shared" si="5"/>
        <v>33.750896042191357</v>
      </c>
      <c r="AA15" s="71">
        <v>10</v>
      </c>
      <c r="AB15" s="33">
        <f t="shared" si="6"/>
        <v>0</v>
      </c>
      <c r="AC15" s="304">
        <f t="shared" si="7"/>
        <v>0</v>
      </c>
      <c r="AD15" s="100">
        <f t="shared" si="8"/>
        <v>0</v>
      </c>
      <c r="AE15" s="100">
        <f t="shared" si="9"/>
        <v>0</v>
      </c>
      <c r="AF15" s="193">
        <f t="shared" si="25"/>
        <v>0</v>
      </c>
      <c r="AG15" s="193">
        <f t="shared" si="26"/>
        <v>0</v>
      </c>
      <c r="AH15" s="193">
        <f t="shared" si="27"/>
        <v>0</v>
      </c>
      <c r="AI15" s="198">
        <f t="shared" si="28"/>
        <v>0</v>
      </c>
      <c r="AK15" s="71">
        <v>10</v>
      </c>
      <c r="AL15" s="33">
        <f t="shared" si="10"/>
        <v>0</v>
      </c>
      <c r="AM15" s="33">
        <f t="shared" si="11"/>
        <v>0</v>
      </c>
      <c r="AN15" s="33">
        <f t="shared" si="12"/>
        <v>0</v>
      </c>
      <c r="AO15" s="33">
        <f t="shared" si="13"/>
        <v>0</v>
      </c>
      <c r="AP15" s="33">
        <f t="shared" si="14"/>
        <v>0</v>
      </c>
      <c r="AQ15" s="193">
        <f t="shared" si="17"/>
        <v>0</v>
      </c>
      <c r="AR15" s="193">
        <f t="shared" si="17"/>
        <v>0</v>
      </c>
      <c r="AS15" s="193">
        <f t="shared" si="17"/>
        <v>0</v>
      </c>
      <c r="AT15" s="193">
        <f t="shared" si="17"/>
        <v>0</v>
      </c>
      <c r="AU15" s="33"/>
      <c r="AV15" s="33"/>
      <c r="AW15" s="33"/>
      <c r="AX15" s="33"/>
      <c r="AY15" s="163">
        <f t="shared" si="24"/>
        <v>0</v>
      </c>
    </row>
    <row r="16" spans="2:51">
      <c r="B16" s="374"/>
      <c r="C16" s="93" t="s">
        <v>74</v>
      </c>
      <c r="D16" s="366" t="s">
        <v>138</v>
      </c>
      <c r="E16" s="366"/>
      <c r="F16" s="94">
        <v>10</v>
      </c>
      <c r="I16" s="55">
        <v>11</v>
      </c>
      <c r="J16" s="33">
        <f t="shared" si="18"/>
        <v>4.62</v>
      </c>
      <c r="K16" s="33">
        <f t="shared" si="19"/>
        <v>1.7816800392152941</v>
      </c>
      <c r="L16" s="33">
        <f t="shared" si="20"/>
        <v>70</v>
      </c>
      <c r="M16" s="33">
        <f t="shared" si="21"/>
        <v>3.6666666666666665</v>
      </c>
      <c r="N16" s="33">
        <f t="shared" si="0"/>
        <v>0</v>
      </c>
      <c r="O16" s="34">
        <f t="shared" si="1"/>
        <v>281.26070384607777</v>
      </c>
      <c r="P16" s="55">
        <v>11</v>
      </c>
      <c r="Q16" s="33">
        <f t="shared" si="15"/>
        <v>3.2759999999999998</v>
      </c>
      <c r="R16" s="33">
        <f t="shared" si="22"/>
        <v>36.036000000000001</v>
      </c>
      <c r="S16" s="33">
        <f t="shared" si="23"/>
        <v>20.900880000000001</v>
      </c>
      <c r="T16" s="33">
        <f t="shared" si="2"/>
        <v>6.7616000801538325</v>
      </c>
      <c r="U16" s="33">
        <f t="shared" si="16"/>
        <v>70</v>
      </c>
      <c r="V16" s="33">
        <f t="shared" si="3"/>
        <v>3.6666666666666665</v>
      </c>
      <c r="W16" s="33">
        <v>0</v>
      </c>
      <c r="X16" s="33">
        <f t="shared" si="4"/>
        <v>318.28993058404575</v>
      </c>
      <c r="Y16" s="38">
        <f t="shared" si="5"/>
        <v>37.029226737967974</v>
      </c>
      <c r="AA16" s="71">
        <v>11</v>
      </c>
      <c r="AB16" s="33">
        <f t="shared" si="6"/>
        <v>0</v>
      </c>
      <c r="AC16" s="304">
        <f t="shared" si="7"/>
        <v>0</v>
      </c>
      <c r="AD16" s="100">
        <f t="shared" si="8"/>
        <v>0</v>
      </c>
      <c r="AE16" s="100">
        <f t="shared" si="9"/>
        <v>0</v>
      </c>
      <c r="AF16" s="193">
        <f t="shared" si="25"/>
        <v>0</v>
      </c>
      <c r="AG16" s="193">
        <f t="shared" si="26"/>
        <v>0</v>
      </c>
      <c r="AH16" s="193">
        <f t="shared" si="27"/>
        <v>0</v>
      </c>
      <c r="AI16" s="198">
        <f t="shared" si="28"/>
        <v>0</v>
      </c>
      <c r="AK16" s="71">
        <v>11</v>
      </c>
      <c r="AL16" s="33">
        <f t="shared" si="10"/>
        <v>0</v>
      </c>
      <c r="AM16" s="33">
        <f t="shared" si="11"/>
        <v>0</v>
      </c>
      <c r="AN16" s="33">
        <f t="shared" si="12"/>
        <v>0</v>
      </c>
      <c r="AO16" s="33">
        <f t="shared" si="13"/>
        <v>0</v>
      </c>
      <c r="AP16" s="33">
        <f t="shared" si="14"/>
        <v>0</v>
      </c>
      <c r="AQ16" s="193">
        <f t="shared" si="17"/>
        <v>0</v>
      </c>
      <c r="AR16" s="193">
        <f t="shared" si="17"/>
        <v>0</v>
      </c>
      <c r="AS16" s="193">
        <f t="shared" si="17"/>
        <v>0</v>
      </c>
      <c r="AT16" s="193">
        <f t="shared" si="17"/>
        <v>0</v>
      </c>
      <c r="AU16" s="33"/>
      <c r="AV16" s="33"/>
      <c r="AW16" s="33"/>
      <c r="AX16" s="33"/>
      <c r="AY16" s="163">
        <f t="shared" si="24"/>
        <v>0</v>
      </c>
    </row>
    <row r="17" spans="2:51" ht="32">
      <c r="B17" s="374"/>
      <c r="C17" s="368" t="s">
        <v>124</v>
      </c>
      <c r="D17" s="363" t="s">
        <v>131</v>
      </c>
      <c r="E17" s="363"/>
      <c r="F17" s="96" t="s">
        <v>20</v>
      </c>
      <c r="I17" s="55">
        <v>12</v>
      </c>
      <c r="J17" s="33">
        <f t="shared" si="18"/>
        <v>5.04</v>
      </c>
      <c r="K17" s="33">
        <f t="shared" si="19"/>
        <v>1.9240647665573338</v>
      </c>
      <c r="L17" s="33">
        <f t="shared" si="20"/>
        <v>70</v>
      </c>
      <c r="M17" s="33">
        <f t="shared" si="21"/>
        <v>4</v>
      </c>
      <c r="N17" s="33">
        <f t="shared" si="0"/>
        <v>0</v>
      </c>
      <c r="O17" s="34">
        <f t="shared" si="1"/>
        <v>283.462412801754</v>
      </c>
      <c r="P17" s="55">
        <v>12</v>
      </c>
      <c r="Q17" s="33">
        <f t="shared" si="15"/>
        <v>3.2759999999999998</v>
      </c>
      <c r="R17" s="33">
        <f t="shared" si="22"/>
        <v>39.311999999999998</v>
      </c>
      <c r="S17" s="33">
        <f t="shared" si="23"/>
        <v>22.800959999999996</v>
      </c>
      <c r="T17" s="33">
        <f t="shared" si="2"/>
        <v>7.3019600564785572</v>
      </c>
      <c r="U17" s="33">
        <f t="shared" si="16"/>
        <v>70</v>
      </c>
      <c r="V17" s="33">
        <f t="shared" si="3"/>
        <v>4</v>
      </c>
      <c r="W17" s="33">
        <v>0</v>
      </c>
      <c r="X17" s="33">
        <f t="shared" si="4"/>
        <v>323.76258576503352</v>
      </c>
      <c r="Y17" s="38">
        <f t="shared" si="5"/>
        <v>40.300172963279522</v>
      </c>
      <c r="AA17" s="71">
        <v>12</v>
      </c>
      <c r="AB17" s="33">
        <f t="shared" si="6"/>
        <v>0</v>
      </c>
      <c r="AC17" s="304">
        <f t="shared" si="7"/>
        <v>0</v>
      </c>
      <c r="AD17" s="100">
        <f t="shared" si="8"/>
        <v>0</v>
      </c>
      <c r="AE17" s="100">
        <f t="shared" si="9"/>
        <v>0</v>
      </c>
      <c r="AF17" s="193">
        <f t="shared" si="25"/>
        <v>0</v>
      </c>
      <c r="AG17" s="193">
        <f t="shared" si="26"/>
        <v>0</v>
      </c>
      <c r="AH17" s="193">
        <f t="shared" si="27"/>
        <v>0</v>
      </c>
      <c r="AI17" s="198">
        <f t="shared" si="28"/>
        <v>0</v>
      </c>
      <c r="AK17" s="71">
        <v>12</v>
      </c>
      <c r="AL17" s="33">
        <f t="shared" si="10"/>
        <v>0</v>
      </c>
      <c r="AM17" s="33">
        <f t="shared" si="11"/>
        <v>0</v>
      </c>
      <c r="AN17" s="33">
        <f t="shared" si="12"/>
        <v>0</v>
      </c>
      <c r="AO17" s="33">
        <f t="shared" si="13"/>
        <v>0</v>
      </c>
      <c r="AP17" s="33">
        <f t="shared" si="14"/>
        <v>0</v>
      </c>
      <c r="AQ17" s="193">
        <f t="shared" si="17"/>
        <v>0</v>
      </c>
      <c r="AR17" s="193">
        <f t="shared" si="17"/>
        <v>0</v>
      </c>
      <c r="AS17" s="193">
        <f t="shared" si="17"/>
        <v>0</v>
      </c>
      <c r="AT17" s="193">
        <f t="shared" si="17"/>
        <v>0</v>
      </c>
      <c r="AU17" s="33"/>
      <c r="AV17" s="33"/>
      <c r="AW17" s="33"/>
      <c r="AX17" s="33"/>
      <c r="AY17" s="163">
        <f t="shared" si="24"/>
        <v>0</v>
      </c>
    </row>
    <row r="18" spans="2:51">
      <c r="B18" s="374"/>
      <c r="C18" s="368"/>
      <c r="D18" s="363" t="s">
        <v>136</v>
      </c>
      <c r="E18" s="363"/>
      <c r="F18" s="97">
        <v>150</v>
      </c>
      <c r="I18" s="55">
        <v>13</v>
      </c>
      <c r="J18" s="33">
        <f t="shared" si="18"/>
        <v>5.46</v>
      </c>
      <c r="K18" s="33">
        <f t="shared" si="19"/>
        <v>2.0650733588092969</v>
      </c>
      <c r="L18" s="33">
        <f t="shared" si="20"/>
        <v>70</v>
      </c>
      <c r="M18" s="33">
        <f t="shared" si="21"/>
        <v>4.333333333333333</v>
      </c>
      <c r="N18" s="33">
        <f t="shared" si="0"/>
        <v>0</v>
      </c>
      <c r="O18" s="34">
        <f t="shared" si="1"/>
        <v>285.66172498881508</v>
      </c>
      <c r="P18" s="55">
        <v>13</v>
      </c>
      <c r="Q18" s="33">
        <f t="shared" si="15"/>
        <v>3.2759999999999998</v>
      </c>
      <c r="R18" s="33">
        <f t="shared" si="22"/>
        <v>42.587999999999994</v>
      </c>
      <c r="S18" s="33">
        <f t="shared" si="23"/>
        <v>24.701039999999995</v>
      </c>
      <c r="T18" s="33">
        <f t="shared" si="2"/>
        <v>7.8370975041053317</v>
      </c>
      <c r="U18" s="33">
        <f t="shared" si="16"/>
        <v>70</v>
      </c>
      <c r="V18" s="33">
        <f t="shared" si="3"/>
        <v>4.333333333333333</v>
      </c>
      <c r="W18" s="33">
        <v>0</v>
      </c>
      <c r="X18" s="33">
        <f t="shared" si="4"/>
        <v>329.22614504187231</v>
      </c>
      <c r="Y18" s="38">
        <f t="shared" si="5"/>
        <v>43.564420053057233</v>
      </c>
      <c r="AA18" s="71">
        <v>13</v>
      </c>
      <c r="AB18" s="33">
        <f t="shared" si="6"/>
        <v>0</v>
      </c>
      <c r="AC18" s="304">
        <f t="shared" si="7"/>
        <v>0</v>
      </c>
      <c r="AD18" s="100">
        <f t="shared" si="8"/>
        <v>0</v>
      </c>
      <c r="AE18" s="100">
        <f t="shared" si="9"/>
        <v>0</v>
      </c>
      <c r="AF18" s="193">
        <f t="shared" si="25"/>
        <v>0</v>
      </c>
      <c r="AG18" s="193">
        <f t="shared" si="26"/>
        <v>0</v>
      </c>
      <c r="AH18" s="193">
        <f t="shared" si="27"/>
        <v>0</v>
      </c>
      <c r="AI18" s="198">
        <f t="shared" si="28"/>
        <v>0</v>
      </c>
      <c r="AK18" s="71">
        <v>13</v>
      </c>
      <c r="AL18" s="33">
        <f t="shared" si="10"/>
        <v>0</v>
      </c>
      <c r="AM18" s="33">
        <f t="shared" si="11"/>
        <v>0</v>
      </c>
      <c r="AN18" s="33">
        <f t="shared" si="12"/>
        <v>0</v>
      </c>
      <c r="AO18" s="33">
        <f t="shared" si="13"/>
        <v>0</v>
      </c>
      <c r="AP18" s="33">
        <f t="shared" si="14"/>
        <v>0</v>
      </c>
      <c r="AQ18" s="193">
        <f t="shared" si="17"/>
        <v>0</v>
      </c>
      <c r="AR18" s="193">
        <f t="shared" si="17"/>
        <v>0</v>
      </c>
      <c r="AS18" s="193">
        <f t="shared" si="17"/>
        <v>0</v>
      </c>
      <c r="AT18" s="193">
        <f t="shared" si="17"/>
        <v>0</v>
      </c>
      <c r="AU18" s="33"/>
      <c r="AV18" s="33"/>
      <c r="AW18" s="33"/>
      <c r="AX18" s="33"/>
      <c r="AY18" s="163">
        <f t="shared" si="24"/>
        <v>0</v>
      </c>
    </row>
    <row r="19" spans="2:51">
      <c r="B19" s="374"/>
      <c r="C19" s="368"/>
      <c r="D19" s="366" t="s">
        <v>155</v>
      </c>
      <c r="E19" s="366"/>
      <c r="F19" s="36">
        <f>IF(ISBLANK(F$17),,VLOOKUP(F$17,C131:D195,2,FALSE))</f>
        <v>0.57999999999999996</v>
      </c>
      <c r="I19" s="55">
        <v>14</v>
      </c>
      <c r="J19" s="33">
        <f t="shared" si="18"/>
        <v>5.88</v>
      </c>
      <c r="K19" s="33">
        <f t="shared" si="19"/>
        <v>2.2048237083130879</v>
      </c>
      <c r="L19" s="33">
        <f t="shared" si="20"/>
        <v>70</v>
      </c>
      <c r="M19" s="33">
        <f t="shared" si="21"/>
        <v>4.666666666666667</v>
      </c>
      <c r="N19" s="33">
        <f t="shared" si="0"/>
        <v>0</v>
      </c>
      <c r="O19" s="34">
        <f t="shared" si="1"/>
        <v>287.85884573642306</v>
      </c>
      <c r="P19" s="55">
        <v>14</v>
      </c>
      <c r="Q19" s="33">
        <f t="shared" si="15"/>
        <v>3.2759999999999998</v>
      </c>
      <c r="R19" s="33">
        <f t="shared" si="22"/>
        <v>45.86399999999999</v>
      </c>
      <c r="S19" s="33">
        <f t="shared" si="23"/>
        <v>26.601119999999991</v>
      </c>
      <c r="T19" s="33">
        <f t="shared" si="2"/>
        <v>8.3674598326985983</v>
      </c>
      <c r="U19" s="33">
        <f t="shared" si="16"/>
        <v>70</v>
      </c>
      <c r="V19" s="33">
        <f t="shared" si="3"/>
        <v>4.666666666666667</v>
      </c>
      <c r="W19" s="33">
        <v>0</v>
      </c>
      <c r="X19" s="33">
        <f t="shared" si="4"/>
        <v>334.68138765306117</v>
      </c>
      <c r="Y19" s="38">
        <f t="shared" si="5"/>
        <v>46.822541916638102</v>
      </c>
      <c r="AA19" s="71">
        <v>14</v>
      </c>
      <c r="AB19" s="33">
        <f t="shared" si="6"/>
        <v>0</v>
      </c>
      <c r="AC19" s="304">
        <f t="shared" si="7"/>
        <v>0</v>
      </c>
      <c r="AD19" s="100">
        <f t="shared" si="8"/>
        <v>0</v>
      </c>
      <c r="AE19" s="100">
        <f t="shared" si="9"/>
        <v>0</v>
      </c>
      <c r="AF19" s="193">
        <f t="shared" si="25"/>
        <v>0</v>
      </c>
      <c r="AG19" s="193">
        <f t="shared" si="26"/>
        <v>0</v>
      </c>
      <c r="AH19" s="193">
        <f t="shared" si="27"/>
        <v>0</v>
      </c>
      <c r="AI19" s="198">
        <f t="shared" si="28"/>
        <v>0</v>
      </c>
      <c r="AK19" s="71">
        <v>14</v>
      </c>
      <c r="AL19" s="33">
        <f t="shared" si="10"/>
        <v>0</v>
      </c>
      <c r="AM19" s="33">
        <f t="shared" si="11"/>
        <v>0</v>
      </c>
      <c r="AN19" s="33">
        <f t="shared" si="12"/>
        <v>0</v>
      </c>
      <c r="AO19" s="33">
        <f t="shared" si="13"/>
        <v>0</v>
      </c>
      <c r="AP19" s="33">
        <f t="shared" si="14"/>
        <v>0</v>
      </c>
      <c r="AQ19" s="193">
        <f t="shared" si="17"/>
        <v>0</v>
      </c>
      <c r="AR19" s="193">
        <f t="shared" si="17"/>
        <v>0</v>
      </c>
      <c r="AS19" s="193">
        <f t="shared" si="17"/>
        <v>0</v>
      </c>
      <c r="AT19" s="193">
        <f t="shared" si="17"/>
        <v>0</v>
      </c>
      <c r="AU19" s="33"/>
      <c r="AV19" s="33"/>
      <c r="AW19" s="33"/>
      <c r="AX19" s="33"/>
      <c r="AY19" s="163">
        <f t="shared" si="24"/>
        <v>0</v>
      </c>
    </row>
    <row r="20" spans="2:51">
      <c r="B20" s="374"/>
      <c r="C20" s="368"/>
      <c r="D20" s="366" t="s">
        <v>140</v>
      </c>
      <c r="E20" s="366"/>
      <c r="F20" s="36">
        <f>IF(ISBLANK(F$17),,VLOOKUP(F17,Tableau14593[#All],4,FALSE))</f>
        <v>1.56</v>
      </c>
      <c r="I20" s="55">
        <v>15</v>
      </c>
      <c r="J20" s="33">
        <f t="shared" si="18"/>
        <v>6.3</v>
      </c>
      <c r="K20" s="33">
        <f t="shared" si="19"/>
        <v>2.3434159113137563</v>
      </c>
      <c r="L20" s="33">
        <f t="shared" si="20"/>
        <v>70</v>
      </c>
      <c r="M20" s="33">
        <f t="shared" si="21"/>
        <v>5</v>
      </c>
      <c r="N20" s="33">
        <f t="shared" si="0"/>
        <v>0</v>
      </c>
      <c r="O20" s="34">
        <f t="shared" si="1"/>
        <v>290.05394937887144</v>
      </c>
      <c r="P20" s="55">
        <v>15</v>
      </c>
      <c r="Q20" s="33">
        <f t="shared" si="15"/>
        <v>3.2759999999999998</v>
      </c>
      <c r="R20" s="33">
        <f t="shared" si="22"/>
        <v>49.139999999999986</v>
      </c>
      <c r="S20" s="33">
        <f t="shared" si="23"/>
        <v>28.50119999999999</v>
      </c>
      <c r="T20" s="33">
        <f t="shared" si="2"/>
        <v>8.8934269144933431</v>
      </c>
      <c r="U20" s="33">
        <f t="shared" si="16"/>
        <v>70</v>
      </c>
      <c r="V20" s="33">
        <f t="shared" si="3"/>
        <v>5</v>
      </c>
      <c r="W20" s="33">
        <v>0</v>
      </c>
      <c r="X20" s="33">
        <f t="shared" si="4"/>
        <v>340.12897520940925</v>
      </c>
      <c r="Y20" s="38">
        <f t="shared" si="5"/>
        <v>50.075025830537811</v>
      </c>
      <c r="AA20" s="71">
        <v>15</v>
      </c>
      <c r="AB20" s="33">
        <f t="shared" si="6"/>
        <v>0</v>
      </c>
      <c r="AC20" s="304">
        <f t="shared" si="7"/>
        <v>0</v>
      </c>
      <c r="AD20" s="100">
        <f t="shared" si="8"/>
        <v>0</v>
      </c>
      <c r="AE20" s="100">
        <f t="shared" si="9"/>
        <v>0</v>
      </c>
      <c r="AF20" s="193">
        <f t="shared" si="25"/>
        <v>0</v>
      </c>
      <c r="AG20" s="193">
        <f t="shared" si="26"/>
        <v>0</v>
      </c>
      <c r="AH20" s="193">
        <f t="shared" si="27"/>
        <v>0</v>
      </c>
      <c r="AI20" s="198">
        <f t="shared" si="28"/>
        <v>0</v>
      </c>
      <c r="AK20" s="71">
        <v>15</v>
      </c>
      <c r="AL20" s="33">
        <f t="shared" si="10"/>
        <v>0</v>
      </c>
      <c r="AM20" s="33">
        <f t="shared" si="11"/>
        <v>0</v>
      </c>
      <c r="AN20" s="33">
        <f t="shared" si="12"/>
        <v>0</v>
      </c>
      <c r="AO20" s="33">
        <f t="shared" si="13"/>
        <v>0</v>
      </c>
      <c r="AP20" s="33">
        <f t="shared" si="14"/>
        <v>0</v>
      </c>
      <c r="AQ20" s="193">
        <f t="shared" si="17"/>
        <v>0</v>
      </c>
      <c r="AR20" s="193">
        <f t="shared" si="17"/>
        <v>0</v>
      </c>
      <c r="AS20" s="193">
        <f t="shared" si="17"/>
        <v>0</v>
      </c>
      <c r="AT20" s="193">
        <f t="shared" si="17"/>
        <v>0</v>
      </c>
      <c r="AU20" s="33"/>
      <c r="AV20" s="33"/>
      <c r="AW20" s="33"/>
      <c r="AX20" s="33"/>
      <c r="AY20" s="163">
        <f t="shared" si="24"/>
        <v>0</v>
      </c>
    </row>
    <row r="21" spans="2:51">
      <c r="B21" s="365"/>
      <c r="C21" s="369"/>
      <c r="D21" s="367" t="s">
        <v>143</v>
      </c>
      <c r="E21" s="367"/>
      <c r="F21" s="102">
        <v>2</v>
      </c>
      <c r="I21" s="55">
        <v>16</v>
      </c>
      <c r="J21" s="33">
        <f t="shared" si="18"/>
        <v>6.72</v>
      </c>
      <c r="K21" s="33">
        <f t="shared" si="19"/>
        <v>2.4809359628361181</v>
      </c>
      <c r="L21" s="33">
        <f t="shared" si="20"/>
        <v>70</v>
      </c>
      <c r="M21" s="33">
        <f t="shared" si="21"/>
        <v>5.333333333333333</v>
      </c>
      <c r="N21" s="33">
        <f t="shared" si="0"/>
        <v>0</v>
      </c>
      <c r="O21" s="34">
        <f t="shared" si="1"/>
        <v>292.24718569082847</v>
      </c>
      <c r="P21" s="55">
        <v>16</v>
      </c>
      <c r="Q21" s="33">
        <f t="shared" si="15"/>
        <v>3.2759999999999998</v>
      </c>
      <c r="R21" s="33">
        <f t="shared" si="22"/>
        <v>52.415999999999983</v>
      </c>
      <c r="S21" s="33">
        <f t="shared" si="23"/>
        <v>30.401279999999989</v>
      </c>
      <c r="T21" s="33">
        <f t="shared" si="2"/>
        <v>9.4153251066097496</v>
      </c>
      <c r="U21" s="33">
        <f t="shared" si="16"/>
        <v>70</v>
      </c>
      <c r="V21" s="33">
        <f t="shared" si="3"/>
        <v>5.333333333333333</v>
      </c>
      <c r="W21" s="33">
        <v>0</v>
      </c>
      <c r="X21" s="33">
        <f t="shared" si="4"/>
        <v>345.56947611623417</v>
      </c>
      <c r="Y21" s="38">
        <f t="shared" si="5"/>
        <v>53.322290425405697</v>
      </c>
      <c r="AA21" s="71">
        <v>16</v>
      </c>
      <c r="AB21" s="33">
        <f t="shared" si="6"/>
        <v>0</v>
      </c>
      <c r="AC21" s="304">
        <f t="shared" si="7"/>
        <v>0</v>
      </c>
      <c r="AD21" s="100">
        <f t="shared" si="8"/>
        <v>0</v>
      </c>
      <c r="AE21" s="100">
        <f t="shared" si="9"/>
        <v>0</v>
      </c>
      <c r="AF21" s="193">
        <f t="shared" si="25"/>
        <v>0</v>
      </c>
      <c r="AG21" s="193">
        <f t="shared" si="26"/>
        <v>0</v>
      </c>
      <c r="AH21" s="193">
        <f t="shared" si="27"/>
        <v>0</v>
      </c>
      <c r="AI21" s="198">
        <f t="shared" si="28"/>
        <v>0</v>
      </c>
      <c r="AK21" s="71">
        <v>16</v>
      </c>
      <c r="AL21" s="33">
        <f t="shared" si="10"/>
        <v>0</v>
      </c>
      <c r="AM21" s="33">
        <f t="shared" si="11"/>
        <v>0</v>
      </c>
      <c r="AN21" s="33">
        <f t="shared" si="12"/>
        <v>0</v>
      </c>
      <c r="AO21" s="33">
        <f t="shared" si="13"/>
        <v>0</v>
      </c>
      <c r="AP21" s="33">
        <f t="shared" si="14"/>
        <v>0</v>
      </c>
      <c r="AQ21" s="193">
        <f t="shared" si="17"/>
        <v>0</v>
      </c>
      <c r="AR21" s="193">
        <f t="shared" si="17"/>
        <v>0</v>
      </c>
      <c r="AS21" s="193">
        <f t="shared" si="17"/>
        <v>0</v>
      </c>
      <c r="AT21" s="193">
        <f t="shared" si="17"/>
        <v>0</v>
      </c>
      <c r="AU21" s="33"/>
      <c r="AV21" s="33"/>
      <c r="AW21" s="33"/>
      <c r="AX21" s="33"/>
      <c r="AY21" s="163">
        <f t="shared" si="24"/>
        <v>0</v>
      </c>
    </row>
    <row r="22" spans="2:51">
      <c r="E22" s="6"/>
      <c r="I22" s="55">
        <v>17</v>
      </c>
      <c r="J22" s="33">
        <f t="shared" si="18"/>
        <v>7.14</v>
      </c>
      <c r="K22" s="33">
        <f t="shared" si="19"/>
        <v>2.6174585009700779</v>
      </c>
      <c r="L22" s="33">
        <f t="shared" si="20"/>
        <v>70</v>
      </c>
      <c r="M22" s="33">
        <f t="shared" si="21"/>
        <v>5.666666666666667</v>
      </c>
      <c r="N22" s="33">
        <f t="shared" si="0"/>
        <v>0</v>
      </c>
      <c r="O22" s="34">
        <f t="shared" si="1"/>
        <v>294.43868466696739</v>
      </c>
      <c r="P22" s="55">
        <v>17</v>
      </c>
      <c r="Q22" s="33">
        <f t="shared" si="15"/>
        <v>3.2759999999999998</v>
      </c>
      <c r="R22" s="33">
        <f t="shared" si="22"/>
        <v>55.691999999999979</v>
      </c>
      <c r="S22" s="33">
        <f t="shared" si="23"/>
        <v>32.301359999999988</v>
      </c>
      <c r="T22" s="33">
        <f t="shared" si="2"/>
        <v>9.9334376658075083</v>
      </c>
      <c r="U22" s="33">
        <f t="shared" si="16"/>
        <v>70</v>
      </c>
      <c r="V22" s="33">
        <f t="shared" si="3"/>
        <v>5.666666666666667</v>
      </c>
      <c r="W22" s="33">
        <v>0</v>
      </c>
      <c r="X22" s="33">
        <f t="shared" si="4"/>
        <v>351.00338371239258</v>
      </c>
      <c r="Y22" s="38">
        <f t="shared" si="5"/>
        <v>56.564699045425186</v>
      </c>
      <c r="AA22" s="71">
        <v>17</v>
      </c>
      <c r="AB22" s="33">
        <f t="shared" si="6"/>
        <v>0</v>
      </c>
      <c r="AC22" s="304">
        <f t="shared" si="7"/>
        <v>0</v>
      </c>
      <c r="AD22" s="100">
        <f t="shared" si="8"/>
        <v>0</v>
      </c>
      <c r="AE22" s="100">
        <f t="shared" si="9"/>
        <v>0</v>
      </c>
      <c r="AF22" s="193">
        <f t="shared" si="25"/>
        <v>0</v>
      </c>
      <c r="AG22" s="193">
        <f t="shared" si="26"/>
        <v>0</v>
      </c>
      <c r="AH22" s="193">
        <f t="shared" si="27"/>
        <v>0</v>
      </c>
      <c r="AI22" s="198">
        <f t="shared" si="28"/>
        <v>0</v>
      </c>
      <c r="AK22" s="71">
        <v>17</v>
      </c>
      <c r="AL22" s="33">
        <f t="shared" si="10"/>
        <v>0</v>
      </c>
      <c r="AM22" s="33">
        <f t="shared" si="11"/>
        <v>0</v>
      </c>
      <c r="AN22" s="33">
        <f t="shared" si="12"/>
        <v>0</v>
      </c>
      <c r="AO22" s="33">
        <f t="shared" si="13"/>
        <v>0</v>
      </c>
      <c r="AP22" s="33">
        <f t="shared" si="14"/>
        <v>0</v>
      </c>
      <c r="AQ22" s="193">
        <f t="shared" si="17"/>
        <v>0</v>
      </c>
      <c r="AR22" s="193">
        <f t="shared" si="17"/>
        <v>0</v>
      </c>
      <c r="AS22" s="193">
        <f t="shared" si="17"/>
        <v>0</v>
      </c>
      <c r="AT22" s="193">
        <f t="shared" si="17"/>
        <v>0</v>
      </c>
      <c r="AU22" s="33"/>
      <c r="AV22" s="33"/>
      <c r="AW22" s="33"/>
      <c r="AX22" s="33"/>
      <c r="AY22" s="163">
        <f t="shared" si="24"/>
        <v>0</v>
      </c>
    </row>
    <row r="23" spans="2:51">
      <c r="B23" s="386" t="s">
        <v>142</v>
      </c>
      <c r="C23" s="387"/>
      <c r="D23" s="387"/>
      <c r="E23" s="387"/>
      <c r="F23" s="387"/>
      <c r="G23" s="388"/>
      <c r="I23" s="55">
        <v>18</v>
      </c>
      <c r="J23" s="33">
        <f t="shared" si="18"/>
        <v>7.56</v>
      </c>
      <c r="K23" s="33">
        <f t="shared" si="19"/>
        <v>2.7530488868114218</v>
      </c>
      <c r="L23" s="33">
        <f t="shared" si="20"/>
        <v>70</v>
      </c>
      <c r="M23" s="33">
        <f t="shared" si="21"/>
        <v>6</v>
      </c>
      <c r="N23" s="33">
        <f t="shared" si="0"/>
        <v>0</v>
      </c>
      <c r="O23" s="34">
        <f t="shared" si="1"/>
        <v>296.6285601445299</v>
      </c>
      <c r="P23" s="55">
        <v>18</v>
      </c>
      <c r="Q23" s="33">
        <f t="shared" si="15"/>
        <v>3.2759999999999998</v>
      </c>
      <c r="R23" s="33">
        <f t="shared" si="22"/>
        <v>58.967999999999975</v>
      </c>
      <c r="S23" s="33">
        <f t="shared" si="23"/>
        <v>34.201439999999984</v>
      </c>
      <c r="T23" s="33">
        <f t="shared" si="2"/>
        <v>10.448012642006208</v>
      </c>
      <c r="U23" s="33">
        <f t="shared" si="16"/>
        <v>70</v>
      </c>
      <c r="V23" s="33">
        <f t="shared" si="3"/>
        <v>6</v>
      </c>
      <c r="W23" s="33">
        <v>0</v>
      </c>
      <c r="X23" s="33">
        <f t="shared" si="4"/>
        <v>356.43113001816079</v>
      </c>
      <c r="Y23" s="38">
        <f t="shared" si="5"/>
        <v>59.802569873630887</v>
      </c>
      <c r="AA23" s="71">
        <v>18</v>
      </c>
      <c r="AB23" s="33">
        <f t="shared" si="6"/>
        <v>0</v>
      </c>
      <c r="AC23" s="304">
        <f t="shared" si="7"/>
        <v>0</v>
      </c>
      <c r="AD23" s="100">
        <f t="shared" si="8"/>
        <v>0</v>
      </c>
      <c r="AE23" s="100">
        <f t="shared" si="9"/>
        <v>0</v>
      </c>
      <c r="AF23" s="193">
        <f t="shared" si="25"/>
        <v>0</v>
      </c>
      <c r="AG23" s="193">
        <f t="shared" si="26"/>
        <v>0</v>
      </c>
      <c r="AH23" s="193">
        <f t="shared" si="27"/>
        <v>0</v>
      </c>
      <c r="AI23" s="198">
        <f t="shared" si="28"/>
        <v>0</v>
      </c>
      <c r="AK23" s="71">
        <v>18</v>
      </c>
      <c r="AL23" s="33">
        <f t="shared" si="10"/>
        <v>0</v>
      </c>
      <c r="AM23" s="33">
        <f t="shared" si="11"/>
        <v>0</v>
      </c>
      <c r="AN23" s="33">
        <f t="shared" si="12"/>
        <v>0</v>
      </c>
      <c r="AO23" s="33">
        <f t="shared" si="13"/>
        <v>0</v>
      </c>
      <c r="AP23" s="33">
        <f t="shared" si="14"/>
        <v>0</v>
      </c>
      <c r="AQ23" s="193">
        <f t="shared" si="17"/>
        <v>0</v>
      </c>
      <c r="AR23" s="193">
        <f t="shared" si="17"/>
        <v>0</v>
      </c>
      <c r="AS23" s="193">
        <f t="shared" si="17"/>
        <v>0</v>
      </c>
      <c r="AT23" s="193">
        <f t="shared" si="17"/>
        <v>0</v>
      </c>
      <c r="AU23" s="33"/>
      <c r="AV23" s="33"/>
      <c r="AW23" s="33"/>
      <c r="AX23" s="33"/>
      <c r="AY23" s="163">
        <f t="shared" si="24"/>
        <v>0</v>
      </c>
    </row>
    <row r="24" spans="2:51">
      <c r="B24" s="47" t="s">
        <v>114</v>
      </c>
      <c r="C24" s="48" t="s">
        <v>115</v>
      </c>
      <c r="D24" s="48" t="s">
        <v>83</v>
      </c>
      <c r="E24" s="48" t="s">
        <v>117</v>
      </c>
      <c r="F24" s="48" t="s">
        <v>116</v>
      </c>
      <c r="G24" s="49" t="s">
        <v>141</v>
      </c>
      <c r="I24" s="55">
        <v>19</v>
      </c>
      <c r="J24" s="33">
        <f t="shared" si="18"/>
        <v>7.9799999999999995</v>
      </c>
      <c r="K24" s="33">
        <f t="shared" si="19"/>
        <v>2.8877648089424257</v>
      </c>
      <c r="L24" s="33">
        <f t="shared" si="20"/>
        <v>70</v>
      </c>
      <c r="M24" s="33">
        <f t="shared" si="21"/>
        <v>6.333333333333333</v>
      </c>
      <c r="N24" s="33">
        <f t="shared" si="0"/>
        <v>0</v>
      </c>
      <c r="O24" s="34">
        <f t="shared" si="1"/>
        <v>298.81691259779694</v>
      </c>
      <c r="P24" s="55">
        <v>19</v>
      </c>
      <c r="Q24" s="33">
        <f t="shared" si="15"/>
        <v>3.2759999999999998</v>
      </c>
      <c r="R24" s="33">
        <f t="shared" si="22"/>
        <v>62.243999999999971</v>
      </c>
      <c r="S24" s="33">
        <f t="shared" si="23"/>
        <v>36.101519999999979</v>
      </c>
      <c r="T24" s="33">
        <f t="shared" si="2"/>
        <v>10.9592689674013</v>
      </c>
      <c r="U24" s="33">
        <f t="shared" si="16"/>
        <v>70</v>
      </c>
      <c r="V24" s="33">
        <f t="shared" si="3"/>
        <v>6.333333333333333</v>
      </c>
      <c r="W24" s="33">
        <v>0</v>
      </c>
      <c r="X24" s="33">
        <f t="shared" si="4"/>
        <v>361.85309634044614</v>
      </c>
      <c r="Y24" s="38">
        <f t="shared" si="5"/>
        <v>63.0361837426492</v>
      </c>
      <c r="AA24" s="71">
        <v>19</v>
      </c>
      <c r="AB24" s="33">
        <f t="shared" si="6"/>
        <v>0</v>
      </c>
      <c r="AC24" s="304">
        <f t="shared" si="7"/>
        <v>0</v>
      </c>
      <c r="AD24" s="100">
        <f t="shared" si="8"/>
        <v>0</v>
      </c>
      <c r="AE24" s="100">
        <f t="shared" si="9"/>
        <v>0</v>
      </c>
      <c r="AF24" s="193">
        <f t="shared" si="25"/>
        <v>0</v>
      </c>
      <c r="AG24" s="193">
        <f t="shared" si="26"/>
        <v>0</v>
      </c>
      <c r="AH24" s="193">
        <f t="shared" si="27"/>
        <v>0</v>
      </c>
      <c r="AI24" s="198">
        <f t="shared" si="28"/>
        <v>0</v>
      </c>
      <c r="AK24" s="71">
        <v>19</v>
      </c>
      <c r="AL24" s="33">
        <f t="shared" si="10"/>
        <v>0</v>
      </c>
      <c r="AM24" s="33">
        <f t="shared" si="11"/>
        <v>0</v>
      </c>
      <c r="AN24" s="33">
        <f t="shared" si="12"/>
        <v>0</v>
      </c>
      <c r="AO24" s="33">
        <f t="shared" si="13"/>
        <v>0</v>
      </c>
      <c r="AP24" s="33">
        <f t="shared" si="14"/>
        <v>0</v>
      </c>
      <c r="AQ24" s="193">
        <f t="shared" si="17"/>
        <v>0</v>
      </c>
      <c r="AR24" s="193">
        <f t="shared" si="17"/>
        <v>0</v>
      </c>
      <c r="AS24" s="193">
        <f t="shared" si="17"/>
        <v>0</v>
      </c>
      <c r="AT24" s="193">
        <f t="shared" si="17"/>
        <v>0</v>
      </c>
      <c r="AU24" s="33"/>
      <c r="AV24" s="33"/>
      <c r="AW24" s="33"/>
      <c r="AX24" s="33"/>
      <c r="AY24" s="163">
        <f t="shared" si="24"/>
        <v>0</v>
      </c>
    </row>
    <row r="25" spans="2:51">
      <c r="B25" s="45">
        <v>0</v>
      </c>
      <c r="C25" s="333">
        <v>20</v>
      </c>
      <c r="D25" s="135">
        <f>D26+0</f>
        <v>42</v>
      </c>
      <c r="E25" s="139">
        <f t="shared" ref="E25:E78" si="29">$F$20</f>
        <v>1.56</v>
      </c>
      <c r="F25" s="46">
        <f t="shared" ref="F25:F40" si="30">D25*E25</f>
        <v>65.52</v>
      </c>
      <c r="G25" s="50">
        <f>F25/(C25-B25)</f>
        <v>3.2759999999999998</v>
      </c>
      <c r="I25" s="55">
        <v>20</v>
      </c>
      <c r="J25" s="33">
        <f t="shared" si="18"/>
        <v>8.4</v>
      </c>
      <c r="K25" s="33">
        <f t="shared" si="19"/>
        <v>3.0216575404908177</v>
      </c>
      <c r="L25" s="33">
        <f t="shared" si="20"/>
        <v>70</v>
      </c>
      <c r="M25" s="33">
        <f t="shared" si="21"/>
        <v>6.666666666666667</v>
      </c>
      <c r="N25" s="33">
        <f t="shared" si="0"/>
        <v>0</v>
      </c>
      <c r="O25" s="34">
        <f t="shared" si="1"/>
        <v>301.003831327466</v>
      </c>
      <c r="P25" s="55">
        <v>20</v>
      </c>
      <c r="Q25" s="33">
        <f t="shared" si="15"/>
        <v>3.2759999999999998</v>
      </c>
      <c r="R25" s="33">
        <f t="shared" si="22"/>
        <v>65.519999999999968</v>
      </c>
      <c r="S25" s="33">
        <f t="shared" si="23"/>
        <v>38.001599999999982</v>
      </c>
      <c r="T25" s="33">
        <f t="shared" si="2"/>
        <v>11.467401227090507</v>
      </c>
      <c r="U25" s="33">
        <f t="shared" si="16"/>
        <v>70</v>
      </c>
      <c r="V25" s="33">
        <f t="shared" si="3"/>
        <v>6.666666666666667</v>
      </c>
      <c r="W25" s="33">
        <v>0</v>
      </c>
      <c r="X25" s="33">
        <f t="shared" si="4"/>
        <v>367.26962158162701</v>
      </c>
      <c r="Y25" s="38">
        <f t="shared" si="5"/>
        <v>66.265790254161004</v>
      </c>
      <c r="AA25" s="71">
        <v>20</v>
      </c>
      <c r="AB25" s="33">
        <f t="shared" si="6"/>
        <v>0</v>
      </c>
      <c r="AC25" s="304">
        <f t="shared" si="7"/>
        <v>0</v>
      </c>
      <c r="AD25" s="100">
        <f t="shared" si="8"/>
        <v>0</v>
      </c>
      <c r="AE25" s="100">
        <f t="shared" si="9"/>
        <v>0</v>
      </c>
      <c r="AF25" s="193">
        <f>IF(OR(AA25&lt;=$F$18,AA25&lt;=30),EXP(-LN(2)/$D$104)*AF24+((1-EXP(-LN(2)/$D$104))/(LN(2)/$D$104))*$AB25*AC25*0.475*$F$19*44/12,)</f>
        <v>0</v>
      </c>
      <c r="AG25" s="193">
        <f>IF(OR(AA25&lt;=$F$18,AA25&lt;=30),EXP(-LN(2)/$D$106)*AG24+((1-EXP(-LN(2)/$D$106))/(LN(2)/$D$106))*$AB25*AD25*0.475*$F$19*44/12,)</f>
        <v>0</v>
      </c>
      <c r="AH25" s="193">
        <f>IF(OR(AA25&lt;=$F$18,AA25&lt;=30),EXP(-LN(2)/$D$105)*AH24+((1-EXP(-LN(2)/$D$105))/(LN(2)/$D$105))*$AB25*AE25*0.475*$F$19*44/12,)</f>
        <v>0</v>
      </c>
      <c r="AI25" s="198">
        <f>IF(OR(AA25&lt;=$F$18,AA25&lt;=30),SUM(AF25:AH25),)</f>
        <v>0</v>
      </c>
      <c r="AK25" s="71">
        <v>20</v>
      </c>
      <c r="AL25" s="33">
        <f t="shared" si="10"/>
        <v>0</v>
      </c>
      <c r="AM25" s="33">
        <f t="shared" si="11"/>
        <v>0</v>
      </c>
      <c r="AN25" s="33">
        <f t="shared" si="12"/>
        <v>0</v>
      </c>
      <c r="AO25" s="33">
        <f t="shared" si="13"/>
        <v>0</v>
      </c>
      <c r="AP25" s="33">
        <f t="shared" si="14"/>
        <v>0</v>
      </c>
      <c r="AQ25" s="193">
        <f>IF($AK25&lt;=$F$18,$AL25*AM25,)</f>
        <v>0</v>
      </c>
      <c r="AR25" s="193">
        <f>IF($AK25&lt;=$F$18,$AL25*AN25,)</f>
        <v>0</v>
      </c>
      <c r="AS25" s="193">
        <f>IF($AK25&lt;=$F$18,$AL25*AO25,)</f>
        <v>0</v>
      </c>
      <c r="AT25" s="193">
        <f>IF($AK25&lt;=$F$18,$AL25*AP25,)</f>
        <v>0</v>
      </c>
      <c r="AU25" s="33"/>
      <c r="AV25" s="33"/>
      <c r="AW25" s="33"/>
      <c r="AX25" s="33"/>
      <c r="AY25" s="163">
        <f t="shared" si="24"/>
        <v>0</v>
      </c>
    </row>
    <row r="26" spans="2:51">
      <c r="B26" s="40">
        <f t="shared" ref="B26:B78" si="31">C25</f>
        <v>20</v>
      </c>
      <c r="C26" s="41">
        <f>B26+1</f>
        <v>21</v>
      </c>
      <c r="D26" s="136">
        <v>42</v>
      </c>
      <c r="E26" s="140">
        <f t="shared" si="29"/>
        <v>1.56</v>
      </c>
      <c r="F26" s="42">
        <f t="shared" si="30"/>
        <v>65.52</v>
      </c>
      <c r="G26" s="141">
        <f>(F26-F25)/(C26-B26)</f>
        <v>0</v>
      </c>
      <c r="I26" s="55">
        <v>21</v>
      </c>
      <c r="J26" s="33">
        <f t="shared" si="18"/>
        <v>8.82</v>
      </c>
      <c r="K26" s="33">
        <f t="shared" si="19"/>
        <v>3.1547729376322442</v>
      </c>
      <c r="L26" s="33">
        <f t="shared" si="20"/>
        <v>70</v>
      </c>
      <c r="M26" s="33">
        <f t="shared" si="21"/>
        <v>7</v>
      </c>
      <c r="N26" s="33">
        <f t="shared" si="0"/>
        <v>0</v>
      </c>
      <c r="O26" s="34">
        <f t="shared" si="1"/>
        <v>303.18939619970951</v>
      </c>
      <c r="P26" s="55">
        <v>21</v>
      </c>
      <c r="Q26" s="33">
        <f t="shared" si="15"/>
        <v>0</v>
      </c>
      <c r="R26" s="33">
        <f t="shared" si="22"/>
        <v>65.519999999999968</v>
      </c>
      <c r="S26" s="33">
        <f t="shared" si="23"/>
        <v>38.001599999999982</v>
      </c>
      <c r="T26" s="33">
        <f t="shared" si="2"/>
        <v>11.467401227090507</v>
      </c>
      <c r="U26" s="33">
        <f t="shared" si="16"/>
        <v>70</v>
      </c>
      <c r="V26" s="33">
        <f t="shared" si="3"/>
        <v>7</v>
      </c>
      <c r="W26" s="33">
        <v>0</v>
      </c>
      <c r="X26" s="33">
        <f t="shared" si="4"/>
        <v>368.49184380384924</v>
      </c>
      <c r="Y26" s="38">
        <f t="shared" si="5"/>
        <v>65.302447604139729</v>
      </c>
      <c r="AA26" s="71">
        <v>21</v>
      </c>
      <c r="AB26" s="33">
        <f t="shared" si="6"/>
        <v>0</v>
      </c>
      <c r="AC26" s="304">
        <f t="shared" si="7"/>
        <v>0</v>
      </c>
      <c r="AD26" s="100">
        <f t="shared" si="8"/>
        <v>0</v>
      </c>
      <c r="AE26" s="100">
        <f t="shared" si="9"/>
        <v>0</v>
      </c>
      <c r="AF26" s="193">
        <f>IF(OR(AA26&lt;=$F$18,AA26&lt;=30),EXP(-LN(2)/$D$104)*AF25+((1-EXP(-LN(2)/$D$104))/(LN(2)/$D$104))*$AB26*AC26*0.475*$F$19*44/12,)</f>
        <v>0</v>
      </c>
      <c r="AG26" s="193">
        <f>IF(OR(AA26&lt;=$F$18,AA26&lt;=30),EXP(-LN(2)/$D$106)*AG25+((1-EXP(-LN(2)/$D$106))/(LN(2)/$D$106))*$AB26*AD26*0.475*$F$19*44/12,)</f>
        <v>0</v>
      </c>
      <c r="AH26" s="193">
        <f>IF(OR(AA26&lt;=$F$18,AA26&lt;=30),EXP(-LN(2)/$D$105)*AH25+((1-EXP(-LN(2)/$D$105))/(LN(2)/$D$105))*$AB26*AE26*0.475*$F$19*44/12,)</f>
        <v>0</v>
      </c>
      <c r="AI26" s="198">
        <f>IF(OR(AA26&lt;=$F$18,AA26&lt;=30),SUM(AF26:AH26),)</f>
        <v>0</v>
      </c>
      <c r="AK26" s="71">
        <v>21</v>
      </c>
      <c r="AL26" s="33">
        <f t="shared" si="10"/>
        <v>0</v>
      </c>
      <c r="AM26" s="33">
        <f t="shared" si="11"/>
        <v>0</v>
      </c>
      <c r="AN26" s="33">
        <f t="shared" si="12"/>
        <v>0</v>
      </c>
      <c r="AO26" s="33">
        <f t="shared" si="13"/>
        <v>0</v>
      </c>
      <c r="AP26" s="33">
        <f t="shared" si="14"/>
        <v>1</v>
      </c>
      <c r="AQ26" s="193">
        <f t="shared" ref="AQ26:AT35" si="32">IF($AK26&lt;=$F$18,$AL26*AM26,)</f>
        <v>0</v>
      </c>
      <c r="AR26" s="193">
        <f t="shared" si="32"/>
        <v>0</v>
      </c>
      <c r="AS26" s="193">
        <f t="shared" si="32"/>
        <v>0</v>
      </c>
      <c r="AT26" s="193">
        <f t="shared" si="32"/>
        <v>0</v>
      </c>
      <c r="AU26" s="33"/>
      <c r="AV26" s="33"/>
      <c r="AW26" s="33"/>
      <c r="AX26" s="33"/>
      <c r="AY26" s="163">
        <f t="shared" si="24"/>
        <v>0</v>
      </c>
    </row>
    <row r="27" spans="2:51">
      <c r="B27" s="40">
        <f t="shared" si="31"/>
        <v>21</v>
      </c>
      <c r="C27" s="151">
        <f>C25+5</f>
        <v>25</v>
      </c>
      <c r="D27" s="136">
        <f>D28+8</f>
        <v>70</v>
      </c>
      <c r="E27" s="140">
        <f t="shared" si="29"/>
        <v>1.56</v>
      </c>
      <c r="F27" s="42">
        <f t="shared" si="30"/>
        <v>109.2</v>
      </c>
      <c r="G27" s="51">
        <f t="shared" ref="G27:G40" si="33">(F27-F26)/(C27-B27)</f>
        <v>10.920000000000002</v>
      </c>
      <c r="I27" s="55">
        <v>22</v>
      </c>
      <c r="J27" s="33">
        <f t="shared" si="18"/>
        <v>9.24</v>
      </c>
      <c r="K27" s="33">
        <f t="shared" si="19"/>
        <v>3.2871522425130331</v>
      </c>
      <c r="L27" s="33">
        <f t="shared" si="20"/>
        <v>70</v>
      </c>
      <c r="M27" s="33">
        <f t="shared" si="21"/>
        <v>7.333333333333333</v>
      </c>
      <c r="N27" s="33">
        <f t="shared" si="0"/>
        <v>0</v>
      </c>
      <c r="O27" s="34">
        <f t="shared" si="1"/>
        <v>305.3736790445991</v>
      </c>
      <c r="P27" s="55">
        <v>22</v>
      </c>
      <c r="Q27" s="33">
        <f t="shared" si="15"/>
        <v>10.920000000000002</v>
      </c>
      <c r="R27" s="33">
        <f t="shared" si="22"/>
        <v>76.439999999999969</v>
      </c>
      <c r="S27" s="33">
        <f t="shared" si="23"/>
        <v>44.335199999999979</v>
      </c>
      <c r="T27" s="33">
        <f t="shared" si="2"/>
        <v>13.140720903832602</v>
      </c>
      <c r="U27" s="33">
        <f t="shared" si="16"/>
        <v>70</v>
      </c>
      <c r="V27" s="33">
        <f t="shared" si="3"/>
        <v>7.333333333333333</v>
      </c>
      <c r="W27" s="33">
        <v>0</v>
      </c>
      <c r="X27" s="33">
        <f t="shared" si="4"/>
        <v>383.6594511297306</v>
      </c>
      <c r="Y27" s="38">
        <f t="shared" si="5"/>
        <v>78.285772085131498</v>
      </c>
      <c r="AA27" s="71">
        <v>22</v>
      </c>
      <c r="AB27" s="33">
        <f t="shared" si="6"/>
        <v>0</v>
      </c>
      <c r="AC27" s="304">
        <f t="shared" si="7"/>
        <v>0</v>
      </c>
      <c r="AD27" s="100">
        <f t="shared" si="8"/>
        <v>0</v>
      </c>
      <c r="AE27" s="100">
        <f t="shared" si="9"/>
        <v>0</v>
      </c>
      <c r="AF27" s="193">
        <f t="shared" ref="AF27:AF90" si="34">IF(OR(AA27&lt;=$F$18,AA27&lt;=30),EXP(-LN(2)/$D$104)*AF26+((1-EXP(-LN(2)/$D$104))/(LN(2)/$D$104))*$AB27*AC27*0.475*$F$19*44/12,)</f>
        <v>0</v>
      </c>
      <c r="AG27" s="193">
        <f t="shared" ref="AG27:AG90" si="35">IF(OR(AA27&lt;=$F$18,AA27&lt;=30),EXP(-LN(2)/$D$106)*AG26+((1-EXP(-LN(2)/$D$106))/(LN(2)/$D$106))*$AB27*AD27*0.475*$F$19*44/12,)</f>
        <v>0</v>
      </c>
      <c r="AH27" s="193">
        <f t="shared" ref="AH27:AH90" si="36">IF(OR(AA27&lt;=$F$18,AA27&lt;=30),EXP(-LN(2)/$D$105)*AH26+((1-EXP(-LN(2)/$D$105))/(LN(2)/$D$105))*$AB27*AE27*0.475*$F$19*44/12,)</f>
        <v>0</v>
      </c>
      <c r="AI27" s="198">
        <f t="shared" ref="AI27:AI90" si="37">IF(OR(AA27&lt;=$F$18,AA27&lt;=30),SUM(AF27:AH27),)</f>
        <v>0</v>
      </c>
      <c r="AK27" s="71">
        <v>22</v>
      </c>
      <c r="AL27" s="33">
        <f t="shared" si="10"/>
        <v>0</v>
      </c>
      <c r="AM27" s="33">
        <f t="shared" si="11"/>
        <v>0</v>
      </c>
      <c r="AN27" s="33">
        <f t="shared" si="12"/>
        <v>0</v>
      </c>
      <c r="AO27" s="33">
        <f t="shared" si="13"/>
        <v>0</v>
      </c>
      <c r="AP27" s="33">
        <f t="shared" si="14"/>
        <v>0</v>
      </c>
      <c r="AQ27" s="193">
        <f t="shared" si="32"/>
        <v>0</v>
      </c>
      <c r="AR27" s="193">
        <f t="shared" si="32"/>
        <v>0</v>
      </c>
      <c r="AS27" s="193">
        <f t="shared" si="32"/>
        <v>0</v>
      </c>
      <c r="AT27" s="193">
        <f t="shared" si="32"/>
        <v>0</v>
      </c>
      <c r="AU27" s="33"/>
      <c r="AV27" s="33"/>
      <c r="AW27" s="33"/>
      <c r="AX27" s="33"/>
      <c r="AY27" s="163">
        <f t="shared" si="24"/>
        <v>0</v>
      </c>
    </row>
    <row r="28" spans="2:51">
      <c r="B28" s="40">
        <f t="shared" si="31"/>
        <v>25</v>
      </c>
      <c r="C28" s="151">
        <f>C26+5</f>
        <v>26</v>
      </c>
      <c r="D28" s="136">
        <v>62</v>
      </c>
      <c r="E28" s="140">
        <f t="shared" si="29"/>
        <v>1.56</v>
      </c>
      <c r="F28" s="42">
        <f t="shared" si="30"/>
        <v>96.72</v>
      </c>
      <c r="G28" s="51">
        <f t="shared" si="33"/>
        <v>-12.480000000000004</v>
      </c>
      <c r="I28" s="55">
        <v>23</v>
      </c>
      <c r="J28" s="33">
        <f t="shared" si="18"/>
        <v>9.66</v>
      </c>
      <c r="K28" s="33">
        <f t="shared" si="19"/>
        <v>3.4188327360603257</v>
      </c>
      <c r="L28" s="33">
        <f t="shared" si="20"/>
        <v>70</v>
      </c>
      <c r="M28" s="33">
        <f t="shared" si="21"/>
        <v>7.666666666666667</v>
      </c>
      <c r="N28" s="33">
        <f t="shared" si="0"/>
        <v>0</v>
      </c>
      <c r="O28" s="34">
        <f t="shared" si="1"/>
        <v>307.55674479308283</v>
      </c>
      <c r="P28" s="55">
        <v>23</v>
      </c>
      <c r="Q28" s="33">
        <f t="shared" si="15"/>
        <v>10.920000000000002</v>
      </c>
      <c r="R28" s="33">
        <f t="shared" si="22"/>
        <v>87.359999999999971</v>
      </c>
      <c r="S28" s="33">
        <f t="shared" si="23"/>
        <v>50.668799999999983</v>
      </c>
      <c r="T28" s="33">
        <f t="shared" si="2"/>
        <v>14.786346384516113</v>
      </c>
      <c r="U28" s="33">
        <f t="shared" si="16"/>
        <v>70</v>
      </c>
      <c r="V28" s="33">
        <f t="shared" si="3"/>
        <v>7.666666666666667</v>
      </c>
      <c r="W28" s="33">
        <v>0</v>
      </c>
      <c r="X28" s="33">
        <f t="shared" si="4"/>
        <v>398.77882439747668</v>
      </c>
      <c r="Y28" s="38">
        <f t="shared" si="5"/>
        <v>91.222079604393855</v>
      </c>
      <c r="AA28" s="71">
        <v>23</v>
      </c>
      <c r="AB28" s="33">
        <f t="shared" si="6"/>
        <v>0</v>
      </c>
      <c r="AC28" s="304">
        <f t="shared" si="7"/>
        <v>0</v>
      </c>
      <c r="AD28" s="100">
        <f t="shared" si="8"/>
        <v>0</v>
      </c>
      <c r="AE28" s="100">
        <f t="shared" si="9"/>
        <v>0</v>
      </c>
      <c r="AF28" s="193">
        <f t="shared" si="34"/>
        <v>0</v>
      </c>
      <c r="AG28" s="193">
        <f t="shared" si="35"/>
        <v>0</v>
      </c>
      <c r="AH28" s="193">
        <f t="shared" si="36"/>
        <v>0</v>
      </c>
      <c r="AI28" s="198">
        <f t="shared" si="37"/>
        <v>0</v>
      </c>
      <c r="AK28" s="71">
        <v>23</v>
      </c>
      <c r="AL28" s="33">
        <f t="shared" si="10"/>
        <v>0</v>
      </c>
      <c r="AM28" s="33">
        <f t="shared" si="11"/>
        <v>0</v>
      </c>
      <c r="AN28" s="33">
        <f t="shared" si="12"/>
        <v>0</v>
      </c>
      <c r="AO28" s="33">
        <f t="shared" si="13"/>
        <v>0</v>
      </c>
      <c r="AP28" s="33">
        <f t="shared" si="14"/>
        <v>0</v>
      </c>
      <c r="AQ28" s="193">
        <f t="shared" si="32"/>
        <v>0</v>
      </c>
      <c r="AR28" s="193">
        <f t="shared" si="32"/>
        <v>0</v>
      </c>
      <c r="AS28" s="193">
        <f t="shared" si="32"/>
        <v>0</v>
      </c>
      <c r="AT28" s="193">
        <f t="shared" si="32"/>
        <v>0</v>
      </c>
      <c r="AU28" s="33"/>
      <c r="AV28" s="33"/>
      <c r="AW28" s="33"/>
      <c r="AX28" s="33"/>
      <c r="AY28" s="163">
        <f t="shared" si="24"/>
        <v>0</v>
      </c>
    </row>
    <row r="29" spans="2:51">
      <c r="B29" s="40">
        <f t="shared" si="31"/>
        <v>26</v>
      </c>
      <c r="C29" s="151">
        <f t="shared" ref="C29:C78" si="38">C27+5</f>
        <v>30</v>
      </c>
      <c r="D29" s="136">
        <f>D30+21</f>
        <v>97</v>
      </c>
      <c r="E29" s="140">
        <f t="shared" si="29"/>
        <v>1.56</v>
      </c>
      <c r="F29" s="42">
        <f t="shared" si="30"/>
        <v>151.32</v>
      </c>
      <c r="G29" s="51">
        <f t="shared" si="33"/>
        <v>13.649999999999999</v>
      </c>
      <c r="I29" s="55">
        <v>24</v>
      </c>
      <c r="J29" s="33">
        <f t="shared" si="18"/>
        <v>10.08</v>
      </c>
      <c r="K29" s="33">
        <f t="shared" si="19"/>
        <v>3.5498482740564596</v>
      </c>
      <c r="L29" s="33">
        <f t="shared" si="20"/>
        <v>70</v>
      </c>
      <c r="M29" s="33">
        <f t="shared" si="21"/>
        <v>8</v>
      </c>
      <c r="N29" s="33">
        <f t="shared" si="0"/>
        <v>0</v>
      </c>
      <c r="O29" s="34">
        <f t="shared" si="1"/>
        <v>309.73865241064834</v>
      </c>
      <c r="P29" s="55">
        <v>24</v>
      </c>
      <c r="Q29" s="33">
        <f t="shared" si="15"/>
        <v>10.920000000000002</v>
      </c>
      <c r="R29" s="33">
        <f t="shared" si="22"/>
        <v>98.279999999999973</v>
      </c>
      <c r="S29" s="33">
        <f t="shared" si="23"/>
        <v>57.00239999999998</v>
      </c>
      <c r="T29" s="33">
        <f t="shared" si="2"/>
        <v>16.4081359066458</v>
      </c>
      <c r="U29" s="33">
        <f t="shared" si="16"/>
        <v>70</v>
      </c>
      <c r="V29" s="33">
        <f t="shared" si="3"/>
        <v>8</v>
      </c>
      <c r="W29" s="33">
        <v>0</v>
      </c>
      <c r="X29" s="33">
        <f t="shared" si="4"/>
        <v>413.85668337074139</v>
      </c>
      <c r="Y29" s="38">
        <f t="shared" si="5"/>
        <v>104.11803096009305</v>
      </c>
      <c r="AA29" s="71">
        <v>24</v>
      </c>
      <c r="AB29" s="33">
        <f t="shared" si="6"/>
        <v>0</v>
      </c>
      <c r="AC29" s="304">
        <f t="shared" si="7"/>
        <v>0</v>
      </c>
      <c r="AD29" s="100">
        <f t="shared" si="8"/>
        <v>0</v>
      </c>
      <c r="AE29" s="100">
        <f t="shared" si="9"/>
        <v>0</v>
      </c>
      <c r="AF29" s="193">
        <f t="shared" si="34"/>
        <v>0</v>
      </c>
      <c r="AG29" s="193">
        <f t="shared" si="35"/>
        <v>0</v>
      </c>
      <c r="AH29" s="193">
        <f t="shared" si="36"/>
        <v>0</v>
      </c>
      <c r="AI29" s="198">
        <f t="shared" si="37"/>
        <v>0</v>
      </c>
      <c r="AK29" s="71">
        <v>24</v>
      </c>
      <c r="AL29" s="33">
        <f t="shared" si="10"/>
        <v>0</v>
      </c>
      <c r="AM29" s="33">
        <f t="shared" si="11"/>
        <v>0</v>
      </c>
      <c r="AN29" s="33">
        <f t="shared" si="12"/>
        <v>0</v>
      </c>
      <c r="AO29" s="33">
        <f t="shared" si="13"/>
        <v>0</v>
      </c>
      <c r="AP29" s="33">
        <f t="shared" si="14"/>
        <v>0</v>
      </c>
      <c r="AQ29" s="193">
        <f t="shared" si="32"/>
        <v>0</v>
      </c>
      <c r="AR29" s="193">
        <f t="shared" si="32"/>
        <v>0</v>
      </c>
      <c r="AS29" s="193">
        <f t="shared" si="32"/>
        <v>0</v>
      </c>
      <c r="AT29" s="193">
        <f t="shared" si="32"/>
        <v>0</v>
      </c>
      <c r="AU29" s="33"/>
      <c r="AV29" s="33"/>
      <c r="AW29" s="33"/>
      <c r="AX29" s="33"/>
      <c r="AY29" s="163">
        <f t="shared" si="24"/>
        <v>0</v>
      </c>
    </row>
    <row r="30" spans="2:51">
      <c r="B30" s="40">
        <f t="shared" si="31"/>
        <v>30</v>
      </c>
      <c r="C30" s="151">
        <f t="shared" si="38"/>
        <v>31</v>
      </c>
      <c r="D30" s="136">
        <v>76</v>
      </c>
      <c r="E30" s="140">
        <f t="shared" si="29"/>
        <v>1.56</v>
      </c>
      <c r="F30" s="42">
        <f t="shared" si="30"/>
        <v>118.56</v>
      </c>
      <c r="G30" s="51">
        <f t="shared" si="33"/>
        <v>-32.759999999999991</v>
      </c>
      <c r="I30" s="55">
        <v>25</v>
      </c>
      <c r="J30" s="33">
        <f t="shared" si="18"/>
        <v>10.5</v>
      </c>
      <c r="K30" s="33">
        <f t="shared" si="19"/>
        <v>3.6802297313500394</v>
      </c>
      <c r="L30" s="33">
        <f t="shared" si="20"/>
        <v>70</v>
      </c>
      <c r="M30" s="33">
        <f t="shared" si="21"/>
        <v>8.3333333333333339</v>
      </c>
      <c r="N30" s="33">
        <f t="shared" si="0"/>
        <v>0</v>
      </c>
      <c r="O30" s="34">
        <f t="shared" si="1"/>
        <v>311.9194556709902</v>
      </c>
      <c r="P30" s="55">
        <v>25</v>
      </c>
      <c r="Q30" s="33">
        <f t="shared" si="15"/>
        <v>10.920000000000002</v>
      </c>
      <c r="R30" s="33">
        <f t="shared" si="22"/>
        <v>109.19999999999997</v>
      </c>
      <c r="S30" s="33">
        <f t="shared" si="23"/>
        <v>63.335999999999984</v>
      </c>
      <c r="T30" s="33">
        <f t="shared" si="2"/>
        <v>18.009040022946227</v>
      </c>
      <c r="U30" s="33">
        <f t="shared" si="16"/>
        <v>70</v>
      </c>
      <c r="V30" s="33">
        <f t="shared" si="3"/>
        <v>8.3333333333333339</v>
      </c>
      <c r="W30" s="33">
        <v>0</v>
      </c>
      <c r="X30" s="33">
        <f t="shared" si="4"/>
        <v>428.89816692885353</v>
      </c>
      <c r="Y30" s="38">
        <f t="shared" si="5"/>
        <v>116.97871125786332</v>
      </c>
      <c r="AA30" s="71">
        <v>25</v>
      </c>
      <c r="AB30" s="33">
        <f t="shared" si="6"/>
        <v>0</v>
      </c>
      <c r="AC30" s="304">
        <f>IF(AA30&lt;=$F$18,IFERROR(VLOOKUP($AA30,$B$82:$G$94,3,FALSE),0),)*50%</f>
        <v>0</v>
      </c>
      <c r="AD30" s="100">
        <f t="shared" si="8"/>
        <v>0</v>
      </c>
      <c r="AE30" s="100">
        <f t="shared" si="9"/>
        <v>0</v>
      </c>
      <c r="AF30" s="193">
        <f t="shared" si="34"/>
        <v>0</v>
      </c>
      <c r="AG30" s="193">
        <f t="shared" si="35"/>
        <v>0</v>
      </c>
      <c r="AH30" s="193">
        <f t="shared" si="36"/>
        <v>0</v>
      </c>
      <c r="AI30" s="198">
        <f t="shared" si="37"/>
        <v>0</v>
      </c>
      <c r="AK30" s="71">
        <v>25</v>
      </c>
      <c r="AL30" s="33">
        <f t="shared" si="10"/>
        <v>0</v>
      </c>
      <c r="AM30" s="33">
        <f t="shared" si="11"/>
        <v>0</v>
      </c>
      <c r="AN30" s="33">
        <f t="shared" si="12"/>
        <v>0</v>
      </c>
      <c r="AO30" s="33">
        <f t="shared" si="13"/>
        <v>0</v>
      </c>
      <c r="AP30" s="33">
        <f t="shared" si="14"/>
        <v>0</v>
      </c>
      <c r="AQ30" s="193">
        <f t="shared" si="32"/>
        <v>0</v>
      </c>
      <c r="AR30" s="193">
        <f t="shared" si="32"/>
        <v>0</v>
      </c>
      <c r="AS30" s="193">
        <f t="shared" si="32"/>
        <v>0</v>
      </c>
      <c r="AT30" s="193">
        <f t="shared" si="32"/>
        <v>0</v>
      </c>
      <c r="AU30" s="33"/>
      <c r="AV30" s="33"/>
      <c r="AW30" s="33"/>
      <c r="AX30" s="33"/>
      <c r="AY30" s="163">
        <f t="shared" si="24"/>
        <v>0</v>
      </c>
    </row>
    <row r="31" spans="2:51">
      <c r="B31" s="40">
        <f t="shared" si="31"/>
        <v>31</v>
      </c>
      <c r="C31" s="151">
        <f t="shared" si="38"/>
        <v>35</v>
      </c>
      <c r="D31" s="136">
        <f>D32+21</f>
        <v>116</v>
      </c>
      <c r="E31" s="140">
        <f t="shared" si="29"/>
        <v>1.56</v>
      </c>
      <c r="F31" s="42">
        <f t="shared" si="30"/>
        <v>180.96</v>
      </c>
      <c r="G31" s="51">
        <f t="shared" si="33"/>
        <v>15.600000000000001</v>
      </c>
      <c r="I31" s="55">
        <v>26</v>
      </c>
      <c r="J31" s="33">
        <f t="shared" si="18"/>
        <v>10.92</v>
      </c>
      <c r="K31" s="33">
        <f t="shared" si="19"/>
        <v>3.810005372992582</v>
      </c>
      <c r="L31" s="33">
        <f t="shared" si="20"/>
        <v>70</v>
      </c>
      <c r="M31" s="33">
        <f t="shared" si="21"/>
        <v>8.6666666666666661</v>
      </c>
      <c r="N31" s="33">
        <f t="shared" si="0"/>
        <v>0</v>
      </c>
      <c r="O31" s="34">
        <f t="shared" si="1"/>
        <v>314.09920380240652</v>
      </c>
      <c r="P31" s="55">
        <v>26</v>
      </c>
      <c r="Q31" s="33">
        <f t="shared" si="15"/>
        <v>-12.480000000000004</v>
      </c>
      <c r="R31" s="33">
        <f t="shared" si="22"/>
        <v>96.71999999999997</v>
      </c>
      <c r="S31" s="33">
        <f t="shared" si="23"/>
        <v>56.097599999999979</v>
      </c>
      <c r="T31" s="33">
        <f t="shared" si="2"/>
        <v>16.177791426098278</v>
      </c>
      <c r="U31" s="33">
        <f t="shared" si="16"/>
        <v>70</v>
      </c>
      <c r="V31" s="33">
        <f t="shared" si="3"/>
        <v>8.6666666666666661</v>
      </c>
      <c r="W31" s="33">
        <v>0</v>
      </c>
      <c r="X31" s="33">
        <f t="shared" si="4"/>
        <v>414.32408451156562</v>
      </c>
      <c r="Y31" s="38">
        <f t="shared" si="5"/>
        <v>100.22488070915909</v>
      </c>
      <c r="AA31" s="71">
        <v>26</v>
      </c>
      <c r="AB31" s="33">
        <f t="shared" si="6"/>
        <v>8</v>
      </c>
      <c r="AC31" s="304">
        <f t="shared" ref="AC31:AC94" si="39">IF(AA31&lt;=$F$18,IFERROR(VLOOKUP($AA31,$B$82:$G$94,3,FALSE),0),)*50%</f>
        <v>0</v>
      </c>
      <c r="AD31" s="100">
        <f t="shared" si="8"/>
        <v>0</v>
      </c>
      <c r="AE31" s="100">
        <f t="shared" si="9"/>
        <v>0</v>
      </c>
      <c r="AF31" s="193">
        <f t="shared" si="34"/>
        <v>0</v>
      </c>
      <c r="AG31" s="193">
        <f t="shared" si="35"/>
        <v>0</v>
      </c>
      <c r="AH31" s="193">
        <f t="shared" si="36"/>
        <v>0</v>
      </c>
      <c r="AI31" s="198">
        <f t="shared" si="37"/>
        <v>0</v>
      </c>
      <c r="AK31" s="71">
        <v>26</v>
      </c>
      <c r="AL31" s="33">
        <f t="shared" si="10"/>
        <v>8</v>
      </c>
      <c r="AM31" s="33">
        <f t="shared" si="11"/>
        <v>0</v>
      </c>
      <c r="AN31" s="33">
        <f t="shared" si="12"/>
        <v>0</v>
      </c>
      <c r="AO31" s="33">
        <f t="shared" si="13"/>
        <v>0</v>
      </c>
      <c r="AP31" s="33">
        <f t="shared" si="14"/>
        <v>1</v>
      </c>
      <c r="AQ31" s="193">
        <f t="shared" si="32"/>
        <v>0</v>
      </c>
      <c r="AR31" s="193">
        <f t="shared" si="32"/>
        <v>0</v>
      </c>
      <c r="AS31" s="193">
        <f t="shared" si="32"/>
        <v>0</v>
      </c>
      <c r="AT31" s="193">
        <f t="shared" si="32"/>
        <v>8</v>
      </c>
      <c r="AU31" s="33"/>
      <c r="AV31" s="33"/>
      <c r="AW31" s="33"/>
      <c r="AX31" s="33"/>
      <c r="AY31" s="163">
        <f t="shared" si="24"/>
        <v>2</v>
      </c>
    </row>
    <row r="32" spans="2:51">
      <c r="B32" s="40">
        <f t="shared" si="31"/>
        <v>35</v>
      </c>
      <c r="C32" s="151">
        <f t="shared" si="38"/>
        <v>36</v>
      </c>
      <c r="D32" s="136">
        <v>95</v>
      </c>
      <c r="E32" s="140">
        <f t="shared" si="29"/>
        <v>1.56</v>
      </c>
      <c r="F32" s="42">
        <f t="shared" si="30"/>
        <v>148.20000000000002</v>
      </c>
      <c r="G32" s="51">
        <f t="shared" si="33"/>
        <v>-32.759999999999991</v>
      </c>
      <c r="I32" s="55">
        <v>27</v>
      </c>
      <c r="J32" s="33">
        <f t="shared" si="18"/>
        <v>11.34</v>
      </c>
      <c r="K32" s="33">
        <f t="shared" si="19"/>
        <v>3.9392011666712041</v>
      </c>
      <c r="L32" s="33">
        <f t="shared" si="20"/>
        <v>70</v>
      </c>
      <c r="M32" s="33">
        <f t="shared" si="21"/>
        <v>9</v>
      </c>
      <c r="N32" s="33">
        <f t="shared" si="0"/>
        <v>0</v>
      </c>
      <c r="O32" s="34">
        <f t="shared" si="1"/>
        <v>316.27794203195236</v>
      </c>
      <c r="P32" s="55">
        <v>27</v>
      </c>
      <c r="Q32" s="33">
        <f t="shared" si="15"/>
        <v>13.649999999999999</v>
      </c>
      <c r="R32" s="33">
        <f t="shared" si="22"/>
        <v>110.36999999999998</v>
      </c>
      <c r="S32" s="33">
        <f t="shared" si="23"/>
        <v>64.014599999999987</v>
      </c>
      <c r="T32" s="33">
        <f t="shared" si="2"/>
        <v>18.179428283787018</v>
      </c>
      <c r="U32" s="33">
        <f t="shared" si="16"/>
        <v>70</v>
      </c>
      <c r="V32" s="33">
        <f t="shared" si="3"/>
        <v>9</v>
      </c>
      <c r="W32" s="33">
        <v>0</v>
      </c>
      <c r="X32" s="33">
        <f t="shared" si="4"/>
        <v>432.82126592759568</v>
      </c>
      <c r="Y32" s="38">
        <f t="shared" si="5"/>
        <v>116.54332389564331</v>
      </c>
      <c r="AA32" s="71">
        <v>27</v>
      </c>
      <c r="AB32" s="33">
        <f t="shared" si="6"/>
        <v>0</v>
      </c>
      <c r="AC32" s="304">
        <f t="shared" si="39"/>
        <v>0</v>
      </c>
      <c r="AD32" s="100">
        <f t="shared" si="8"/>
        <v>0</v>
      </c>
      <c r="AE32" s="100">
        <f t="shared" si="9"/>
        <v>0</v>
      </c>
      <c r="AF32" s="193">
        <f t="shared" si="34"/>
        <v>0</v>
      </c>
      <c r="AG32" s="193">
        <f t="shared" si="35"/>
        <v>0</v>
      </c>
      <c r="AH32" s="193">
        <f t="shared" si="36"/>
        <v>0</v>
      </c>
      <c r="AI32" s="198">
        <f t="shared" si="37"/>
        <v>0</v>
      </c>
      <c r="AK32" s="71">
        <v>27</v>
      </c>
      <c r="AL32" s="33">
        <f t="shared" si="10"/>
        <v>0</v>
      </c>
      <c r="AM32" s="33">
        <f t="shared" si="11"/>
        <v>0</v>
      </c>
      <c r="AN32" s="33">
        <f t="shared" si="12"/>
        <v>0</v>
      </c>
      <c r="AO32" s="33">
        <f t="shared" si="13"/>
        <v>0</v>
      </c>
      <c r="AP32" s="33">
        <f t="shared" si="14"/>
        <v>0</v>
      </c>
      <c r="AQ32" s="193">
        <f t="shared" si="32"/>
        <v>0</v>
      </c>
      <c r="AR32" s="193">
        <f t="shared" si="32"/>
        <v>0</v>
      </c>
      <c r="AS32" s="193">
        <f t="shared" si="32"/>
        <v>0</v>
      </c>
      <c r="AT32" s="193">
        <f t="shared" si="32"/>
        <v>0</v>
      </c>
      <c r="AU32" s="33"/>
      <c r="AV32" s="33"/>
      <c r="AW32" s="33"/>
      <c r="AX32" s="33"/>
      <c r="AY32" s="163">
        <f t="shared" si="24"/>
        <v>2</v>
      </c>
    </row>
    <row r="33" spans="2:51">
      <c r="B33" s="40">
        <f t="shared" si="31"/>
        <v>36</v>
      </c>
      <c r="C33" s="151">
        <f t="shared" si="38"/>
        <v>40</v>
      </c>
      <c r="D33" s="136">
        <f>D34+21</f>
        <v>137</v>
      </c>
      <c r="E33" s="140">
        <f t="shared" si="29"/>
        <v>1.56</v>
      </c>
      <c r="F33" s="42">
        <f t="shared" si="30"/>
        <v>213.72</v>
      </c>
      <c r="G33" s="51">
        <f t="shared" si="33"/>
        <v>16.379999999999995</v>
      </c>
      <c r="I33" s="55">
        <v>28</v>
      </c>
      <c r="J33" s="33">
        <f t="shared" si="18"/>
        <v>11.76</v>
      </c>
      <c r="K33" s="33">
        <f t="shared" si="19"/>
        <v>4.0678410475538191</v>
      </c>
      <c r="L33" s="33">
        <f t="shared" si="20"/>
        <v>70</v>
      </c>
      <c r="M33" s="33">
        <f t="shared" si="21"/>
        <v>9.3333333333333339</v>
      </c>
      <c r="N33" s="33">
        <f t="shared" si="0"/>
        <v>0</v>
      </c>
      <c r="O33" s="34">
        <f t="shared" si="1"/>
        <v>318.45571204671177</v>
      </c>
      <c r="P33" s="55">
        <v>28</v>
      </c>
      <c r="Q33" s="33">
        <f t="shared" si="15"/>
        <v>13.649999999999999</v>
      </c>
      <c r="R33" s="33">
        <f t="shared" si="22"/>
        <v>124.01999999999998</v>
      </c>
      <c r="S33" s="33">
        <f t="shared" si="23"/>
        <v>71.931599999999989</v>
      </c>
      <c r="T33" s="33">
        <f t="shared" si="2"/>
        <v>20.152379359631826</v>
      </c>
      <c r="U33" s="33">
        <f t="shared" si="16"/>
        <v>70</v>
      </c>
      <c r="V33" s="33">
        <f t="shared" si="3"/>
        <v>9.3333333333333339</v>
      </c>
      <c r="W33" s="33">
        <v>0</v>
      </c>
      <c r="X33" s="33">
        <f t="shared" si="4"/>
        <v>451.26848627358095</v>
      </c>
      <c r="Y33" s="38">
        <f t="shared" si="5"/>
        <v>132.81277422686918</v>
      </c>
      <c r="AA33" s="71">
        <v>28</v>
      </c>
      <c r="AB33" s="33">
        <f t="shared" si="6"/>
        <v>0</v>
      </c>
      <c r="AC33" s="304">
        <f t="shared" si="39"/>
        <v>0</v>
      </c>
      <c r="AD33" s="100">
        <f t="shared" si="8"/>
        <v>0</v>
      </c>
      <c r="AE33" s="100">
        <f t="shared" si="9"/>
        <v>0</v>
      </c>
      <c r="AF33" s="193">
        <f t="shared" si="34"/>
        <v>0</v>
      </c>
      <c r="AG33" s="193">
        <f t="shared" si="35"/>
        <v>0</v>
      </c>
      <c r="AH33" s="193">
        <f t="shared" si="36"/>
        <v>0</v>
      </c>
      <c r="AI33" s="198">
        <f t="shared" si="37"/>
        <v>0</v>
      </c>
      <c r="AK33" s="71">
        <v>28</v>
      </c>
      <c r="AL33" s="33">
        <f t="shared" si="10"/>
        <v>0</v>
      </c>
      <c r="AM33" s="33">
        <f t="shared" si="11"/>
        <v>0</v>
      </c>
      <c r="AN33" s="33">
        <f t="shared" si="12"/>
        <v>0</v>
      </c>
      <c r="AO33" s="33">
        <f t="shared" si="13"/>
        <v>0</v>
      </c>
      <c r="AP33" s="33">
        <f t="shared" si="14"/>
        <v>0</v>
      </c>
      <c r="AQ33" s="193">
        <f t="shared" si="32"/>
        <v>0</v>
      </c>
      <c r="AR33" s="193">
        <f t="shared" si="32"/>
        <v>0</v>
      </c>
      <c r="AS33" s="193">
        <f t="shared" si="32"/>
        <v>0</v>
      </c>
      <c r="AT33" s="193">
        <f t="shared" si="32"/>
        <v>0</v>
      </c>
      <c r="AU33" s="33"/>
      <c r="AV33" s="33"/>
      <c r="AW33" s="33"/>
      <c r="AX33" s="33"/>
      <c r="AY33" s="163">
        <f t="shared" si="24"/>
        <v>2</v>
      </c>
    </row>
    <row r="34" spans="2:51" ht="16" thickBot="1">
      <c r="B34" s="40">
        <f t="shared" si="31"/>
        <v>40</v>
      </c>
      <c r="C34" s="151">
        <f t="shared" si="38"/>
        <v>41</v>
      </c>
      <c r="D34" s="136">
        <v>116</v>
      </c>
      <c r="E34" s="140">
        <f t="shared" si="29"/>
        <v>1.56</v>
      </c>
      <c r="F34" s="42">
        <f t="shared" si="30"/>
        <v>180.96</v>
      </c>
      <c r="G34" s="51">
        <f t="shared" si="33"/>
        <v>-32.759999999999991</v>
      </c>
      <c r="I34" s="55">
        <v>29</v>
      </c>
      <c r="J34" s="33">
        <f t="shared" si="18"/>
        <v>12.18</v>
      </c>
      <c r="K34" s="33">
        <f t="shared" si="19"/>
        <v>4.1959471442360723</v>
      </c>
      <c r="L34" s="33">
        <f t="shared" si="20"/>
        <v>70</v>
      </c>
      <c r="M34" s="33">
        <f t="shared" si="21"/>
        <v>9.6666666666666661</v>
      </c>
      <c r="N34" s="33">
        <f t="shared" si="0"/>
        <v>0</v>
      </c>
      <c r="O34" s="34">
        <f t="shared" si="1"/>
        <v>320.63255238732228</v>
      </c>
      <c r="P34" s="55">
        <v>29</v>
      </c>
      <c r="Q34" s="35">
        <f t="shared" si="15"/>
        <v>13.649999999999999</v>
      </c>
      <c r="R34" s="33">
        <f t="shared" si="22"/>
        <v>137.66999999999999</v>
      </c>
      <c r="S34" s="33">
        <f t="shared" si="23"/>
        <v>79.84859999999999</v>
      </c>
      <c r="T34" s="33">
        <f t="shared" si="2"/>
        <v>22.100161961401962</v>
      </c>
      <c r="U34" s="33">
        <f t="shared" si="16"/>
        <v>70</v>
      </c>
      <c r="V34" s="33">
        <f t="shared" si="3"/>
        <v>9.6666666666666661</v>
      </c>
      <c r="W34" s="33">
        <v>0</v>
      </c>
      <c r="X34" s="33">
        <f t="shared" si="4"/>
        <v>469.67187152721948</v>
      </c>
      <c r="Y34" s="38">
        <f t="shared" si="5"/>
        <v>149.0393191398972</v>
      </c>
      <c r="AA34" s="71">
        <v>29</v>
      </c>
      <c r="AB34" s="142">
        <f t="shared" si="6"/>
        <v>0</v>
      </c>
      <c r="AC34" s="304">
        <f t="shared" si="39"/>
        <v>0</v>
      </c>
      <c r="AD34" s="101">
        <f t="shared" si="8"/>
        <v>0</v>
      </c>
      <c r="AE34" s="101">
        <f t="shared" si="9"/>
        <v>0</v>
      </c>
      <c r="AF34" s="195">
        <f t="shared" si="34"/>
        <v>0</v>
      </c>
      <c r="AG34" s="195">
        <f t="shared" si="35"/>
        <v>0</v>
      </c>
      <c r="AH34" s="193">
        <f t="shared" si="36"/>
        <v>0</v>
      </c>
      <c r="AI34" s="198">
        <f t="shared" si="37"/>
        <v>0</v>
      </c>
      <c r="AK34" s="71">
        <v>29</v>
      </c>
      <c r="AL34" s="142">
        <f t="shared" si="10"/>
        <v>0</v>
      </c>
      <c r="AM34" s="35">
        <f t="shared" si="11"/>
        <v>0</v>
      </c>
      <c r="AN34" s="35">
        <f t="shared" si="12"/>
        <v>0</v>
      </c>
      <c r="AO34" s="35">
        <f t="shared" si="13"/>
        <v>0</v>
      </c>
      <c r="AP34" s="35">
        <f t="shared" si="14"/>
        <v>0</v>
      </c>
      <c r="AQ34" s="193">
        <f t="shared" si="32"/>
        <v>0</v>
      </c>
      <c r="AR34" s="193">
        <f t="shared" si="32"/>
        <v>0</v>
      </c>
      <c r="AS34" s="193">
        <f t="shared" si="32"/>
        <v>0</v>
      </c>
      <c r="AT34" s="193">
        <f t="shared" si="32"/>
        <v>0</v>
      </c>
      <c r="AU34" s="33"/>
      <c r="AV34" s="33"/>
      <c r="AW34" s="33"/>
      <c r="AX34" s="33"/>
      <c r="AY34" s="163">
        <f t="shared" si="24"/>
        <v>2</v>
      </c>
    </row>
    <row r="35" spans="2:51" ht="16" thickBot="1">
      <c r="B35" s="40">
        <f t="shared" si="31"/>
        <v>41</v>
      </c>
      <c r="C35" s="151">
        <f t="shared" si="38"/>
        <v>45</v>
      </c>
      <c r="D35" s="136">
        <f>D36+21</f>
        <v>158</v>
      </c>
      <c r="E35" s="140">
        <f t="shared" si="29"/>
        <v>1.56</v>
      </c>
      <c r="F35" s="42">
        <f t="shared" si="30"/>
        <v>246.48000000000002</v>
      </c>
      <c r="G35" s="51">
        <f t="shared" si="33"/>
        <v>16.380000000000003</v>
      </c>
      <c r="I35" s="87">
        <v>30</v>
      </c>
      <c r="J35" s="158">
        <f>IF($I35&lt;=$F$10,IF(AND(D8=B100,F12=C194),($F$11*$F$13+J34*50%),$F$11*$F$13+J34),)</f>
        <v>6.51</v>
      </c>
      <c r="K35" s="53">
        <f t="shared" si="19"/>
        <v>2.4123050520281013</v>
      </c>
      <c r="L35" s="53">
        <f t="shared" si="20"/>
        <v>70</v>
      </c>
      <c r="M35" s="53">
        <f t="shared" si="21"/>
        <v>10</v>
      </c>
      <c r="N35" s="54">
        <f t="shared" si="0"/>
        <v>0</v>
      </c>
      <c r="O35" s="69">
        <f t="shared" si="1"/>
        <v>308.87301463228226</v>
      </c>
      <c r="P35" s="87">
        <v>30</v>
      </c>
      <c r="Q35" s="53">
        <f t="shared" si="15"/>
        <v>13.649999999999999</v>
      </c>
      <c r="R35" s="54">
        <f t="shared" si="22"/>
        <v>151.32</v>
      </c>
      <c r="S35" s="53">
        <f t="shared" si="23"/>
        <v>87.765599999999992</v>
      </c>
      <c r="T35" s="54">
        <f t="shared" si="2"/>
        <v>24.025555589247954</v>
      </c>
      <c r="U35" s="54">
        <f t="shared" si="16"/>
        <v>70</v>
      </c>
      <c r="V35" s="53">
        <f t="shared" si="3"/>
        <v>10</v>
      </c>
      <c r="W35" s="54">
        <v>0</v>
      </c>
      <c r="X35" s="69">
        <f t="shared" si="4"/>
        <v>488.03626265127349</v>
      </c>
      <c r="Y35" s="65">
        <f t="shared" si="5"/>
        <v>179.16324801899123</v>
      </c>
      <c r="AA35" s="73">
        <v>30</v>
      </c>
      <c r="AB35" s="142">
        <f t="shared" si="6"/>
        <v>0</v>
      </c>
      <c r="AC35" s="304">
        <f t="shared" si="39"/>
        <v>0</v>
      </c>
      <c r="AD35" s="101">
        <f t="shared" si="8"/>
        <v>0</v>
      </c>
      <c r="AE35" s="101">
        <f t="shared" si="9"/>
        <v>0</v>
      </c>
      <c r="AF35" s="199">
        <f t="shared" si="34"/>
        <v>0</v>
      </c>
      <c r="AG35" s="194">
        <f t="shared" si="35"/>
        <v>0</v>
      </c>
      <c r="AH35" s="200">
        <f t="shared" si="36"/>
        <v>0</v>
      </c>
      <c r="AI35" s="201">
        <f t="shared" si="37"/>
        <v>0</v>
      </c>
      <c r="AK35" s="73">
        <v>30</v>
      </c>
      <c r="AL35" s="142">
        <f t="shared" si="10"/>
        <v>0</v>
      </c>
      <c r="AM35" s="35">
        <f t="shared" si="11"/>
        <v>0</v>
      </c>
      <c r="AN35" s="35">
        <f t="shared" si="12"/>
        <v>0</v>
      </c>
      <c r="AO35" s="35">
        <f t="shared" si="13"/>
        <v>0</v>
      </c>
      <c r="AP35" s="35">
        <f t="shared" si="14"/>
        <v>0</v>
      </c>
      <c r="AQ35" s="194">
        <f t="shared" si="32"/>
        <v>0</v>
      </c>
      <c r="AR35" s="194">
        <f t="shared" si="32"/>
        <v>0</v>
      </c>
      <c r="AS35" s="194">
        <f t="shared" si="32"/>
        <v>0</v>
      </c>
      <c r="AT35" s="194">
        <f t="shared" si="32"/>
        <v>0</v>
      </c>
      <c r="AU35" s="53"/>
      <c r="AV35" s="53"/>
      <c r="AW35" s="53"/>
      <c r="AX35" s="53"/>
      <c r="AY35" s="164">
        <f t="shared" si="24"/>
        <v>2</v>
      </c>
    </row>
    <row r="36" spans="2:51">
      <c r="B36" s="40">
        <f t="shared" si="31"/>
        <v>45</v>
      </c>
      <c r="C36" s="151">
        <f t="shared" si="38"/>
        <v>46</v>
      </c>
      <c r="D36" s="136">
        <v>137</v>
      </c>
      <c r="E36" s="140">
        <f t="shared" si="29"/>
        <v>1.56</v>
      </c>
      <c r="F36" s="42">
        <f t="shared" si="30"/>
        <v>213.72</v>
      </c>
      <c r="G36" s="51">
        <f t="shared" si="33"/>
        <v>-32.760000000000019</v>
      </c>
      <c r="I36" s="55">
        <v>31</v>
      </c>
      <c r="J36" s="33">
        <f t="shared" si="18"/>
        <v>6.93</v>
      </c>
      <c r="K36" s="33">
        <f t="shared" si="19"/>
        <v>2.5493176393392645</v>
      </c>
      <c r="L36" s="33">
        <f t="shared" si="20"/>
        <v>70</v>
      </c>
      <c r="M36" s="33">
        <f t="shared" si="21"/>
        <v>10</v>
      </c>
      <c r="N36" s="33">
        <f t="shared" si="0"/>
        <v>0</v>
      </c>
      <c r="O36" s="34">
        <f t="shared" si="1"/>
        <v>309.84314488851584</v>
      </c>
      <c r="P36" s="55">
        <v>31</v>
      </c>
      <c r="Q36" s="33">
        <f t="shared" si="15"/>
        <v>-32.759999999999991</v>
      </c>
      <c r="R36" s="33">
        <f t="shared" si="22"/>
        <v>118.56</v>
      </c>
      <c r="S36" s="33">
        <f t="shared" si="23"/>
        <v>68.764799999999994</v>
      </c>
      <c r="T36" s="33">
        <f t="shared" si="2"/>
        <v>19.366396769521369</v>
      </c>
      <c r="U36" s="33">
        <f t="shared" si="16"/>
        <v>70</v>
      </c>
      <c r="V36" s="33">
        <f t="shared" si="3"/>
        <v>10</v>
      </c>
      <c r="W36" s="33">
        <v>0</v>
      </c>
      <c r="X36" s="33">
        <f t="shared" si="4"/>
        <v>446.82850104024971</v>
      </c>
      <c r="Y36" s="38">
        <f t="shared" si="5"/>
        <v>136.98535615173387</v>
      </c>
      <c r="AA36" s="71">
        <v>31</v>
      </c>
      <c r="AB36" s="33">
        <f t="shared" si="6"/>
        <v>21</v>
      </c>
      <c r="AC36" s="304">
        <f t="shared" si="39"/>
        <v>0</v>
      </c>
      <c r="AD36" s="100">
        <f t="shared" si="8"/>
        <v>0</v>
      </c>
      <c r="AE36" s="100">
        <f t="shared" si="9"/>
        <v>0</v>
      </c>
      <c r="AF36" s="193">
        <f t="shared" si="34"/>
        <v>0</v>
      </c>
      <c r="AG36" s="193">
        <f t="shared" si="35"/>
        <v>0</v>
      </c>
      <c r="AH36" s="193">
        <f t="shared" si="36"/>
        <v>0</v>
      </c>
      <c r="AI36" s="198">
        <f t="shared" si="37"/>
        <v>0</v>
      </c>
      <c r="AK36" s="71">
        <v>31</v>
      </c>
      <c r="AL36" s="33"/>
      <c r="AM36" s="33"/>
      <c r="AN36" s="33"/>
      <c r="AO36" s="33"/>
      <c r="AP36" s="33"/>
      <c r="AQ36" s="193"/>
      <c r="AR36" s="193"/>
      <c r="AS36" s="193"/>
      <c r="AT36" s="193"/>
      <c r="AU36" s="33"/>
      <c r="AV36" s="33"/>
      <c r="AW36" s="33"/>
      <c r="AX36" s="33"/>
      <c r="AY36" s="76"/>
    </row>
    <row r="37" spans="2:51">
      <c r="B37" s="40">
        <f t="shared" si="31"/>
        <v>46</v>
      </c>
      <c r="C37" s="151">
        <f t="shared" si="38"/>
        <v>50</v>
      </c>
      <c r="D37" s="136">
        <f>D38+21</f>
        <v>178</v>
      </c>
      <c r="E37" s="140">
        <f t="shared" si="29"/>
        <v>1.56</v>
      </c>
      <c r="F37" s="42">
        <f t="shared" si="30"/>
        <v>277.68</v>
      </c>
      <c r="G37" s="51">
        <f t="shared" si="33"/>
        <v>15.990000000000002</v>
      </c>
      <c r="I37" s="55">
        <v>32</v>
      </c>
      <c r="J37" s="33">
        <f t="shared" si="18"/>
        <v>7.35</v>
      </c>
      <c r="K37" s="33">
        <f t="shared" si="19"/>
        <v>2.6853664437437366</v>
      </c>
      <c r="L37" s="33">
        <f t="shared" si="20"/>
        <v>70</v>
      </c>
      <c r="M37" s="33">
        <f t="shared" si="21"/>
        <v>10</v>
      </c>
      <c r="N37" s="33">
        <f t="shared" si="0"/>
        <v>0</v>
      </c>
      <c r="O37" s="34">
        <f t="shared" si="1"/>
        <v>310.811596556187</v>
      </c>
      <c r="P37" s="55">
        <v>32</v>
      </c>
      <c r="Q37" s="33">
        <f t="shared" si="15"/>
        <v>15.600000000000001</v>
      </c>
      <c r="R37" s="33">
        <f t="shared" si="22"/>
        <v>134.16</v>
      </c>
      <c r="S37" s="33">
        <f t="shared" si="23"/>
        <v>77.812799999999996</v>
      </c>
      <c r="T37" s="33">
        <f t="shared" si="2"/>
        <v>21.601542634761511</v>
      </c>
      <c r="U37" s="33">
        <f t="shared" si="16"/>
        <v>70</v>
      </c>
      <c r="V37" s="33">
        <f t="shared" si="3"/>
        <v>10</v>
      </c>
      <c r="W37" s="33">
        <v>0</v>
      </c>
      <c r="X37" s="33">
        <f t="shared" si="4"/>
        <v>466.47998008887635</v>
      </c>
      <c r="Y37" s="38">
        <f t="shared" si="5"/>
        <v>155.66838353268935</v>
      </c>
      <c r="AA37" s="71">
        <v>32</v>
      </c>
      <c r="AB37" s="33">
        <f t="shared" si="6"/>
        <v>0</v>
      </c>
      <c r="AC37" s="304">
        <f t="shared" si="39"/>
        <v>0</v>
      </c>
      <c r="AD37" s="100">
        <f t="shared" si="8"/>
        <v>0</v>
      </c>
      <c r="AE37" s="100">
        <f t="shared" si="9"/>
        <v>0</v>
      </c>
      <c r="AF37" s="193">
        <f t="shared" si="34"/>
        <v>0</v>
      </c>
      <c r="AG37" s="193">
        <f t="shared" si="35"/>
        <v>0</v>
      </c>
      <c r="AH37" s="193">
        <f t="shared" si="36"/>
        <v>0</v>
      </c>
      <c r="AI37" s="198">
        <f t="shared" si="37"/>
        <v>0</v>
      </c>
      <c r="AK37" s="71">
        <v>32</v>
      </c>
      <c r="AL37" s="33"/>
      <c r="AM37" s="33"/>
      <c r="AN37" s="33"/>
      <c r="AO37" s="33"/>
      <c r="AP37" s="33"/>
      <c r="AQ37" s="193"/>
      <c r="AR37" s="193"/>
      <c r="AS37" s="193"/>
      <c r="AT37" s="193"/>
      <c r="AU37" s="33"/>
      <c r="AV37" s="33"/>
      <c r="AW37" s="33"/>
      <c r="AX37" s="33"/>
      <c r="AY37" s="76"/>
    </row>
    <row r="38" spans="2:51">
      <c r="B38" s="40">
        <f t="shared" si="31"/>
        <v>50</v>
      </c>
      <c r="C38" s="151">
        <f t="shared" si="38"/>
        <v>51</v>
      </c>
      <c r="D38" s="136">
        <v>157</v>
      </c>
      <c r="E38" s="140">
        <f t="shared" si="29"/>
        <v>1.56</v>
      </c>
      <c r="F38" s="42">
        <f t="shared" si="30"/>
        <v>244.92000000000002</v>
      </c>
      <c r="G38" s="51">
        <f t="shared" si="33"/>
        <v>-32.759999999999991</v>
      </c>
      <c r="I38" s="55">
        <v>33</v>
      </c>
      <c r="J38" s="33">
        <f t="shared" si="18"/>
        <v>7.77</v>
      </c>
      <c r="K38" s="33">
        <f t="shared" si="19"/>
        <v>2.8205128136956583</v>
      </c>
      <c r="L38" s="33">
        <f t="shared" si="20"/>
        <v>70</v>
      </c>
      <c r="M38" s="33">
        <f t="shared" si="21"/>
        <v>10</v>
      </c>
      <c r="N38" s="33">
        <f t="shared" si="0"/>
        <v>0</v>
      </c>
      <c r="O38" s="34">
        <f t="shared" si="1"/>
        <v>311.7784764838533</v>
      </c>
      <c r="P38" s="55">
        <v>33</v>
      </c>
      <c r="Q38" s="33">
        <f t="shared" si="15"/>
        <v>15.600000000000001</v>
      </c>
      <c r="R38" s="33">
        <f t="shared" si="22"/>
        <v>149.76</v>
      </c>
      <c r="S38" s="33">
        <f t="shared" si="23"/>
        <v>86.860799999999983</v>
      </c>
      <c r="T38" s="33">
        <f t="shared" si="2"/>
        <v>23.806568296036275</v>
      </c>
      <c r="U38" s="33">
        <f t="shared" si="16"/>
        <v>70</v>
      </c>
      <c r="V38" s="33">
        <f t="shared" si="3"/>
        <v>10</v>
      </c>
      <c r="W38" s="33">
        <v>0</v>
      </c>
      <c r="X38" s="33">
        <f t="shared" si="4"/>
        <v>486.07899978226311</v>
      </c>
      <c r="Y38" s="38">
        <f t="shared" si="5"/>
        <v>174.30052329840981</v>
      </c>
      <c r="AA38" s="71">
        <v>33</v>
      </c>
      <c r="AB38" s="33">
        <f t="shared" si="6"/>
        <v>0</v>
      </c>
      <c r="AC38" s="304">
        <f t="shared" si="39"/>
        <v>0</v>
      </c>
      <c r="AD38" s="100">
        <f t="shared" si="8"/>
        <v>0</v>
      </c>
      <c r="AE38" s="100">
        <f t="shared" si="9"/>
        <v>0</v>
      </c>
      <c r="AF38" s="193">
        <f t="shared" si="34"/>
        <v>0</v>
      </c>
      <c r="AG38" s="193">
        <f t="shared" si="35"/>
        <v>0</v>
      </c>
      <c r="AH38" s="193">
        <f t="shared" si="36"/>
        <v>0</v>
      </c>
      <c r="AI38" s="198">
        <f t="shared" si="37"/>
        <v>0</v>
      </c>
      <c r="AK38" s="71">
        <v>33</v>
      </c>
      <c r="AL38" s="33"/>
      <c r="AM38" s="33"/>
      <c r="AN38" s="33"/>
      <c r="AO38" s="33"/>
      <c r="AP38" s="33"/>
      <c r="AQ38" s="193"/>
      <c r="AR38" s="193"/>
      <c r="AS38" s="193"/>
      <c r="AT38" s="193"/>
      <c r="AU38" s="33"/>
      <c r="AV38" s="33"/>
      <c r="AW38" s="33"/>
      <c r="AX38" s="33"/>
      <c r="AY38" s="76"/>
    </row>
    <row r="39" spans="2:51">
      <c r="B39" s="40">
        <f t="shared" si="31"/>
        <v>51</v>
      </c>
      <c r="C39" s="151">
        <f t="shared" si="38"/>
        <v>55</v>
      </c>
      <c r="D39" s="136">
        <f>D40+21</f>
        <v>197</v>
      </c>
      <c r="E39" s="140">
        <f t="shared" si="29"/>
        <v>1.56</v>
      </c>
      <c r="F39" s="42">
        <f t="shared" si="30"/>
        <v>307.32</v>
      </c>
      <c r="G39" s="51">
        <f t="shared" si="33"/>
        <v>15.599999999999994</v>
      </c>
      <c r="I39" s="55">
        <v>34</v>
      </c>
      <c r="J39" s="33">
        <f t="shared" si="18"/>
        <v>8.19</v>
      </c>
      <c r="K39" s="33">
        <f t="shared" si="19"/>
        <v>2.9548110908066181</v>
      </c>
      <c r="L39" s="33">
        <f t="shared" si="20"/>
        <v>70</v>
      </c>
      <c r="M39" s="33">
        <f t="shared" si="21"/>
        <v>10</v>
      </c>
      <c r="N39" s="33">
        <f t="shared" si="0"/>
        <v>0</v>
      </c>
      <c r="O39" s="34">
        <f t="shared" si="1"/>
        <v>312.74387931648818</v>
      </c>
      <c r="P39" s="55">
        <v>34</v>
      </c>
      <c r="Q39" s="33">
        <f t="shared" si="15"/>
        <v>15.600000000000001</v>
      </c>
      <c r="R39" s="33">
        <f t="shared" si="22"/>
        <v>165.35999999999999</v>
      </c>
      <c r="S39" s="33">
        <f t="shared" si="23"/>
        <v>95.908799999999985</v>
      </c>
      <c r="T39" s="33">
        <f t="shared" si="2"/>
        <v>25.984968676228334</v>
      </c>
      <c r="U39" s="33">
        <f t="shared" si="16"/>
        <v>70</v>
      </c>
      <c r="V39" s="33">
        <f t="shared" si="3"/>
        <v>10</v>
      </c>
      <c r="W39" s="33">
        <v>0</v>
      </c>
      <c r="X39" s="33">
        <f t="shared" si="4"/>
        <v>505.63164711109766</v>
      </c>
      <c r="Y39" s="38">
        <f t="shared" si="5"/>
        <v>192.88776779460949</v>
      </c>
      <c r="AA39" s="71">
        <v>34</v>
      </c>
      <c r="AB39" s="33">
        <f t="shared" si="6"/>
        <v>0</v>
      </c>
      <c r="AC39" s="304">
        <f t="shared" si="39"/>
        <v>0</v>
      </c>
      <c r="AD39" s="100">
        <f t="shared" si="8"/>
        <v>0</v>
      </c>
      <c r="AE39" s="100">
        <f t="shared" si="9"/>
        <v>0</v>
      </c>
      <c r="AF39" s="193">
        <f t="shared" si="34"/>
        <v>0</v>
      </c>
      <c r="AG39" s="193">
        <f t="shared" si="35"/>
        <v>0</v>
      </c>
      <c r="AH39" s="193">
        <f t="shared" si="36"/>
        <v>0</v>
      </c>
      <c r="AI39" s="198">
        <f t="shared" si="37"/>
        <v>0</v>
      </c>
      <c r="AK39" s="71">
        <v>34</v>
      </c>
      <c r="AL39" s="33"/>
      <c r="AM39" s="33"/>
      <c r="AN39" s="33"/>
      <c r="AO39" s="33"/>
      <c r="AP39" s="33"/>
      <c r="AQ39" s="193"/>
      <c r="AR39" s="193"/>
      <c r="AS39" s="193"/>
      <c r="AT39" s="193"/>
      <c r="AU39" s="33"/>
      <c r="AV39" s="33"/>
      <c r="AW39" s="33"/>
      <c r="AX39" s="33"/>
      <c r="AY39" s="76"/>
    </row>
    <row r="40" spans="2:51">
      <c r="B40" s="40">
        <f t="shared" si="31"/>
        <v>55</v>
      </c>
      <c r="C40" s="151">
        <f t="shared" si="38"/>
        <v>56</v>
      </c>
      <c r="D40" s="136">
        <v>176</v>
      </c>
      <c r="E40" s="140">
        <f t="shared" si="29"/>
        <v>1.56</v>
      </c>
      <c r="F40" s="42">
        <f t="shared" si="30"/>
        <v>274.56</v>
      </c>
      <c r="G40" s="51">
        <f t="shared" si="33"/>
        <v>-32.759999999999991</v>
      </c>
      <c r="I40" s="55">
        <v>35</v>
      </c>
      <c r="J40" s="33">
        <f t="shared" si="18"/>
        <v>8.61</v>
      </c>
      <c r="K40" s="33">
        <f t="shared" si="19"/>
        <v>3.0883097283778902</v>
      </c>
      <c r="L40" s="33">
        <f t="shared" si="20"/>
        <v>70</v>
      </c>
      <c r="M40" s="33">
        <f t="shared" si="21"/>
        <v>10</v>
      </c>
      <c r="N40" s="33">
        <f t="shared" si="0"/>
        <v>0</v>
      </c>
      <c r="O40" s="34">
        <f t="shared" si="1"/>
        <v>313.70788944359145</v>
      </c>
      <c r="P40" s="55">
        <v>35</v>
      </c>
      <c r="Q40" s="33">
        <f t="shared" si="15"/>
        <v>15.600000000000001</v>
      </c>
      <c r="R40" s="33">
        <f t="shared" si="22"/>
        <v>180.95999999999998</v>
      </c>
      <c r="S40" s="33">
        <f t="shared" si="23"/>
        <v>104.95679999999999</v>
      </c>
      <c r="T40" s="33">
        <f t="shared" si="2"/>
        <v>28.139541339232373</v>
      </c>
      <c r="U40" s="33">
        <f t="shared" si="16"/>
        <v>70</v>
      </c>
      <c r="V40" s="33">
        <f t="shared" si="3"/>
        <v>10</v>
      </c>
      <c r="W40" s="33">
        <v>0</v>
      </c>
      <c r="X40" s="33">
        <f t="shared" si="4"/>
        <v>525.14279449916296</v>
      </c>
      <c r="Y40" s="38">
        <f t="shared" si="5"/>
        <v>211.43490505557151</v>
      </c>
      <c r="AA40" s="71">
        <v>35</v>
      </c>
      <c r="AB40" s="33">
        <f t="shared" si="6"/>
        <v>0</v>
      </c>
      <c r="AC40" s="304">
        <f t="shared" si="39"/>
        <v>0</v>
      </c>
      <c r="AD40" s="100">
        <f t="shared" si="8"/>
        <v>0</v>
      </c>
      <c r="AE40" s="100">
        <f t="shared" si="9"/>
        <v>0</v>
      </c>
      <c r="AF40" s="193">
        <f t="shared" si="34"/>
        <v>0</v>
      </c>
      <c r="AG40" s="193">
        <f t="shared" si="35"/>
        <v>0</v>
      </c>
      <c r="AH40" s="193">
        <f t="shared" si="36"/>
        <v>0</v>
      </c>
      <c r="AI40" s="198">
        <f t="shared" si="37"/>
        <v>0</v>
      </c>
      <c r="AK40" s="71">
        <v>35</v>
      </c>
      <c r="AL40" s="33"/>
      <c r="AM40" s="33"/>
      <c r="AN40" s="33"/>
      <c r="AO40" s="33"/>
      <c r="AP40" s="33"/>
      <c r="AQ40" s="193"/>
      <c r="AR40" s="193"/>
      <c r="AS40" s="193"/>
      <c r="AT40" s="193"/>
      <c r="AU40" s="33"/>
      <c r="AV40" s="33"/>
      <c r="AW40" s="33"/>
      <c r="AX40" s="33"/>
      <c r="AY40" s="76"/>
    </row>
    <row r="41" spans="2:51">
      <c r="B41" s="40">
        <f t="shared" si="31"/>
        <v>56</v>
      </c>
      <c r="C41" s="151">
        <f t="shared" si="38"/>
        <v>60</v>
      </c>
      <c r="D41" s="136">
        <f>D42+21</f>
        <v>214</v>
      </c>
      <c r="E41" s="140">
        <f t="shared" si="29"/>
        <v>1.56</v>
      </c>
      <c r="F41" s="42">
        <f t="shared" ref="F41:F52" si="40">D41*E41</f>
        <v>333.84000000000003</v>
      </c>
      <c r="G41" s="51">
        <f t="shared" ref="G41:G52" si="41">(F41-F40)/(C41-B41)</f>
        <v>14.820000000000007</v>
      </c>
      <c r="I41" s="55">
        <v>36</v>
      </c>
      <c r="J41" s="33">
        <f t="shared" si="18"/>
        <v>9.0299999999999994</v>
      </c>
      <c r="K41" s="33">
        <f t="shared" si="19"/>
        <v>3.2210521854900231</v>
      </c>
      <c r="L41" s="33">
        <f t="shared" si="20"/>
        <v>70</v>
      </c>
      <c r="M41" s="33">
        <f t="shared" si="21"/>
        <v>10</v>
      </c>
      <c r="N41" s="33">
        <f t="shared" si="0"/>
        <v>0</v>
      </c>
      <c r="O41" s="34">
        <f t="shared" si="1"/>
        <v>314.67058255639512</v>
      </c>
      <c r="P41" s="55">
        <v>36</v>
      </c>
      <c r="Q41" s="33">
        <f t="shared" si="15"/>
        <v>-32.759999999999991</v>
      </c>
      <c r="R41" s="33">
        <f t="shared" si="22"/>
        <v>148.19999999999999</v>
      </c>
      <c r="S41" s="33">
        <f t="shared" si="23"/>
        <v>85.955999999999989</v>
      </c>
      <c r="T41" s="33">
        <f t="shared" si="2"/>
        <v>23.587315314606048</v>
      </c>
      <c r="U41" s="33">
        <f t="shared" si="16"/>
        <v>70</v>
      </c>
      <c r="V41" s="33">
        <f t="shared" si="3"/>
        <v>10</v>
      </c>
      <c r="W41" s="33">
        <v>0</v>
      </c>
      <c r="X41" s="33">
        <f t="shared" si="4"/>
        <v>484.12127417293885</v>
      </c>
      <c r="Y41" s="38">
        <f t="shared" si="5"/>
        <v>169.45069161654374</v>
      </c>
      <c r="AA41" s="71">
        <v>36</v>
      </c>
      <c r="AB41" s="33">
        <f t="shared" si="6"/>
        <v>21</v>
      </c>
      <c r="AC41" s="304">
        <f t="shared" si="39"/>
        <v>0</v>
      </c>
      <c r="AD41" s="100">
        <f t="shared" si="8"/>
        <v>0</v>
      </c>
      <c r="AE41" s="100">
        <f t="shared" si="9"/>
        <v>0</v>
      </c>
      <c r="AF41" s="193">
        <f t="shared" si="34"/>
        <v>0</v>
      </c>
      <c r="AG41" s="193">
        <f t="shared" si="35"/>
        <v>0</v>
      </c>
      <c r="AH41" s="193">
        <f t="shared" si="36"/>
        <v>0</v>
      </c>
      <c r="AI41" s="198">
        <f t="shared" si="37"/>
        <v>0</v>
      </c>
      <c r="AK41" s="71">
        <v>36</v>
      </c>
      <c r="AL41" s="33"/>
      <c r="AM41" s="33"/>
      <c r="AN41" s="33"/>
      <c r="AO41" s="33"/>
      <c r="AP41" s="33"/>
      <c r="AQ41" s="193"/>
      <c r="AR41" s="193"/>
      <c r="AS41" s="193"/>
      <c r="AT41" s="193"/>
      <c r="AU41" s="33"/>
      <c r="AV41" s="33"/>
      <c r="AW41" s="33"/>
      <c r="AX41" s="33"/>
      <c r="AY41" s="76"/>
    </row>
    <row r="42" spans="2:51">
      <c r="B42" s="40">
        <f t="shared" si="31"/>
        <v>60</v>
      </c>
      <c r="C42" s="151">
        <f t="shared" si="38"/>
        <v>61</v>
      </c>
      <c r="D42" s="136">
        <v>193</v>
      </c>
      <c r="E42" s="140">
        <f t="shared" si="29"/>
        <v>1.56</v>
      </c>
      <c r="F42" s="42">
        <f t="shared" si="40"/>
        <v>301.08</v>
      </c>
      <c r="G42" s="51">
        <f t="shared" si="41"/>
        <v>-32.760000000000048</v>
      </c>
      <c r="I42" s="55">
        <v>37</v>
      </c>
      <c r="J42" s="33">
        <f t="shared" si="18"/>
        <v>9.4499999999999993</v>
      </c>
      <c r="K42" s="33">
        <f t="shared" si="19"/>
        <v>3.3530776500429536</v>
      </c>
      <c r="L42" s="33">
        <f t="shared" si="20"/>
        <v>70</v>
      </c>
      <c r="M42" s="33">
        <f t="shared" si="21"/>
        <v>10</v>
      </c>
      <c r="N42" s="33">
        <f t="shared" si="0"/>
        <v>0</v>
      </c>
      <c r="O42" s="34">
        <f t="shared" si="1"/>
        <v>315.63202690715815</v>
      </c>
      <c r="P42" s="55">
        <v>37</v>
      </c>
      <c r="Q42" s="33">
        <f t="shared" si="15"/>
        <v>16.379999999999995</v>
      </c>
      <c r="R42" s="33">
        <f t="shared" si="22"/>
        <v>164.57999999999998</v>
      </c>
      <c r="S42" s="33">
        <f t="shared" si="23"/>
        <v>95.456399999999988</v>
      </c>
      <c r="T42" s="33">
        <f t="shared" si="2"/>
        <v>25.876635503249059</v>
      </c>
      <c r="U42" s="33">
        <f t="shared" si="16"/>
        <v>70</v>
      </c>
      <c r="V42" s="33">
        <f t="shared" si="3"/>
        <v>10</v>
      </c>
      <c r="W42" s="33">
        <v>0</v>
      </c>
      <c r="X42" s="33">
        <f t="shared" si="4"/>
        <v>504.65503683482535</v>
      </c>
      <c r="Y42" s="38">
        <f t="shared" si="5"/>
        <v>189.0230099276672</v>
      </c>
      <c r="AA42" s="71">
        <v>37</v>
      </c>
      <c r="AB42" s="33">
        <f t="shared" si="6"/>
        <v>0</v>
      </c>
      <c r="AC42" s="304">
        <f t="shared" si="39"/>
        <v>0</v>
      </c>
      <c r="AD42" s="100">
        <f t="shared" si="8"/>
        <v>0</v>
      </c>
      <c r="AE42" s="100">
        <f t="shared" si="9"/>
        <v>0</v>
      </c>
      <c r="AF42" s="193">
        <f t="shared" si="34"/>
        <v>0</v>
      </c>
      <c r="AG42" s="193">
        <f t="shared" si="35"/>
        <v>0</v>
      </c>
      <c r="AH42" s="193">
        <f t="shared" si="36"/>
        <v>0</v>
      </c>
      <c r="AI42" s="198">
        <f t="shared" si="37"/>
        <v>0</v>
      </c>
      <c r="AK42" s="71">
        <v>37</v>
      </c>
      <c r="AL42" s="33"/>
      <c r="AM42" s="33"/>
      <c r="AN42" s="33"/>
      <c r="AO42" s="33"/>
      <c r="AP42" s="33"/>
      <c r="AQ42" s="193"/>
      <c r="AR42" s="193"/>
      <c r="AS42" s="193"/>
      <c r="AT42" s="193"/>
      <c r="AU42" s="33"/>
      <c r="AV42" s="33"/>
      <c r="AW42" s="33"/>
      <c r="AX42" s="33"/>
      <c r="AY42" s="76"/>
    </row>
    <row r="43" spans="2:51">
      <c r="B43" s="40">
        <f t="shared" si="31"/>
        <v>61</v>
      </c>
      <c r="C43" s="151">
        <f t="shared" si="38"/>
        <v>65</v>
      </c>
      <c r="D43" s="136">
        <f>D44+21</f>
        <v>229</v>
      </c>
      <c r="E43" s="140">
        <f t="shared" si="29"/>
        <v>1.56</v>
      </c>
      <c r="F43" s="42">
        <f t="shared" si="40"/>
        <v>357.24</v>
      </c>
      <c r="G43" s="51">
        <f t="shared" si="41"/>
        <v>14.040000000000006</v>
      </c>
      <c r="I43" s="55">
        <v>38</v>
      </c>
      <c r="J43" s="33">
        <f t="shared" si="18"/>
        <v>9.8699999999999992</v>
      </c>
      <c r="K43" s="33">
        <f t="shared" si="19"/>
        <v>3.4844216296255963</v>
      </c>
      <c r="L43" s="33">
        <f t="shared" si="20"/>
        <v>70</v>
      </c>
      <c r="M43" s="33">
        <f t="shared" si="21"/>
        <v>10</v>
      </c>
      <c r="N43" s="33">
        <f t="shared" si="0"/>
        <v>0</v>
      </c>
      <c r="O43" s="34">
        <f t="shared" si="1"/>
        <v>316.59228433826456</v>
      </c>
      <c r="P43" s="55">
        <v>38</v>
      </c>
      <c r="Q43" s="33">
        <f t="shared" si="15"/>
        <v>16.379999999999995</v>
      </c>
      <c r="R43" s="33">
        <f t="shared" si="22"/>
        <v>180.95999999999998</v>
      </c>
      <c r="S43" s="33">
        <f t="shared" si="23"/>
        <v>104.95679999999999</v>
      </c>
      <c r="T43" s="33">
        <f t="shared" si="2"/>
        <v>28.139541339232373</v>
      </c>
      <c r="U43" s="33">
        <f t="shared" si="16"/>
        <v>70</v>
      </c>
      <c r="V43" s="33">
        <f t="shared" si="3"/>
        <v>10</v>
      </c>
      <c r="W43" s="33">
        <v>0</v>
      </c>
      <c r="X43" s="33">
        <f t="shared" si="4"/>
        <v>525.14279449916296</v>
      </c>
      <c r="Y43" s="38">
        <f t="shared" si="5"/>
        <v>208.5505101608984</v>
      </c>
      <c r="AA43" s="71">
        <v>38</v>
      </c>
      <c r="AB43" s="33">
        <f t="shared" si="6"/>
        <v>0</v>
      </c>
      <c r="AC43" s="304">
        <f t="shared" si="39"/>
        <v>0</v>
      </c>
      <c r="AD43" s="100">
        <f t="shared" si="8"/>
        <v>0</v>
      </c>
      <c r="AE43" s="100">
        <f t="shared" si="9"/>
        <v>0</v>
      </c>
      <c r="AF43" s="193">
        <f t="shared" si="34"/>
        <v>0</v>
      </c>
      <c r="AG43" s="193">
        <f t="shared" si="35"/>
        <v>0</v>
      </c>
      <c r="AH43" s="193">
        <f t="shared" si="36"/>
        <v>0</v>
      </c>
      <c r="AI43" s="198">
        <f t="shared" si="37"/>
        <v>0</v>
      </c>
      <c r="AK43" s="71">
        <v>38</v>
      </c>
      <c r="AL43" s="33"/>
      <c r="AM43" s="33"/>
      <c r="AN43" s="33"/>
      <c r="AO43" s="33"/>
      <c r="AP43" s="33"/>
      <c r="AQ43" s="193"/>
      <c r="AR43" s="193"/>
      <c r="AS43" s="193"/>
      <c r="AT43" s="193"/>
      <c r="AU43" s="33"/>
      <c r="AV43" s="33"/>
      <c r="AW43" s="33"/>
      <c r="AX43" s="33"/>
      <c r="AY43" s="76"/>
    </row>
    <row r="44" spans="2:51">
      <c r="B44" s="40">
        <f t="shared" si="31"/>
        <v>65</v>
      </c>
      <c r="C44" s="151">
        <f t="shared" si="38"/>
        <v>66</v>
      </c>
      <c r="D44" s="136">
        <v>208</v>
      </c>
      <c r="E44" s="140">
        <f t="shared" si="29"/>
        <v>1.56</v>
      </c>
      <c r="F44" s="42">
        <f t="shared" si="40"/>
        <v>324.48</v>
      </c>
      <c r="G44" s="51">
        <f t="shared" si="41"/>
        <v>-32.759999999999991</v>
      </c>
      <c r="I44" s="55">
        <v>39</v>
      </c>
      <c r="J44" s="33">
        <f t="shared" si="18"/>
        <v>10.29</v>
      </c>
      <c r="K44" s="33">
        <f t="shared" si="19"/>
        <v>3.615116438976083</v>
      </c>
      <c r="L44" s="33">
        <f t="shared" si="20"/>
        <v>70</v>
      </c>
      <c r="M44" s="33">
        <f t="shared" si="21"/>
        <v>10</v>
      </c>
      <c r="N44" s="33">
        <f t="shared" si="0"/>
        <v>0</v>
      </c>
      <c r="O44" s="34">
        <f t="shared" si="1"/>
        <v>317.5514111312167</v>
      </c>
      <c r="P44" s="55">
        <v>39</v>
      </c>
      <c r="Q44" s="33">
        <f t="shared" si="15"/>
        <v>16.379999999999995</v>
      </c>
      <c r="R44" s="33">
        <f t="shared" si="22"/>
        <v>197.33999999999997</v>
      </c>
      <c r="S44" s="33">
        <f t="shared" si="23"/>
        <v>114.45719999999997</v>
      </c>
      <c r="T44" s="33">
        <f t="shared" si="2"/>
        <v>30.378695686262596</v>
      </c>
      <c r="U44" s="33">
        <f t="shared" si="16"/>
        <v>70</v>
      </c>
      <c r="V44" s="33">
        <f t="shared" si="3"/>
        <v>10</v>
      </c>
      <c r="W44" s="33">
        <v>0</v>
      </c>
      <c r="X44" s="33">
        <f t="shared" si="4"/>
        <v>545.5891849869073</v>
      </c>
      <c r="Y44" s="38">
        <f t="shared" si="5"/>
        <v>228.0377738556906</v>
      </c>
      <c r="AA44" s="71">
        <v>39</v>
      </c>
      <c r="AB44" s="33">
        <f t="shared" si="6"/>
        <v>0</v>
      </c>
      <c r="AC44" s="304">
        <f t="shared" si="39"/>
        <v>0</v>
      </c>
      <c r="AD44" s="100">
        <f t="shared" si="8"/>
        <v>0</v>
      </c>
      <c r="AE44" s="100">
        <f t="shared" si="9"/>
        <v>0</v>
      </c>
      <c r="AF44" s="193">
        <f t="shared" si="34"/>
        <v>0</v>
      </c>
      <c r="AG44" s="193">
        <f t="shared" si="35"/>
        <v>0</v>
      </c>
      <c r="AH44" s="193">
        <f t="shared" si="36"/>
        <v>0</v>
      </c>
      <c r="AI44" s="198">
        <f t="shared" si="37"/>
        <v>0</v>
      </c>
      <c r="AK44" s="71">
        <v>39</v>
      </c>
      <c r="AL44" s="33"/>
      <c r="AM44" s="33"/>
      <c r="AN44" s="33"/>
      <c r="AO44" s="33"/>
      <c r="AP44" s="33"/>
      <c r="AQ44" s="193"/>
      <c r="AR44" s="193"/>
      <c r="AS44" s="193"/>
      <c r="AT44" s="193"/>
      <c r="AU44" s="33"/>
      <c r="AV44" s="33"/>
      <c r="AW44" s="33"/>
      <c r="AX44" s="33"/>
      <c r="AY44" s="76"/>
    </row>
    <row r="45" spans="2:51">
      <c r="B45" s="40">
        <f t="shared" si="31"/>
        <v>66</v>
      </c>
      <c r="C45" s="151">
        <f t="shared" si="38"/>
        <v>70</v>
      </c>
      <c r="D45" s="136">
        <f>D46+21</f>
        <v>242</v>
      </c>
      <c r="E45" s="140">
        <f t="shared" si="29"/>
        <v>1.56</v>
      </c>
      <c r="F45" s="42">
        <f t="shared" si="40"/>
        <v>377.52000000000004</v>
      </c>
      <c r="G45" s="51">
        <f t="shared" si="41"/>
        <v>13.260000000000005</v>
      </c>
      <c r="I45" s="55">
        <v>40</v>
      </c>
      <c r="J45" s="33">
        <f t="shared" si="18"/>
        <v>10.709999999999999</v>
      </c>
      <c r="K45" s="33">
        <f t="shared" si="19"/>
        <v>3.7451916056153398</v>
      </c>
      <c r="L45" s="33">
        <f t="shared" si="20"/>
        <v>70</v>
      </c>
      <c r="M45" s="33">
        <f t="shared" si="21"/>
        <v>10</v>
      </c>
      <c r="N45" s="33">
        <f t="shared" si="0"/>
        <v>0</v>
      </c>
      <c r="O45" s="34">
        <f t="shared" si="1"/>
        <v>318.50945871311336</v>
      </c>
      <c r="P45" s="55">
        <v>40</v>
      </c>
      <c r="Q45" s="33">
        <f t="shared" si="15"/>
        <v>16.379999999999995</v>
      </c>
      <c r="R45" s="33">
        <f t="shared" si="22"/>
        <v>213.71999999999997</v>
      </c>
      <c r="S45" s="33">
        <f t="shared" si="23"/>
        <v>123.95759999999997</v>
      </c>
      <c r="T45" s="33">
        <f t="shared" si="2"/>
        <v>32.59629414926458</v>
      </c>
      <c r="U45" s="33">
        <f t="shared" si="16"/>
        <v>70</v>
      </c>
      <c r="V45" s="33">
        <f t="shared" si="3"/>
        <v>10</v>
      </c>
      <c r="W45" s="33">
        <v>0</v>
      </c>
      <c r="X45" s="33">
        <f t="shared" si="4"/>
        <v>565.99803230996906</v>
      </c>
      <c r="Y45" s="38">
        <f t="shared" si="5"/>
        <v>247.4885735968557</v>
      </c>
      <c r="AA45" s="71">
        <v>40</v>
      </c>
      <c r="AB45" s="33">
        <f t="shared" si="6"/>
        <v>0</v>
      </c>
      <c r="AC45" s="304">
        <f t="shared" si="39"/>
        <v>0</v>
      </c>
      <c r="AD45" s="100">
        <f t="shared" si="8"/>
        <v>0</v>
      </c>
      <c r="AE45" s="100">
        <f t="shared" si="9"/>
        <v>0</v>
      </c>
      <c r="AF45" s="193">
        <f t="shared" si="34"/>
        <v>0</v>
      </c>
      <c r="AG45" s="193">
        <f t="shared" si="35"/>
        <v>0</v>
      </c>
      <c r="AH45" s="193">
        <f t="shared" si="36"/>
        <v>0</v>
      </c>
      <c r="AI45" s="198">
        <f t="shared" si="37"/>
        <v>0</v>
      </c>
      <c r="AK45" s="71">
        <v>40</v>
      </c>
      <c r="AL45" s="33"/>
      <c r="AM45" s="33"/>
      <c r="AN45" s="33"/>
      <c r="AO45" s="33"/>
      <c r="AP45" s="33"/>
      <c r="AQ45" s="193"/>
      <c r="AR45" s="193"/>
      <c r="AS45" s="193"/>
      <c r="AT45" s="193"/>
      <c r="AU45" s="33"/>
      <c r="AV45" s="33"/>
      <c r="AW45" s="33"/>
      <c r="AX45" s="33"/>
      <c r="AY45" s="76"/>
    </row>
    <row r="46" spans="2:51">
      <c r="B46" s="40">
        <f t="shared" si="31"/>
        <v>70</v>
      </c>
      <c r="C46" s="151">
        <f t="shared" si="38"/>
        <v>71</v>
      </c>
      <c r="D46" s="136">
        <v>221</v>
      </c>
      <c r="E46" s="140">
        <f t="shared" si="29"/>
        <v>1.56</v>
      </c>
      <c r="F46" s="42">
        <f t="shared" si="40"/>
        <v>344.76</v>
      </c>
      <c r="G46" s="51">
        <f t="shared" si="41"/>
        <v>-32.760000000000048</v>
      </c>
      <c r="I46" s="55">
        <v>41</v>
      </c>
      <c r="J46" s="33">
        <f t="shared" si="18"/>
        <v>11.129999999999999</v>
      </c>
      <c r="K46" s="33">
        <f t="shared" si="19"/>
        <v>3.8746742100615323</v>
      </c>
      <c r="L46" s="33">
        <f t="shared" si="20"/>
        <v>70</v>
      </c>
      <c r="M46" s="33">
        <f t="shared" si="21"/>
        <v>10</v>
      </c>
      <c r="N46" s="33">
        <f t="shared" si="0"/>
        <v>0</v>
      </c>
      <c r="O46" s="34">
        <f t="shared" si="1"/>
        <v>319.46647424919053</v>
      </c>
      <c r="P46" s="55">
        <v>41</v>
      </c>
      <c r="Q46" s="33">
        <f t="shared" si="15"/>
        <v>-32.759999999999991</v>
      </c>
      <c r="R46" s="33">
        <f t="shared" si="22"/>
        <v>180.95999999999998</v>
      </c>
      <c r="S46" s="33">
        <f t="shared" si="23"/>
        <v>104.95679999999999</v>
      </c>
      <c r="T46" s="33">
        <f t="shared" si="2"/>
        <v>28.139541339232373</v>
      </c>
      <c r="U46" s="33">
        <f t="shared" si="16"/>
        <v>70</v>
      </c>
      <c r="V46" s="33">
        <f t="shared" si="3"/>
        <v>10</v>
      </c>
      <c r="W46" s="33">
        <v>0</v>
      </c>
      <c r="X46" s="33">
        <f t="shared" si="4"/>
        <v>525.14279449916296</v>
      </c>
      <c r="Y46" s="38">
        <f t="shared" si="5"/>
        <v>205.67632024997243</v>
      </c>
      <c r="AA46" s="71">
        <v>41</v>
      </c>
      <c r="AB46" s="33">
        <f t="shared" si="6"/>
        <v>21</v>
      </c>
      <c r="AC46" s="304">
        <f t="shared" si="39"/>
        <v>0</v>
      </c>
      <c r="AD46" s="100">
        <f t="shared" si="8"/>
        <v>0</v>
      </c>
      <c r="AE46" s="100">
        <f t="shared" si="9"/>
        <v>0</v>
      </c>
      <c r="AF46" s="193">
        <f t="shared" si="34"/>
        <v>0</v>
      </c>
      <c r="AG46" s="193">
        <f t="shared" si="35"/>
        <v>0</v>
      </c>
      <c r="AH46" s="193">
        <f t="shared" si="36"/>
        <v>0</v>
      </c>
      <c r="AI46" s="198">
        <f t="shared" si="37"/>
        <v>0</v>
      </c>
      <c r="AK46" s="71">
        <v>41</v>
      </c>
      <c r="AL46" s="33"/>
      <c r="AM46" s="33"/>
      <c r="AN46" s="33"/>
      <c r="AO46" s="33"/>
      <c r="AP46" s="33"/>
      <c r="AQ46" s="193"/>
      <c r="AR46" s="193"/>
      <c r="AS46" s="193"/>
      <c r="AT46" s="193"/>
      <c r="AU46" s="33"/>
      <c r="AV46" s="33"/>
      <c r="AW46" s="33"/>
      <c r="AX46" s="33"/>
      <c r="AY46" s="76"/>
    </row>
    <row r="47" spans="2:51">
      <c r="B47" s="40">
        <f t="shared" si="31"/>
        <v>71</v>
      </c>
      <c r="C47" s="151">
        <f t="shared" si="38"/>
        <v>75</v>
      </c>
      <c r="D47" s="136">
        <f>D48+21</f>
        <v>252</v>
      </c>
      <c r="E47" s="140">
        <f t="shared" si="29"/>
        <v>1.56</v>
      </c>
      <c r="F47" s="42">
        <f t="shared" si="40"/>
        <v>393.12</v>
      </c>
      <c r="G47" s="51">
        <f t="shared" si="41"/>
        <v>12.090000000000003</v>
      </c>
      <c r="I47" s="55">
        <v>42</v>
      </c>
      <c r="J47" s="33">
        <f t="shared" si="18"/>
        <v>11.549999999999999</v>
      </c>
      <c r="K47" s="33">
        <f t="shared" si="19"/>
        <v>4.0035891732474047</v>
      </c>
      <c r="L47" s="33">
        <f t="shared" si="20"/>
        <v>70</v>
      </c>
      <c r="M47" s="33">
        <f t="shared" si="21"/>
        <v>10</v>
      </c>
      <c r="N47" s="33">
        <f t="shared" si="0"/>
        <v>0</v>
      </c>
      <c r="O47" s="34">
        <f t="shared" si="1"/>
        <v>320.4225011434059</v>
      </c>
      <c r="P47" s="55">
        <v>42</v>
      </c>
      <c r="Q47" s="33">
        <f t="shared" si="15"/>
        <v>16.380000000000003</v>
      </c>
      <c r="R47" s="33">
        <f t="shared" si="22"/>
        <v>197.33999999999997</v>
      </c>
      <c r="S47" s="33">
        <f t="shared" si="23"/>
        <v>114.45719999999997</v>
      </c>
      <c r="T47" s="33">
        <f t="shared" si="2"/>
        <v>30.378695686262596</v>
      </c>
      <c r="U47" s="33">
        <f t="shared" si="16"/>
        <v>70</v>
      </c>
      <c r="V47" s="33">
        <f t="shared" si="3"/>
        <v>10</v>
      </c>
      <c r="W47" s="33">
        <v>0</v>
      </c>
      <c r="X47" s="33">
        <f t="shared" si="4"/>
        <v>545.5891849869073</v>
      </c>
      <c r="Y47" s="38">
        <f t="shared" si="5"/>
        <v>225.1666838435014</v>
      </c>
      <c r="AA47" s="71">
        <v>42</v>
      </c>
      <c r="AB47" s="33">
        <f t="shared" si="6"/>
        <v>0</v>
      </c>
      <c r="AC47" s="304">
        <f t="shared" si="39"/>
        <v>0</v>
      </c>
      <c r="AD47" s="100">
        <f t="shared" si="8"/>
        <v>0</v>
      </c>
      <c r="AE47" s="100">
        <f t="shared" si="9"/>
        <v>0</v>
      </c>
      <c r="AF47" s="193">
        <f t="shared" si="34"/>
        <v>0</v>
      </c>
      <c r="AG47" s="193">
        <f t="shared" si="35"/>
        <v>0</v>
      </c>
      <c r="AH47" s="193">
        <f t="shared" si="36"/>
        <v>0</v>
      </c>
      <c r="AI47" s="198">
        <f t="shared" si="37"/>
        <v>0</v>
      </c>
      <c r="AK47" s="71">
        <v>42</v>
      </c>
      <c r="AL47" s="33"/>
      <c r="AM47" s="33"/>
      <c r="AN47" s="33"/>
      <c r="AO47" s="33"/>
      <c r="AP47" s="33"/>
      <c r="AQ47" s="193"/>
      <c r="AR47" s="193"/>
      <c r="AS47" s="193"/>
      <c r="AT47" s="193"/>
      <c r="AU47" s="33"/>
      <c r="AV47" s="33"/>
      <c r="AW47" s="33"/>
      <c r="AX47" s="33"/>
      <c r="AY47" s="76"/>
    </row>
    <row r="48" spans="2:51">
      <c r="B48" s="40">
        <f t="shared" si="31"/>
        <v>75</v>
      </c>
      <c r="C48" s="151">
        <f t="shared" si="38"/>
        <v>76</v>
      </c>
      <c r="D48" s="136">
        <v>231</v>
      </c>
      <c r="E48" s="140">
        <f t="shared" si="29"/>
        <v>1.56</v>
      </c>
      <c r="F48" s="42">
        <f t="shared" si="40"/>
        <v>360.36</v>
      </c>
      <c r="G48" s="51">
        <f t="shared" si="41"/>
        <v>-32.759999999999991</v>
      </c>
      <c r="I48" s="55">
        <v>43</v>
      </c>
      <c r="J48" s="33">
        <f t="shared" si="18"/>
        <v>11.969999999999999</v>
      </c>
      <c r="K48" s="33">
        <f t="shared" si="19"/>
        <v>4.1319595009564551</v>
      </c>
      <c r="L48" s="33">
        <f t="shared" si="20"/>
        <v>70</v>
      </c>
      <c r="M48" s="33">
        <f t="shared" si="21"/>
        <v>10</v>
      </c>
      <c r="N48" s="33">
        <f t="shared" si="0"/>
        <v>0</v>
      </c>
      <c r="O48" s="34">
        <f t="shared" si="1"/>
        <v>321.37757946416582</v>
      </c>
      <c r="P48" s="55">
        <v>43</v>
      </c>
      <c r="Q48" s="33">
        <f t="shared" si="15"/>
        <v>16.380000000000003</v>
      </c>
      <c r="R48" s="33">
        <f t="shared" si="22"/>
        <v>213.71999999999997</v>
      </c>
      <c r="S48" s="33">
        <f t="shared" si="23"/>
        <v>123.95759999999997</v>
      </c>
      <c r="T48" s="33">
        <f t="shared" si="2"/>
        <v>32.59629414926458</v>
      </c>
      <c r="U48" s="33">
        <f t="shared" si="16"/>
        <v>70</v>
      </c>
      <c r="V48" s="33">
        <f t="shared" si="3"/>
        <v>10</v>
      </c>
      <c r="W48" s="33">
        <v>0</v>
      </c>
      <c r="X48" s="33">
        <f t="shared" si="4"/>
        <v>565.99803230996906</v>
      </c>
      <c r="Y48" s="38">
        <f t="shared" si="5"/>
        <v>244.62045284580324</v>
      </c>
      <c r="AA48" s="71">
        <v>43</v>
      </c>
      <c r="AB48" s="33">
        <f t="shared" si="6"/>
        <v>0</v>
      </c>
      <c r="AC48" s="304">
        <f t="shared" si="39"/>
        <v>0</v>
      </c>
      <c r="AD48" s="100">
        <f t="shared" si="8"/>
        <v>0</v>
      </c>
      <c r="AE48" s="100">
        <f t="shared" si="9"/>
        <v>0</v>
      </c>
      <c r="AF48" s="193">
        <f t="shared" si="34"/>
        <v>0</v>
      </c>
      <c r="AG48" s="193">
        <f t="shared" si="35"/>
        <v>0</v>
      </c>
      <c r="AH48" s="193">
        <f t="shared" si="36"/>
        <v>0</v>
      </c>
      <c r="AI48" s="198">
        <f t="shared" si="37"/>
        <v>0</v>
      </c>
      <c r="AK48" s="71">
        <v>43</v>
      </c>
      <c r="AL48" s="33"/>
      <c r="AM48" s="33"/>
      <c r="AN48" s="33"/>
      <c r="AO48" s="33"/>
      <c r="AP48" s="33"/>
      <c r="AQ48" s="193"/>
      <c r="AR48" s="193"/>
      <c r="AS48" s="193"/>
      <c r="AT48" s="193"/>
      <c r="AU48" s="33"/>
      <c r="AV48" s="33"/>
      <c r="AW48" s="33"/>
      <c r="AX48" s="33"/>
      <c r="AY48" s="76"/>
    </row>
    <row r="49" spans="2:51">
      <c r="B49" s="40">
        <f t="shared" si="31"/>
        <v>76</v>
      </c>
      <c r="C49" s="151">
        <f t="shared" si="38"/>
        <v>80</v>
      </c>
      <c r="D49" s="136">
        <f>D50+21</f>
        <v>261</v>
      </c>
      <c r="E49" s="140">
        <f t="shared" si="29"/>
        <v>1.56</v>
      </c>
      <c r="F49" s="42">
        <f t="shared" si="40"/>
        <v>407.16</v>
      </c>
      <c r="G49" s="51">
        <f t="shared" si="41"/>
        <v>11.700000000000003</v>
      </c>
      <c r="I49" s="55">
        <v>44</v>
      </c>
      <c r="J49" s="33">
        <f t="shared" si="18"/>
        <v>12.389999999999999</v>
      </c>
      <c r="K49" s="33">
        <f t="shared" si="19"/>
        <v>4.259806492988357</v>
      </c>
      <c r="L49" s="33">
        <f t="shared" si="20"/>
        <v>70</v>
      </c>
      <c r="M49" s="33">
        <f t="shared" si="21"/>
        <v>10</v>
      </c>
      <c r="N49" s="33">
        <f t="shared" si="0"/>
        <v>0</v>
      </c>
      <c r="O49" s="34">
        <f t="shared" si="1"/>
        <v>322.3317463086214</v>
      </c>
      <c r="P49" s="55">
        <v>44</v>
      </c>
      <c r="Q49" s="33">
        <f t="shared" si="15"/>
        <v>16.380000000000003</v>
      </c>
      <c r="R49" s="33">
        <f t="shared" si="22"/>
        <v>230.09999999999997</v>
      </c>
      <c r="S49" s="33">
        <f t="shared" si="23"/>
        <v>133.45799999999997</v>
      </c>
      <c r="T49" s="33">
        <f t="shared" si="2"/>
        <v>34.794176665003405</v>
      </c>
      <c r="U49" s="33">
        <f t="shared" si="16"/>
        <v>70</v>
      </c>
      <c r="V49" s="33">
        <f t="shared" si="3"/>
        <v>10</v>
      </c>
      <c r="W49" s="33">
        <v>0</v>
      </c>
      <c r="X49" s="33">
        <f t="shared" si="4"/>
        <v>586.37254102488089</v>
      </c>
      <c r="Y49" s="38">
        <f t="shared" si="5"/>
        <v>264.04079471625948</v>
      </c>
      <c r="AA49" s="71">
        <v>44</v>
      </c>
      <c r="AB49" s="33">
        <f t="shared" si="6"/>
        <v>0</v>
      </c>
      <c r="AC49" s="304">
        <f t="shared" si="39"/>
        <v>0</v>
      </c>
      <c r="AD49" s="100">
        <f t="shared" si="8"/>
        <v>0</v>
      </c>
      <c r="AE49" s="100">
        <f t="shared" si="9"/>
        <v>0</v>
      </c>
      <c r="AF49" s="193">
        <f t="shared" si="34"/>
        <v>0</v>
      </c>
      <c r="AG49" s="193">
        <f t="shared" si="35"/>
        <v>0</v>
      </c>
      <c r="AH49" s="193">
        <f t="shared" si="36"/>
        <v>0</v>
      </c>
      <c r="AI49" s="198">
        <f t="shared" si="37"/>
        <v>0</v>
      </c>
      <c r="AK49" s="71">
        <v>44</v>
      </c>
      <c r="AL49" s="33"/>
      <c r="AM49" s="33"/>
      <c r="AN49" s="33"/>
      <c r="AO49" s="33"/>
      <c r="AP49" s="33"/>
      <c r="AQ49" s="193"/>
      <c r="AR49" s="193"/>
      <c r="AS49" s="193"/>
      <c r="AT49" s="193"/>
      <c r="AU49" s="33"/>
      <c r="AV49" s="33"/>
      <c r="AW49" s="33"/>
      <c r="AX49" s="33"/>
      <c r="AY49" s="76"/>
    </row>
    <row r="50" spans="2:51">
      <c r="B50" s="40">
        <f t="shared" si="31"/>
        <v>80</v>
      </c>
      <c r="C50" s="151">
        <f t="shared" si="38"/>
        <v>81</v>
      </c>
      <c r="D50" s="136">
        <v>240</v>
      </c>
      <c r="E50" s="140">
        <f t="shared" si="29"/>
        <v>1.56</v>
      </c>
      <c r="F50" s="42">
        <f t="shared" si="40"/>
        <v>374.40000000000003</v>
      </c>
      <c r="G50" s="51">
        <f t="shared" si="41"/>
        <v>-32.759999999999991</v>
      </c>
      <c r="I50" s="55">
        <v>45</v>
      </c>
      <c r="J50" s="33">
        <f t="shared" si="18"/>
        <v>12.809999999999999</v>
      </c>
      <c r="K50" s="33">
        <f t="shared" si="19"/>
        <v>4.387149923166203</v>
      </c>
      <c r="L50" s="33">
        <f t="shared" si="20"/>
        <v>70</v>
      </c>
      <c r="M50" s="33">
        <f t="shared" si="21"/>
        <v>10</v>
      </c>
      <c r="N50" s="33">
        <f t="shared" si="0"/>
        <v>0</v>
      </c>
      <c r="O50" s="34">
        <f t="shared" si="1"/>
        <v>323.28503611618117</v>
      </c>
      <c r="P50" s="55">
        <v>45</v>
      </c>
      <c r="Q50" s="33">
        <f t="shared" si="15"/>
        <v>16.380000000000003</v>
      </c>
      <c r="R50" s="33">
        <f t="shared" si="22"/>
        <v>246.47999999999996</v>
      </c>
      <c r="S50" s="33">
        <f t="shared" si="23"/>
        <v>142.95839999999995</v>
      </c>
      <c r="T50" s="33">
        <f t="shared" si="2"/>
        <v>36.973906370811264</v>
      </c>
      <c r="U50" s="33">
        <f t="shared" si="16"/>
        <v>70</v>
      </c>
      <c r="V50" s="33">
        <f t="shared" si="3"/>
        <v>10</v>
      </c>
      <c r="W50" s="33">
        <v>0</v>
      </c>
      <c r="X50" s="33">
        <f t="shared" si="4"/>
        <v>606.7154335958295</v>
      </c>
      <c r="Y50" s="38">
        <f t="shared" si="5"/>
        <v>283.43039747964832</v>
      </c>
      <c r="AA50" s="71">
        <v>45</v>
      </c>
      <c r="AB50" s="33">
        <f t="shared" si="6"/>
        <v>0</v>
      </c>
      <c r="AC50" s="304">
        <f t="shared" si="39"/>
        <v>0</v>
      </c>
      <c r="AD50" s="100">
        <f t="shared" si="8"/>
        <v>0</v>
      </c>
      <c r="AE50" s="100">
        <f t="shared" si="9"/>
        <v>0</v>
      </c>
      <c r="AF50" s="193">
        <f t="shared" si="34"/>
        <v>0</v>
      </c>
      <c r="AG50" s="193">
        <f t="shared" si="35"/>
        <v>0</v>
      </c>
      <c r="AH50" s="193">
        <f t="shared" si="36"/>
        <v>0</v>
      </c>
      <c r="AI50" s="198">
        <f t="shared" si="37"/>
        <v>0</v>
      </c>
      <c r="AK50" s="71">
        <v>45</v>
      </c>
      <c r="AL50" s="33"/>
      <c r="AM50" s="33"/>
      <c r="AN50" s="33"/>
      <c r="AO50" s="33"/>
      <c r="AP50" s="33"/>
      <c r="AQ50" s="193"/>
      <c r="AR50" s="193"/>
      <c r="AS50" s="193"/>
      <c r="AT50" s="193"/>
      <c r="AU50" s="33"/>
      <c r="AV50" s="33"/>
      <c r="AW50" s="33"/>
      <c r="AX50" s="33"/>
      <c r="AY50" s="76"/>
    </row>
    <row r="51" spans="2:51">
      <c r="B51" s="40">
        <f t="shared" si="31"/>
        <v>81</v>
      </c>
      <c r="C51" s="151">
        <f t="shared" si="38"/>
        <v>85</v>
      </c>
      <c r="D51" s="136">
        <f>D52+21</f>
        <v>269</v>
      </c>
      <c r="E51" s="140">
        <f t="shared" si="29"/>
        <v>1.56</v>
      </c>
      <c r="F51" s="42">
        <f t="shared" si="40"/>
        <v>419.64</v>
      </c>
      <c r="G51" s="51">
        <f t="shared" si="41"/>
        <v>11.309999999999988</v>
      </c>
      <c r="I51" s="55">
        <v>46</v>
      </c>
      <c r="J51" s="33">
        <f t="shared" si="18"/>
        <v>13.229999999999999</v>
      </c>
      <c r="K51" s="33">
        <f t="shared" si="19"/>
        <v>4.5140081950731146</v>
      </c>
      <c r="L51" s="33">
        <f t="shared" si="20"/>
        <v>70</v>
      </c>
      <c r="M51" s="33">
        <f t="shared" si="21"/>
        <v>10</v>
      </c>
      <c r="N51" s="33">
        <f t="shared" si="0"/>
        <v>0</v>
      </c>
      <c r="O51" s="34">
        <f t="shared" si="1"/>
        <v>324.23748093975234</v>
      </c>
      <c r="P51" s="55">
        <v>46</v>
      </c>
      <c r="Q51" s="33">
        <f t="shared" si="15"/>
        <v>-32.760000000000019</v>
      </c>
      <c r="R51" s="33">
        <f t="shared" si="22"/>
        <v>213.71999999999994</v>
      </c>
      <c r="S51" s="33">
        <f t="shared" si="23"/>
        <v>123.95759999999996</v>
      </c>
      <c r="T51" s="33">
        <f t="shared" si="2"/>
        <v>32.59629414926458</v>
      </c>
      <c r="U51" s="33">
        <f t="shared" si="16"/>
        <v>70</v>
      </c>
      <c r="V51" s="33">
        <f t="shared" si="3"/>
        <v>10</v>
      </c>
      <c r="W51" s="33">
        <v>0</v>
      </c>
      <c r="X51" s="33">
        <f t="shared" si="4"/>
        <v>565.99803230996906</v>
      </c>
      <c r="Y51" s="38">
        <f t="shared" si="5"/>
        <v>241.76055137021672</v>
      </c>
      <c r="AA51" s="71">
        <v>46</v>
      </c>
      <c r="AB51" s="33">
        <f t="shared" si="6"/>
        <v>21</v>
      </c>
      <c r="AC51" s="304">
        <f t="shared" si="39"/>
        <v>0.1</v>
      </c>
      <c r="AD51" s="100">
        <f t="shared" si="8"/>
        <v>0</v>
      </c>
      <c r="AE51" s="100">
        <f t="shared" si="9"/>
        <v>0</v>
      </c>
      <c r="AF51" s="193">
        <f t="shared" si="34"/>
        <v>2.1004821587429676</v>
      </c>
      <c r="AG51" s="193">
        <f t="shared" si="35"/>
        <v>0</v>
      </c>
      <c r="AH51" s="193">
        <f t="shared" si="36"/>
        <v>0</v>
      </c>
      <c r="AI51" s="198">
        <f t="shared" si="37"/>
        <v>2.1004821587429676</v>
      </c>
      <c r="AK51" s="71">
        <v>46</v>
      </c>
      <c r="AL51" s="33"/>
      <c r="AM51" s="33"/>
      <c r="AN51" s="33"/>
      <c r="AO51" s="33"/>
      <c r="AP51" s="33"/>
      <c r="AQ51" s="193"/>
      <c r="AR51" s="193"/>
      <c r="AS51" s="193"/>
      <c r="AT51" s="193"/>
      <c r="AU51" s="33"/>
      <c r="AV51" s="33"/>
      <c r="AW51" s="33"/>
      <c r="AX51" s="33"/>
      <c r="AY51" s="76"/>
    </row>
    <row r="52" spans="2:51">
      <c r="B52" s="40">
        <f t="shared" si="31"/>
        <v>85</v>
      </c>
      <c r="C52" s="151">
        <f t="shared" si="38"/>
        <v>86</v>
      </c>
      <c r="D52" s="136">
        <v>248</v>
      </c>
      <c r="E52" s="140">
        <f t="shared" si="29"/>
        <v>1.56</v>
      </c>
      <c r="F52" s="42">
        <f t="shared" si="40"/>
        <v>386.88</v>
      </c>
      <c r="G52" s="51">
        <f t="shared" si="41"/>
        <v>-32.759999999999991</v>
      </c>
      <c r="I52" s="55">
        <v>47</v>
      </c>
      <c r="J52" s="33">
        <f t="shared" si="18"/>
        <v>13.649999999999999</v>
      </c>
      <c r="K52" s="33">
        <f t="shared" si="19"/>
        <v>4.6403984774572109</v>
      </c>
      <c r="L52" s="33">
        <f t="shared" si="20"/>
        <v>70</v>
      </c>
      <c r="M52" s="33">
        <f t="shared" si="21"/>
        <v>10</v>
      </c>
      <c r="N52" s="33">
        <f t="shared" si="0"/>
        <v>0</v>
      </c>
      <c r="O52" s="34">
        <f t="shared" si="1"/>
        <v>325.18911068157132</v>
      </c>
      <c r="P52" s="55">
        <v>47</v>
      </c>
      <c r="Q52" s="33">
        <f t="shared" si="15"/>
        <v>15.990000000000002</v>
      </c>
      <c r="R52" s="33">
        <f t="shared" si="22"/>
        <v>229.70999999999995</v>
      </c>
      <c r="S52" s="33">
        <f t="shared" si="23"/>
        <v>133.23179999999996</v>
      </c>
      <c r="T52" s="33">
        <f t="shared" si="2"/>
        <v>34.742062818999585</v>
      </c>
      <c r="U52" s="33">
        <f t="shared" si="16"/>
        <v>70</v>
      </c>
      <c r="V52" s="33">
        <f t="shared" si="3"/>
        <v>10</v>
      </c>
      <c r="W52" s="33">
        <v>0</v>
      </c>
      <c r="X52" s="33">
        <f t="shared" si="4"/>
        <v>585.88781107642421</v>
      </c>
      <c r="Y52" s="38">
        <f t="shared" si="5"/>
        <v>260.69870039485289</v>
      </c>
      <c r="AA52" s="71">
        <v>47</v>
      </c>
      <c r="AB52" s="33">
        <f t="shared" si="6"/>
        <v>0</v>
      </c>
      <c r="AC52" s="304">
        <f t="shared" si="39"/>
        <v>0</v>
      </c>
      <c r="AD52" s="100">
        <f t="shared" si="8"/>
        <v>0</v>
      </c>
      <c r="AE52" s="100">
        <f t="shared" si="9"/>
        <v>0</v>
      </c>
      <c r="AF52" s="193">
        <f t="shared" si="34"/>
        <v>2.0592929847776302</v>
      </c>
      <c r="AG52" s="193">
        <f t="shared" si="35"/>
        <v>0</v>
      </c>
      <c r="AH52" s="193">
        <f t="shared" si="36"/>
        <v>0</v>
      </c>
      <c r="AI52" s="198">
        <f t="shared" si="37"/>
        <v>2.0592929847776302</v>
      </c>
      <c r="AK52" s="71">
        <v>47</v>
      </c>
      <c r="AL52" s="33"/>
      <c r="AM52" s="33"/>
      <c r="AN52" s="33"/>
      <c r="AO52" s="33"/>
      <c r="AP52" s="33"/>
      <c r="AQ52" s="193"/>
      <c r="AR52" s="193"/>
      <c r="AS52" s="193"/>
      <c r="AT52" s="193"/>
      <c r="AU52" s="33"/>
      <c r="AV52" s="33"/>
      <c r="AW52" s="33"/>
      <c r="AX52" s="33"/>
      <c r="AY52" s="76"/>
    </row>
    <row r="53" spans="2:51">
      <c r="B53" s="40">
        <f t="shared" si="31"/>
        <v>86</v>
      </c>
      <c r="C53" s="151">
        <f t="shared" si="38"/>
        <v>90</v>
      </c>
      <c r="D53" s="136">
        <f>D54+21</f>
        <v>275</v>
      </c>
      <c r="E53" s="140">
        <f t="shared" si="29"/>
        <v>1.56</v>
      </c>
      <c r="F53" s="42">
        <f>D53*E53</f>
        <v>429</v>
      </c>
      <c r="G53" s="51">
        <f>(F53-F52)/(C53-B53)</f>
        <v>10.530000000000001</v>
      </c>
      <c r="I53" s="55">
        <v>48</v>
      </c>
      <c r="J53" s="33">
        <f t="shared" si="18"/>
        <v>14.069999999999999</v>
      </c>
      <c r="K53" s="33">
        <f t="shared" si="19"/>
        <v>4.7663368225031704</v>
      </c>
      <c r="L53" s="33">
        <f t="shared" si="20"/>
        <v>70</v>
      </c>
      <c r="M53" s="33">
        <f t="shared" si="21"/>
        <v>10</v>
      </c>
      <c r="N53" s="33">
        <f t="shared" si="0"/>
        <v>0</v>
      </c>
      <c r="O53" s="34">
        <f t="shared" si="1"/>
        <v>326.139953299193</v>
      </c>
      <c r="P53" s="55">
        <v>48</v>
      </c>
      <c r="Q53" s="33">
        <f t="shared" si="15"/>
        <v>15.990000000000002</v>
      </c>
      <c r="R53" s="33">
        <f t="shared" si="22"/>
        <v>245.69999999999996</v>
      </c>
      <c r="S53" s="33">
        <f t="shared" si="23"/>
        <v>142.50599999999997</v>
      </c>
      <c r="T53" s="33">
        <f t="shared" si="2"/>
        <v>36.870500776307537</v>
      </c>
      <c r="U53" s="33">
        <f t="shared" si="16"/>
        <v>70</v>
      </c>
      <c r="V53" s="33">
        <f t="shared" si="3"/>
        <v>10</v>
      </c>
      <c r="W53" s="33">
        <v>0</v>
      </c>
      <c r="X53" s="33">
        <f t="shared" si="4"/>
        <v>605.74740551873549</v>
      </c>
      <c r="Y53" s="38">
        <f t="shared" si="5"/>
        <v>279.60745221954249</v>
      </c>
      <c r="AA53" s="71">
        <v>48</v>
      </c>
      <c r="AB53" s="33">
        <f t="shared" si="6"/>
        <v>0</v>
      </c>
      <c r="AC53" s="304">
        <f t="shared" si="39"/>
        <v>0</v>
      </c>
      <c r="AD53" s="100">
        <f t="shared" si="8"/>
        <v>0</v>
      </c>
      <c r="AE53" s="100">
        <f t="shared" si="9"/>
        <v>0</v>
      </c>
      <c r="AF53" s="193">
        <f t="shared" si="34"/>
        <v>2.0189115053908373</v>
      </c>
      <c r="AG53" s="193">
        <f t="shared" si="35"/>
        <v>0</v>
      </c>
      <c r="AH53" s="193">
        <f t="shared" si="36"/>
        <v>0</v>
      </c>
      <c r="AI53" s="198">
        <f t="shared" si="37"/>
        <v>2.0189115053908373</v>
      </c>
      <c r="AK53" s="71">
        <v>48</v>
      </c>
      <c r="AL53" s="33"/>
      <c r="AM53" s="33"/>
      <c r="AN53" s="33"/>
      <c r="AO53" s="33"/>
      <c r="AP53" s="33"/>
      <c r="AQ53" s="193"/>
      <c r="AR53" s="193"/>
      <c r="AS53" s="193"/>
      <c r="AT53" s="193"/>
      <c r="AU53" s="33"/>
      <c r="AV53" s="33"/>
      <c r="AW53" s="33"/>
      <c r="AX53" s="33"/>
      <c r="AY53" s="76"/>
    </row>
    <row r="54" spans="2:51">
      <c r="B54" s="40">
        <f t="shared" si="31"/>
        <v>90</v>
      </c>
      <c r="C54" s="151">
        <f t="shared" si="38"/>
        <v>91</v>
      </c>
      <c r="D54" s="136">
        <v>254</v>
      </c>
      <c r="E54" s="140">
        <f t="shared" si="29"/>
        <v>1.56</v>
      </c>
      <c r="F54" s="42">
        <f>D54*E54</f>
        <v>396.24</v>
      </c>
      <c r="G54" s="51">
        <f>(F54-F53)/(C54-B54)</f>
        <v>-32.759999999999991</v>
      </c>
      <c r="I54" s="55">
        <v>49</v>
      </c>
      <c r="J54" s="33">
        <f t="shared" si="18"/>
        <v>14.489999999999998</v>
      </c>
      <c r="K54" s="33">
        <f t="shared" si="19"/>
        <v>4.8918382695850156</v>
      </c>
      <c r="L54" s="33">
        <f t="shared" si="20"/>
        <v>70</v>
      </c>
      <c r="M54" s="33">
        <f t="shared" si="21"/>
        <v>10</v>
      </c>
      <c r="N54" s="33">
        <f t="shared" si="0"/>
        <v>0</v>
      </c>
      <c r="O54" s="34">
        <f t="shared" si="1"/>
        <v>327.09003498619393</v>
      </c>
      <c r="P54" s="55">
        <v>49</v>
      </c>
      <c r="Q54" s="33">
        <f t="shared" si="15"/>
        <v>15.990000000000002</v>
      </c>
      <c r="R54" s="33">
        <f t="shared" si="22"/>
        <v>261.68999999999994</v>
      </c>
      <c r="S54" s="33">
        <f t="shared" si="23"/>
        <v>151.78019999999995</v>
      </c>
      <c r="T54" s="33">
        <f t="shared" si="2"/>
        <v>38.982864250754865</v>
      </c>
      <c r="U54" s="33">
        <f t="shared" si="16"/>
        <v>70</v>
      </c>
      <c r="V54" s="33">
        <f t="shared" si="3"/>
        <v>10</v>
      </c>
      <c r="W54" s="33">
        <v>0</v>
      </c>
      <c r="X54" s="33">
        <f t="shared" si="4"/>
        <v>625.57900357006463</v>
      </c>
      <c r="Y54" s="38">
        <f t="shared" si="5"/>
        <v>298.4889685838707</v>
      </c>
      <c r="AA54" s="71">
        <v>49</v>
      </c>
      <c r="AB54" s="33">
        <f t="shared" si="6"/>
        <v>0</v>
      </c>
      <c r="AC54" s="304">
        <f t="shared" si="39"/>
        <v>0</v>
      </c>
      <c r="AD54" s="100">
        <f t="shared" si="8"/>
        <v>0</v>
      </c>
      <c r="AE54" s="100">
        <f t="shared" si="9"/>
        <v>0</v>
      </c>
      <c r="AF54" s="193">
        <f t="shared" si="34"/>
        <v>1.9793218821845493</v>
      </c>
      <c r="AG54" s="193">
        <f t="shared" si="35"/>
        <v>0</v>
      </c>
      <c r="AH54" s="193">
        <f t="shared" si="36"/>
        <v>0</v>
      </c>
      <c r="AI54" s="198">
        <f t="shared" si="37"/>
        <v>1.9793218821845493</v>
      </c>
      <c r="AK54" s="71">
        <v>49</v>
      </c>
      <c r="AL54" s="33"/>
      <c r="AM54" s="33"/>
      <c r="AN54" s="33"/>
      <c r="AO54" s="33"/>
      <c r="AP54" s="33"/>
      <c r="AQ54" s="193"/>
      <c r="AR54" s="193"/>
      <c r="AS54" s="193"/>
      <c r="AT54" s="193"/>
      <c r="AU54" s="33"/>
      <c r="AV54" s="33"/>
      <c r="AW54" s="33"/>
      <c r="AX54" s="33"/>
      <c r="AY54" s="76"/>
    </row>
    <row r="55" spans="2:51">
      <c r="B55" s="40">
        <f t="shared" si="31"/>
        <v>91</v>
      </c>
      <c r="C55" s="151">
        <f t="shared" si="38"/>
        <v>95</v>
      </c>
      <c r="D55" s="136">
        <f>D56+21</f>
        <v>279</v>
      </c>
      <c r="E55" s="140">
        <f t="shared" si="29"/>
        <v>1.56</v>
      </c>
      <c r="F55" s="42">
        <f>D55*E55</f>
        <v>435.24</v>
      </c>
      <c r="G55" s="51">
        <f>(F55-F54)/(C55-B55)</f>
        <v>9.75</v>
      </c>
      <c r="I55" s="55">
        <v>50</v>
      </c>
      <c r="J55" s="33">
        <f t="shared" si="18"/>
        <v>14.909999999999998</v>
      </c>
      <c r="K55" s="33">
        <f t="shared" si="19"/>
        <v>5.0169169366515129</v>
      </c>
      <c r="L55" s="33">
        <f t="shared" si="20"/>
        <v>70</v>
      </c>
      <c r="M55" s="33">
        <f t="shared" si="21"/>
        <v>10</v>
      </c>
      <c r="N55" s="33">
        <f t="shared" si="0"/>
        <v>0</v>
      </c>
      <c r="O55" s="34">
        <f t="shared" si="1"/>
        <v>328.03938033133471</v>
      </c>
      <c r="P55" s="55">
        <v>50</v>
      </c>
      <c r="Q55" s="33">
        <f t="shared" si="15"/>
        <v>15.990000000000002</v>
      </c>
      <c r="R55" s="33">
        <f t="shared" si="22"/>
        <v>277.67999999999995</v>
      </c>
      <c r="S55" s="33">
        <f t="shared" si="23"/>
        <v>161.05439999999996</v>
      </c>
      <c r="T55" s="33">
        <f t="shared" si="2"/>
        <v>41.080247278685491</v>
      </c>
      <c r="U55" s="33">
        <f t="shared" si="16"/>
        <v>70</v>
      </c>
      <c r="V55" s="33">
        <f t="shared" si="3"/>
        <v>10</v>
      </c>
      <c r="W55" s="33">
        <v>0</v>
      </c>
      <c r="X55" s="33">
        <f t="shared" si="4"/>
        <v>645.38451067704386</v>
      </c>
      <c r="Y55" s="38">
        <f t="shared" si="5"/>
        <v>317.34513034570915</v>
      </c>
      <c r="AA55" s="71">
        <v>50</v>
      </c>
      <c r="AB55" s="33">
        <f t="shared" si="6"/>
        <v>0</v>
      </c>
      <c r="AC55" s="304">
        <f t="shared" si="39"/>
        <v>0</v>
      </c>
      <c r="AD55" s="100">
        <f t="shared" si="8"/>
        <v>0</v>
      </c>
      <c r="AE55" s="100">
        <f t="shared" si="9"/>
        <v>0</v>
      </c>
      <c r="AF55" s="193">
        <f t="shared" si="34"/>
        <v>1.9405085873420507</v>
      </c>
      <c r="AG55" s="193">
        <f t="shared" si="35"/>
        <v>0</v>
      </c>
      <c r="AH55" s="193">
        <f t="shared" si="36"/>
        <v>0</v>
      </c>
      <c r="AI55" s="198">
        <f t="shared" si="37"/>
        <v>1.9405085873420507</v>
      </c>
      <c r="AK55" s="71">
        <v>50</v>
      </c>
      <c r="AL55" s="33"/>
      <c r="AM55" s="33"/>
      <c r="AN55" s="33"/>
      <c r="AO55" s="33"/>
      <c r="AP55" s="33"/>
      <c r="AQ55" s="193"/>
      <c r="AR55" s="193"/>
      <c r="AS55" s="193"/>
      <c r="AT55" s="193"/>
      <c r="AU55" s="33"/>
      <c r="AV55" s="33"/>
      <c r="AW55" s="33"/>
      <c r="AX55" s="33"/>
      <c r="AY55" s="76"/>
    </row>
    <row r="56" spans="2:51">
      <c r="B56" s="40">
        <f t="shared" si="31"/>
        <v>95</v>
      </c>
      <c r="C56" s="151">
        <f t="shared" si="38"/>
        <v>96</v>
      </c>
      <c r="D56" s="136">
        <v>258</v>
      </c>
      <c r="E56" s="140">
        <f t="shared" si="29"/>
        <v>1.56</v>
      </c>
      <c r="F56" s="42">
        <f>D56*E56</f>
        <v>402.48</v>
      </c>
      <c r="G56" s="51">
        <f>(F56-F55)/(C56-B56)</f>
        <v>-32.759999999999991</v>
      </c>
      <c r="I56" s="55">
        <v>51</v>
      </c>
      <c r="J56" s="33">
        <f t="shared" si="18"/>
        <v>15.329999999999998</v>
      </c>
      <c r="K56" s="33">
        <f t="shared" si="19"/>
        <v>5.1415861010251849</v>
      </c>
      <c r="L56" s="33">
        <f t="shared" si="20"/>
        <v>70</v>
      </c>
      <c r="M56" s="33">
        <f t="shared" si="21"/>
        <v>10</v>
      </c>
      <c r="N56" s="33">
        <f t="shared" si="0"/>
        <v>0</v>
      </c>
      <c r="O56" s="34">
        <f t="shared" si="1"/>
        <v>328.98801245928553</v>
      </c>
      <c r="P56" s="55">
        <v>51</v>
      </c>
      <c r="Q56" s="33">
        <f t="shared" si="15"/>
        <v>-32.759999999999991</v>
      </c>
      <c r="R56" s="33">
        <f t="shared" si="22"/>
        <v>244.91999999999996</v>
      </c>
      <c r="S56" s="33">
        <f t="shared" si="23"/>
        <v>142.05359999999996</v>
      </c>
      <c r="T56" s="33">
        <f t="shared" si="2"/>
        <v>36.767056963845889</v>
      </c>
      <c r="U56" s="33">
        <f t="shared" si="16"/>
        <v>70</v>
      </c>
      <c r="V56" s="33">
        <f t="shared" si="3"/>
        <v>10</v>
      </c>
      <c r="W56" s="33">
        <v>0</v>
      </c>
      <c r="X56" s="33">
        <f t="shared" si="4"/>
        <v>604.7793108786982</v>
      </c>
      <c r="Y56" s="38">
        <f t="shared" si="5"/>
        <v>275.79129841941267</v>
      </c>
      <c r="AA56" s="71">
        <v>51</v>
      </c>
      <c r="AB56" s="33">
        <f t="shared" si="6"/>
        <v>21</v>
      </c>
      <c r="AC56" s="304">
        <f t="shared" si="39"/>
        <v>0.15</v>
      </c>
      <c r="AD56" s="100">
        <f t="shared" si="8"/>
        <v>0</v>
      </c>
      <c r="AE56" s="100">
        <f t="shared" si="9"/>
        <v>0</v>
      </c>
      <c r="AF56" s="193">
        <f t="shared" si="34"/>
        <v>5.0531796356520928</v>
      </c>
      <c r="AG56" s="193">
        <f t="shared" si="35"/>
        <v>0</v>
      </c>
      <c r="AH56" s="193">
        <f t="shared" si="36"/>
        <v>0</v>
      </c>
      <c r="AI56" s="198">
        <f t="shared" si="37"/>
        <v>5.0531796356520928</v>
      </c>
      <c r="AK56" s="71">
        <v>51</v>
      </c>
      <c r="AL56" s="33"/>
      <c r="AM56" s="33"/>
      <c r="AN56" s="33"/>
      <c r="AO56" s="33"/>
      <c r="AP56" s="33"/>
      <c r="AQ56" s="193"/>
      <c r="AR56" s="193"/>
      <c r="AS56" s="193"/>
      <c r="AT56" s="193"/>
      <c r="AU56" s="33"/>
      <c r="AV56" s="33"/>
      <c r="AW56" s="33"/>
      <c r="AX56" s="33"/>
      <c r="AY56" s="76"/>
    </row>
    <row r="57" spans="2:51">
      <c r="B57" s="40">
        <f t="shared" si="31"/>
        <v>96</v>
      </c>
      <c r="C57" s="151">
        <f t="shared" si="38"/>
        <v>100</v>
      </c>
      <c r="D57" s="136">
        <f>D58+21</f>
        <v>282</v>
      </c>
      <c r="E57" s="140">
        <f t="shared" si="29"/>
        <v>1.56</v>
      </c>
      <c r="F57" s="42">
        <f t="shared" ref="F57:F68" si="42">D57*E57</f>
        <v>439.92</v>
      </c>
      <c r="G57" s="51">
        <f t="shared" ref="G57:G68" si="43">(F57-F56)/(C57-B57)</f>
        <v>9.36</v>
      </c>
      <c r="I57" s="55">
        <v>52</v>
      </c>
      <c r="J57" s="33">
        <f t="shared" si="18"/>
        <v>15.749999999999998</v>
      </c>
      <c r="K57" s="33">
        <f t="shared" si="19"/>
        <v>5.2658582710976578</v>
      </c>
      <c r="L57" s="33">
        <f t="shared" si="20"/>
        <v>70</v>
      </c>
      <c r="M57" s="33">
        <f t="shared" si="21"/>
        <v>10</v>
      </c>
      <c r="N57" s="33">
        <f t="shared" si="0"/>
        <v>0</v>
      </c>
      <c r="O57" s="34">
        <f t="shared" si="1"/>
        <v>329.9359531554951</v>
      </c>
      <c r="P57" s="55">
        <v>52</v>
      </c>
      <c r="Q57" s="33">
        <f t="shared" si="15"/>
        <v>15.599999999999994</v>
      </c>
      <c r="R57" s="33">
        <f t="shared" si="22"/>
        <v>260.52</v>
      </c>
      <c r="S57" s="33">
        <f t="shared" si="23"/>
        <v>151.10159999999999</v>
      </c>
      <c r="T57" s="33">
        <f t="shared" si="2"/>
        <v>38.82882146347977</v>
      </c>
      <c r="U57" s="33">
        <f t="shared" si="16"/>
        <v>70</v>
      </c>
      <c r="V57" s="33">
        <f t="shared" si="3"/>
        <v>10</v>
      </c>
      <c r="W57" s="33">
        <v>0</v>
      </c>
      <c r="X57" s="33">
        <f t="shared" si="4"/>
        <v>624.12881738222723</v>
      </c>
      <c r="Y57" s="38">
        <f t="shared" si="5"/>
        <v>294.19286422673213</v>
      </c>
      <c r="AA57" s="71">
        <v>52</v>
      </c>
      <c r="AB57" s="33">
        <f t="shared" si="6"/>
        <v>0</v>
      </c>
      <c r="AC57" s="304">
        <f t="shared" si="39"/>
        <v>0</v>
      </c>
      <c r="AD57" s="100">
        <f t="shared" si="8"/>
        <v>0</v>
      </c>
      <c r="AE57" s="100">
        <f t="shared" si="9"/>
        <v>0</v>
      </c>
      <c r="AF57" s="193">
        <f t="shared" si="34"/>
        <v>4.9540898651321976</v>
      </c>
      <c r="AG57" s="193">
        <f t="shared" si="35"/>
        <v>0</v>
      </c>
      <c r="AH57" s="193">
        <f t="shared" si="36"/>
        <v>0</v>
      </c>
      <c r="AI57" s="198">
        <f t="shared" si="37"/>
        <v>4.9540898651321976</v>
      </c>
      <c r="AK57" s="71">
        <v>52</v>
      </c>
      <c r="AL57" s="33"/>
      <c r="AM57" s="33"/>
      <c r="AN57" s="33"/>
      <c r="AO57" s="33"/>
      <c r="AP57" s="33"/>
      <c r="AQ57" s="193"/>
      <c r="AR57" s="193"/>
      <c r="AS57" s="193"/>
      <c r="AT57" s="193"/>
      <c r="AU57" s="33"/>
      <c r="AV57" s="33"/>
      <c r="AW57" s="33"/>
      <c r="AX57" s="33"/>
      <c r="AY57" s="76"/>
    </row>
    <row r="58" spans="2:51">
      <c r="B58" s="40">
        <f t="shared" si="31"/>
        <v>100</v>
      </c>
      <c r="C58" s="151">
        <f t="shared" si="38"/>
        <v>101</v>
      </c>
      <c r="D58" s="136">
        <v>261</v>
      </c>
      <c r="E58" s="140">
        <f t="shared" si="29"/>
        <v>1.56</v>
      </c>
      <c r="F58" s="42">
        <f t="shared" si="42"/>
        <v>407.16</v>
      </c>
      <c r="G58" s="51">
        <f t="shared" si="43"/>
        <v>-32.759999999999991</v>
      </c>
      <c r="I58" s="55">
        <v>53</v>
      </c>
      <c r="J58" s="33">
        <f t="shared" si="18"/>
        <v>16.169999999999998</v>
      </c>
      <c r="K58" s="33">
        <f t="shared" si="19"/>
        <v>5.3897452501624228</v>
      </c>
      <c r="L58" s="33">
        <f t="shared" si="20"/>
        <v>70</v>
      </c>
      <c r="M58" s="33">
        <f t="shared" si="21"/>
        <v>10</v>
      </c>
      <c r="N58" s="33">
        <f t="shared" si="0"/>
        <v>0</v>
      </c>
      <c r="O58" s="34">
        <f t="shared" si="1"/>
        <v>330.88322297736619</v>
      </c>
      <c r="P58" s="55">
        <v>53</v>
      </c>
      <c r="Q58" s="33">
        <f t="shared" si="15"/>
        <v>15.599999999999994</v>
      </c>
      <c r="R58" s="33">
        <f t="shared" si="22"/>
        <v>276.12</v>
      </c>
      <c r="S58" s="33">
        <f t="shared" si="23"/>
        <v>160.14959999999999</v>
      </c>
      <c r="T58" s="33">
        <f t="shared" si="2"/>
        <v>40.876256268741535</v>
      </c>
      <c r="U58" s="33">
        <f t="shared" si="16"/>
        <v>70</v>
      </c>
      <c r="V58" s="33">
        <f t="shared" si="3"/>
        <v>10</v>
      </c>
      <c r="W58" s="33">
        <v>0</v>
      </c>
      <c r="X58" s="33">
        <f t="shared" si="4"/>
        <v>643.45336633472482</v>
      </c>
      <c r="Y58" s="38">
        <f t="shared" si="5"/>
        <v>312.57014335735863</v>
      </c>
      <c r="AA58" s="71">
        <v>53</v>
      </c>
      <c r="AB58" s="33">
        <f t="shared" si="6"/>
        <v>0</v>
      </c>
      <c r="AC58" s="304">
        <f t="shared" si="39"/>
        <v>0</v>
      </c>
      <c r="AD58" s="100">
        <f t="shared" si="8"/>
        <v>0</v>
      </c>
      <c r="AE58" s="100">
        <f t="shared" si="9"/>
        <v>0</v>
      </c>
      <c r="AF58" s="193">
        <f t="shared" si="34"/>
        <v>4.8569431845734048</v>
      </c>
      <c r="AG58" s="193">
        <f t="shared" si="35"/>
        <v>0</v>
      </c>
      <c r="AH58" s="193">
        <f t="shared" si="36"/>
        <v>0</v>
      </c>
      <c r="AI58" s="198">
        <f t="shared" si="37"/>
        <v>4.8569431845734048</v>
      </c>
      <c r="AK58" s="71">
        <v>53</v>
      </c>
      <c r="AL58" s="33"/>
      <c r="AM58" s="33"/>
      <c r="AN58" s="33"/>
      <c r="AO58" s="33"/>
      <c r="AP58" s="33"/>
      <c r="AQ58" s="193"/>
      <c r="AR58" s="193"/>
      <c r="AS58" s="193"/>
      <c r="AT58" s="193"/>
      <c r="AU58" s="33"/>
      <c r="AV58" s="33"/>
      <c r="AW58" s="33"/>
      <c r="AX58" s="33"/>
      <c r="AY58" s="76"/>
    </row>
    <row r="59" spans="2:51">
      <c r="B59" s="40">
        <f t="shared" si="31"/>
        <v>101</v>
      </c>
      <c r="C59" s="151">
        <f t="shared" si="38"/>
        <v>105</v>
      </c>
      <c r="D59" s="136">
        <f>D60+20</f>
        <v>284</v>
      </c>
      <c r="E59" s="140">
        <f t="shared" si="29"/>
        <v>1.56</v>
      </c>
      <c r="F59" s="42">
        <f t="shared" si="42"/>
        <v>443.04</v>
      </c>
      <c r="G59" s="51">
        <f t="shared" si="43"/>
        <v>8.9699999999999989</v>
      </c>
      <c r="I59" s="55">
        <v>54</v>
      </c>
      <c r="J59" s="33">
        <f t="shared" si="18"/>
        <v>16.59</v>
      </c>
      <c r="K59" s="33">
        <f t="shared" si="19"/>
        <v>5.5132581934290155</v>
      </c>
      <c r="L59" s="33">
        <f t="shared" si="20"/>
        <v>70</v>
      </c>
      <c r="M59" s="33">
        <f t="shared" si="21"/>
        <v>10</v>
      </c>
      <c r="N59" s="33">
        <f t="shared" si="0"/>
        <v>0</v>
      </c>
      <c r="O59" s="34">
        <f t="shared" si="1"/>
        <v>331.82984135355554</v>
      </c>
      <c r="P59" s="55">
        <v>54</v>
      </c>
      <c r="Q59" s="33">
        <f t="shared" si="15"/>
        <v>15.599999999999994</v>
      </c>
      <c r="R59" s="33">
        <f t="shared" si="22"/>
        <v>291.72000000000003</v>
      </c>
      <c r="S59" s="33">
        <f t="shared" si="23"/>
        <v>169.19759999999999</v>
      </c>
      <c r="T59" s="33">
        <f t="shared" si="2"/>
        <v>42.910263223432885</v>
      </c>
      <c r="U59" s="33">
        <f t="shared" si="16"/>
        <v>70</v>
      </c>
      <c r="V59" s="33">
        <f t="shared" si="3"/>
        <v>10</v>
      </c>
      <c r="W59" s="33">
        <v>0</v>
      </c>
      <c r="X59" s="33">
        <f t="shared" si="4"/>
        <v>662.75452844747883</v>
      </c>
      <c r="Y59" s="38">
        <f t="shared" si="5"/>
        <v>330.9246870939233</v>
      </c>
      <c r="AA59" s="71">
        <v>54</v>
      </c>
      <c r="AB59" s="33">
        <f t="shared" si="6"/>
        <v>0</v>
      </c>
      <c r="AC59" s="304">
        <f t="shared" si="39"/>
        <v>0</v>
      </c>
      <c r="AD59" s="100">
        <f t="shared" si="8"/>
        <v>0</v>
      </c>
      <c r="AE59" s="100">
        <f t="shared" si="9"/>
        <v>0</v>
      </c>
      <c r="AF59" s="193">
        <f t="shared" si="34"/>
        <v>4.7617014911667459</v>
      </c>
      <c r="AG59" s="193">
        <f t="shared" si="35"/>
        <v>0</v>
      </c>
      <c r="AH59" s="193">
        <f t="shared" si="36"/>
        <v>0</v>
      </c>
      <c r="AI59" s="198">
        <f t="shared" si="37"/>
        <v>4.7617014911667459</v>
      </c>
      <c r="AK59" s="71">
        <v>54</v>
      </c>
      <c r="AL59" s="33"/>
      <c r="AM59" s="33"/>
      <c r="AN59" s="33"/>
      <c r="AO59" s="33"/>
      <c r="AP59" s="33"/>
      <c r="AQ59" s="193"/>
      <c r="AR59" s="193"/>
      <c r="AS59" s="193"/>
      <c r="AT59" s="193"/>
      <c r="AU59" s="33"/>
      <c r="AV59" s="33"/>
      <c r="AW59" s="33"/>
      <c r="AX59" s="33"/>
      <c r="AY59" s="76"/>
    </row>
    <row r="60" spans="2:51">
      <c r="B60" s="40">
        <f t="shared" si="31"/>
        <v>105</v>
      </c>
      <c r="C60" s="151">
        <f t="shared" si="38"/>
        <v>106</v>
      </c>
      <c r="D60" s="136">
        <v>264</v>
      </c>
      <c r="E60" s="140">
        <f t="shared" si="29"/>
        <v>1.56</v>
      </c>
      <c r="F60" s="42">
        <f t="shared" si="42"/>
        <v>411.84000000000003</v>
      </c>
      <c r="G60" s="51">
        <f t="shared" si="43"/>
        <v>-31.199999999999989</v>
      </c>
      <c r="I60" s="55">
        <v>55</v>
      </c>
      <c r="J60" s="33">
        <f t="shared" si="18"/>
        <v>17.010000000000002</v>
      </c>
      <c r="K60" s="33">
        <f t="shared" si="19"/>
        <v>5.6364076591011436</v>
      </c>
      <c r="L60" s="33">
        <f t="shared" si="20"/>
        <v>70</v>
      </c>
      <c r="M60" s="33">
        <f t="shared" si="21"/>
        <v>10</v>
      </c>
      <c r="N60" s="33">
        <f t="shared" si="0"/>
        <v>0</v>
      </c>
      <c r="O60" s="34">
        <f t="shared" si="1"/>
        <v>332.7758266729345</v>
      </c>
      <c r="P60" s="55">
        <v>55</v>
      </c>
      <c r="Q60" s="33">
        <f t="shared" si="15"/>
        <v>15.599999999999994</v>
      </c>
      <c r="R60" s="33">
        <f t="shared" si="22"/>
        <v>307.32000000000005</v>
      </c>
      <c r="S60" s="33">
        <f t="shared" si="23"/>
        <v>178.24560000000002</v>
      </c>
      <c r="T60" s="33">
        <f t="shared" si="2"/>
        <v>44.931642269910427</v>
      </c>
      <c r="U60" s="33">
        <f t="shared" si="16"/>
        <v>70</v>
      </c>
      <c r="V60" s="33">
        <f t="shared" si="3"/>
        <v>10</v>
      </c>
      <c r="W60" s="33">
        <v>0</v>
      </c>
      <c r="X60" s="33">
        <f t="shared" si="4"/>
        <v>682.03369695342724</v>
      </c>
      <c r="Y60" s="38">
        <f t="shared" si="5"/>
        <v>349.25787028049274</v>
      </c>
      <c r="AA60" s="71">
        <v>55</v>
      </c>
      <c r="AB60" s="33">
        <f t="shared" si="6"/>
        <v>0</v>
      </c>
      <c r="AC60" s="304">
        <f t="shared" si="39"/>
        <v>0</v>
      </c>
      <c r="AD60" s="100">
        <f t="shared" si="8"/>
        <v>0</v>
      </c>
      <c r="AE60" s="100">
        <f t="shared" si="9"/>
        <v>0</v>
      </c>
      <c r="AF60" s="193">
        <f t="shared" si="34"/>
        <v>4.6683274292760943</v>
      </c>
      <c r="AG60" s="193">
        <f t="shared" si="35"/>
        <v>0</v>
      </c>
      <c r="AH60" s="193">
        <f t="shared" si="36"/>
        <v>0</v>
      </c>
      <c r="AI60" s="198">
        <f t="shared" si="37"/>
        <v>4.6683274292760943</v>
      </c>
      <c r="AK60" s="71">
        <v>55</v>
      </c>
      <c r="AL60" s="33"/>
      <c r="AM60" s="33"/>
      <c r="AN60" s="33"/>
      <c r="AO60" s="33"/>
      <c r="AP60" s="33"/>
      <c r="AQ60" s="193"/>
      <c r="AR60" s="193"/>
      <c r="AS60" s="193"/>
      <c r="AT60" s="193"/>
      <c r="AU60" s="33"/>
      <c r="AV60" s="33"/>
      <c r="AW60" s="33"/>
      <c r="AX60" s="33"/>
      <c r="AY60" s="76"/>
    </row>
    <row r="61" spans="2:51">
      <c r="B61" s="40">
        <f t="shared" si="31"/>
        <v>106</v>
      </c>
      <c r="C61" s="151">
        <f t="shared" si="38"/>
        <v>110</v>
      </c>
      <c r="D61" s="136">
        <f>D62+19</f>
        <v>285</v>
      </c>
      <c r="E61" s="140">
        <f t="shared" si="29"/>
        <v>1.56</v>
      </c>
      <c r="F61" s="42">
        <f t="shared" si="42"/>
        <v>444.6</v>
      </c>
      <c r="G61" s="51">
        <f t="shared" si="43"/>
        <v>8.1899999999999977</v>
      </c>
      <c r="I61" s="55">
        <v>56</v>
      </c>
      <c r="J61" s="33">
        <f t="shared" si="18"/>
        <v>17.430000000000003</v>
      </c>
      <c r="K61" s="33">
        <f t="shared" si="19"/>
        <v>5.7592036542680249</v>
      </c>
      <c r="L61" s="33">
        <f t="shared" si="20"/>
        <v>70</v>
      </c>
      <c r="M61" s="33">
        <f t="shared" si="21"/>
        <v>10</v>
      </c>
      <c r="N61" s="33">
        <f t="shared" si="0"/>
        <v>0</v>
      </c>
      <c r="O61" s="34">
        <f t="shared" si="1"/>
        <v>333.72119636451686</v>
      </c>
      <c r="P61" s="55">
        <v>56</v>
      </c>
      <c r="Q61" s="33">
        <f t="shared" si="15"/>
        <v>-32.759999999999991</v>
      </c>
      <c r="R61" s="33">
        <f t="shared" si="22"/>
        <v>274.56000000000006</v>
      </c>
      <c r="S61" s="33">
        <f t="shared" si="23"/>
        <v>159.24480000000003</v>
      </c>
      <c r="T61" s="33">
        <f t="shared" si="2"/>
        <v>40.672131063901752</v>
      </c>
      <c r="U61" s="33">
        <f t="shared" si="16"/>
        <v>70</v>
      </c>
      <c r="V61" s="33">
        <f t="shared" si="3"/>
        <v>10</v>
      </c>
      <c r="W61" s="33">
        <v>0</v>
      </c>
      <c r="X61" s="33">
        <f t="shared" si="4"/>
        <v>641.52198826962888</v>
      </c>
      <c r="Y61" s="38">
        <f t="shared" si="5"/>
        <v>307.80079190511202</v>
      </c>
      <c r="AA61" s="71">
        <v>56</v>
      </c>
      <c r="AB61" s="33">
        <f t="shared" si="6"/>
        <v>21</v>
      </c>
      <c r="AC61" s="304">
        <f t="shared" si="39"/>
        <v>0.2</v>
      </c>
      <c r="AD61" s="100">
        <f t="shared" si="8"/>
        <v>0</v>
      </c>
      <c r="AE61" s="100">
        <f t="shared" si="9"/>
        <v>0</v>
      </c>
      <c r="AF61" s="193">
        <f t="shared" si="34"/>
        <v>8.7777486932724997</v>
      </c>
      <c r="AG61" s="193">
        <f t="shared" si="35"/>
        <v>0</v>
      </c>
      <c r="AH61" s="193">
        <f t="shared" si="36"/>
        <v>0</v>
      </c>
      <c r="AI61" s="198">
        <f t="shared" si="37"/>
        <v>8.7777486932724997</v>
      </c>
      <c r="AK61" s="71">
        <v>56</v>
      </c>
      <c r="AL61" s="33"/>
      <c r="AM61" s="33"/>
      <c r="AN61" s="33"/>
      <c r="AO61" s="33"/>
      <c r="AP61" s="33"/>
      <c r="AQ61" s="193"/>
      <c r="AR61" s="193"/>
      <c r="AS61" s="193"/>
      <c r="AT61" s="193"/>
      <c r="AU61" s="33"/>
      <c r="AV61" s="33"/>
      <c r="AW61" s="33"/>
      <c r="AX61" s="33"/>
      <c r="AY61" s="76"/>
    </row>
    <row r="62" spans="2:51">
      <c r="B62" s="40">
        <f t="shared" si="31"/>
        <v>110</v>
      </c>
      <c r="C62" s="151">
        <f t="shared" si="38"/>
        <v>111</v>
      </c>
      <c r="D62" s="136">
        <v>266</v>
      </c>
      <c r="E62" s="140">
        <f t="shared" si="29"/>
        <v>1.56</v>
      </c>
      <c r="F62" s="42">
        <f t="shared" si="42"/>
        <v>414.96000000000004</v>
      </c>
      <c r="G62" s="51">
        <f t="shared" si="43"/>
        <v>-29.639999999999986</v>
      </c>
      <c r="I62" s="55">
        <v>57</v>
      </c>
      <c r="J62" s="33">
        <f t="shared" si="18"/>
        <v>17.850000000000005</v>
      </c>
      <c r="K62" s="33">
        <f t="shared" si="19"/>
        <v>5.8816556762478864</v>
      </c>
      <c r="L62" s="33">
        <f t="shared" si="20"/>
        <v>70</v>
      </c>
      <c r="M62" s="33">
        <f t="shared" si="21"/>
        <v>10</v>
      </c>
      <c r="N62" s="33">
        <f t="shared" si="0"/>
        <v>0</v>
      </c>
      <c r="O62" s="34">
        <f t="shared" si="1"/>
        <v>334.66596696946505</v>
      </c>
      <c r="P62" s="55">
        <v>57</v>
      </c>
      <c r="Q62" s="33">
        <f t="shared" si="15"/>
        <v>14.820000000000007</v>
      </c>
      <c r="R62" s="33">
        <f t="shared" si="22"/>
        <v>289.38000000000005</v>
      </c>
      <c r="S62" s="33">
        <f t="shared" si="23"/>
        <v>167.84040000000002</v>
      </c>
      <c r="T62" s="33">
        <f t="shared" si="2"/>
        <v>42.605985718279591</v>
      </c>
      <c r="U62" s="33">
        <f t="shared" si="16"/>
        <v>70</v>
      </c>
      <c r="V62" s="33">
        <f t="shared" si="3"/>
        <v>10</v>
      </c>
      <c r="W62" s="33">
        <v>0</v>
      </c>
      <c r="X62" s="33">
        <f t="shared" si="4"/>
        <v>659.86078845933696</v>
      </c>
      <c r="Y62" s="38">
        <f t="shared" si="5"/>
        <v>325.19482148987191</v>
      </c>
      <c r="AA62" s="71">
        <v>57</v>
      </c>
      <c r="AB62" s="33">
        <f t="shared" si="6"/>
        <v>0</v>
      </c>
      <c r="AC62" s="304">
        <f t="shared" si="39"/>
        <v>0</v>
      </c>
      <c r="AD62" s="100">
        <f t="shared" si="8"/>
        <v>0</v>
      </c>
      <c r="AE62" s="100">
        <f t="shared" si="9"/>
        <v>0</v>
      </c>
      <c r="AF62" s="193">
        <f t="shared" si="34"/>
        <v>8.6056223952954749</v>
      </c>
      <c r="AG62" s="193">
        <f t="shared" si="35"/>
        <v>0</v>
      </c>
      <c r="AH62" s="193">
        <f t="shared" si="36"/>
        <v>0</v>
      </c>
      <c r="AI62" s="198">
        <f t="shared" si="37"/>
        <v>8.6056223952954749</v>
      </c>
      <c r="AK62" s="71">
        <v>57</v>
      </c>
      <c r="AL62" s="33"/>
      <c r="AM62" s="33"/>
      <c r="AN62" s="33"/>
      <c r="AO62" s="33"/>
      <c r="AP62" s="33"/>
      <c r="AQ62" s="193"/>
      <c r="AR62" s="193"/>
      <c r="AS62" s="193"/>
      <c r="AT62" s="193"/>
      <c r="AU62" s="33"/>
      <c r="AV62" s="33"/>
      <c r="AW62" s="33"/>
      <c r="AX62" s="33"/>
      <c r="AY62" s="76"/>
    </row>
    <row r="63" spans="2:51">
      <c r="B63" s="40">
        <f t="shared" si="31"/>
        <v>111</v>
      </c>
      <c r="C63" s="151">
        <f t="shared" si="38"/>
        <v>115</v>
      </c>
      <c r="D63" s="136">
        <f>D64+18</f>
        <v>285</v>
      </c>
      <c r="E63" s="140">
        <f t="shared" si="29"/>
        <v>1.56</v>
      </c>
      <c r="F63" s="42">
        <f t="shared" si="42"/>
        <v>444.6</v>
      </c>
      <c r="G63" s="51">
        <f t="shared" si="43"/>
        <v>7.4099999999999966</v>
      </c>
      <c r="I63" s="55">
        <v>58</v>
      </c>
      <c r="J63" s="33">
        <f t="shared" si="18"/>
        <v>18.270000000000007</v>
      </c>
      <c r="K63" s="33">
        <f t="shared" si="19"/>
        <v>6.0037727499306985</v>
      </c>
      <c r="L63" s="33">
        <f t="shared" si="20"/>
        <v>70</v>
      </c>
      <c r="M63" s="33">
        <f t="shared" si="21"/>
        <v>10</v>
      </c>
      <c r="N63" s="33">
        <f t="shared" si="0"/>
        <v>0</v>
      </c>
      <c r="O63" s="34">
        <f t="shared" si="1"/>
        <v>335.61015420612932</v>
      </c>
      <c r="P63" s="55">
        <v>58</v>
      </c>
      <c r="Q63" s="33">
        <f t="shared" si="15"/>
        <v>14.820000000000007</v>
      </c>
      <c r="R63" s="33">
        <f t="shared" si="22"/>
        <v>304.20000000000005</v>
      </c>
      <c r="S63" s="33">
        <f t="shared" si="23"/>
        <v>176.43600000000001</v>
      </c>
      <c r="T63" s="33">
        <f t="shared" si="2"/>
        <v>44.52834129105058</v>
      </c>
      <c r="U63" s="33">
        <f t="shared" si="16"/>
        <v>70</v>
      </c>
      <c r="V63" s="33">
        <f t="shared" si="3"/>
        <v>10</v>
      </c>
      <c r="W63" s="33">
        <v>0</v>
      </c>
      <c r="X63" s="33">
        <f t="shared" si="4"/>
        <v>678.17956108191299</v>
      </c>
      <c r="Y63" s="38">
        <f t="shared" si="5"/>
        <v>342.56940687578367</v>
      </c>
      <c r="AA63" s="71">
        <v>58</v>
      </c>
      <c r="AB63" s="33">
        <f t="shared" si="6"/>
        <v>0</v>
      </c>
      <c r="AC63" s="304">
        <f t="shared" si="39"/>
        <v>0</v>
      </c>
      <c r="AD63" s="100">
        <f t="shared" si="8"/>
        <v>0</v>
      </c>
      <c r="AE63" s="100">
        <f t="shared" si="9"/>
        <v>0</v>
      </c>
      <c r="AF63" s="193">
        <f t="shared" si="34"/>
        <v>8.4368713890351046</v>
      </c>
      <c r="AG63" s="193">
        <f t="shared" si="35"/>
        <v>0</v>
      </c>
      <c r="AH63" s="193">
        <f t="shared" si="36"/>
        <v>0</v>
      </c>
      <c r="AI63" s="198">
        <f t="shared" si="37"/>
        <v>8.4368713890351046</v>
      </c>
      <c r="AK63" s="71">
        <v>58</v>
      </c>
      <c r="AL63" s="33"/>
      <c r="AM63" s="33"/>
      <c r="AN63" s="33"/>
      <c r="AO63" s="33"/>
      <c r="AP63" s="33"/>
      <c r="AQ63" s="193"/>
      <c r="AR63" s="193"/>
      <c r="AS63" s="193"/>
      <c r="AT63" s="193"/>
      <c r="AU63" s="33"/>
      <c r="AV63" s="33"/>
      <c r="AW63" s="33"/>
      <c r="AX63" s="33"/>
      <c r="AY63" s="76"/>
    </row>
    <row r="64" spans="2:51">
      <c r="B64" s="40">
        <f t="shared" si="31"/>
        <v>115</v>
      </c>
      <c r="C64" s="151">
        <f t="shared" si="38"/>
        <v>116</v>
      </c>
      <c r="D64" s="136">
        <v>267</v>
      </c>
      <c r="E64" s="140">
        <f t="shared" si="29"/>
        <v>1.56</v>
      </c>
      <c r="F64" s="42">
        <f t="shared" si="42"/>
        <v>416.52000000000004</v>
      </c>
      <c r="G64" s="51">
        <f t="shared" si="43"/>
        <v>-28.079999999999984</v>
      </c>
      <c r="I64" s="55">
        <v>59</v>
      </c>
      <c r="J64" s="33">
        <f t="shared" si="18"/>
        <v>18.690000000000008</v>
      </c>
      <c r="K64" s="33">
        <f t="shared" si="19"/>
        <v>6.1255634615903167</v>
      </c>
      <c r="L64" s="33">
        <f t="shared" si="20"/>
        <v>70</v>
      </c>
      <c r="M64" s="33">
        <f t="shared" si="21"/>
        <v>10</v>
      </c>
      <c r="N64" s="33">
        <f t="shared" si="0"/>
        <v>0</v>
      </c>
      <c r="O64" s="34">
        <f t="shared" si="1"/>
        <v>336.55377302893652</v>
      </c>
      <c r="P64" s="55">
        <v>59</v>
      </c>
      <c r="Q64" s="33">
        <f t="shared" si="15"/>
        <v>14.820000000000007</v>
      </c>
      <c r="R64" s="33">
        <f t="shared" si="22"/>
        <v>319.02000000000004</v>
      </c>
      <c r="S64" s="33">
        <f t="shared" si="23"/>
        <v>185.0316</v>
      </c>
      <c r="T64" s="33">
        <f t="shared" si="2"/>
        <v>46.439821937925259</v>
      </c>
      <c r="U64" s="33">
        <f t="shared" si="16"/>
        <v>70</v>
      </c>
      <c r="V64" s="33">
        <f t="shared" si="3"/>
        <v>10</v>
      </c>
      <c r="W64" s="33">
        <v>0</v>
      </c>
      <c r="X64" s="33">
        <f t="shared" si="4"/>
        <v>696.47939320855312</v>
      </c>
      <c r="Y64" s="38">
        <f t="shared" si="5"/>
        <v>359.9256201796166</v>
      </c>
      <c r="AA64" s="71">
        <v>59</v>
      </c>
      <c r="AB64" s="33">
        <f t="shared" si="6"/>
        <v>0</v>
      </c>
      <c r="AC64" s="304">
        <f t="shared" si="39"/>
        <v>0</v>
      </c>
      <c r="AD64" s="100">
        <f t="shared" si="8"/>
        <v>0</v>
      </c>
      <c r="AE64" s="100">
        <f t="shared" si="9"/>
        <v>0</v>
      </c>
      <c r="AF64" s="193">
        <f t="shared" si="34"/>
        <v>8.2714294870795495</v>
      </c>
      <c r="AG64" s="193">
        <f t="shared" si="35"/>
        <v>0</v>
      </c>
      <c r="AH64" s="193">
        <f t="shared" si="36"/>
        <v>0</v>
      </c>
      <c r="AI64" s="198">
        <f t="shared" si="37"/>
        <v>8.2714294870795495</v>
      </c>
      <c r="AK64" s="71">
        <v>59</v>
      </c>
      <c r="AL64" s="33"/>
      <c r="AM64" s="33"/>
      <c r="AN64" s="33"/>
      <c r="AO64" s="33"/>
      <c r="AP64" s="33"/>
      <c r="AQ64" s="193"/>
      <c r="AR64" s="193"/>
      <c r="AS64" s="193"/>
      <c r="AT64" s="193"/>
      <c r="AU64" s="33"/>
      <c r="AV64" s="33"/>
      <c r="AW64" s="33"/>
      <c r="AX64" s="33"/>
      <c r="AY64" s="76"/>
    </row>
    <row r="65" spans="2:51">
      <c r="B65" s="40">
        <f t="shared" si="31"/>
        <v>116</v>
      </c>
      <c r="C65" s="151">
        <f t="shared" si="38"/>
        <v>120</v>
      </c>
      <c r="D65" s="136">
        <f>D66+17</f>
        <v>285</v>
      </c>
      <c r="E65" s="140">
        <f t="shared" si="29"/>
        <v>1.56</v>
      </c>
      <c r="F65" s="42">
        <f t="shared" si="42"/>
        <v>444.6</v>
      </c>
      <c r="G65" s="51">
        <f t="shared" si="43"/>
        <v>7.019999999999996</v>
      </c>
      <c r="I65" s="55">
        <v>60</v>
      </c>
      <c r="J65" s="33">
        <f t="shared" si="18"/>
        <v>19.11000000000001</v>
      </c>
      <c r="K65" s="33">
        <f t="shared" si="19"/>
        <v>6.2470359895716525</v>
      </c>
      <c r="L65" s="33">
        <f t="shared" si="20"/>
        <v>70</v>
      </c>
      <c r="M65" s="33">
        <f t="shared" si="21"/>
        <v>10</v>
      </c>
      <c r="N65" s="33">
        <f t="shared" si="0"/>
        <v>0</v>
      </c>
      <c r="O65" s="34">
        <f t="shared" si="1"/>
        <v>337.49683768183735</v>
      </c>
      <c r="P65" s="55">
        <v>60</v>
      </c>
      <c r="Q65" s="33">
        <f t="shared" si="15"/>
        <v>14.820000000000007</v>
      </c>
      <c r="R65" s="33">
        <f t="shared" si="22"/>
        <v>333.84000000000003</v>
      </c>
      <c r="S65" s="33">
        <f t="shared" si="23"/>
        <v>193.62720000000002</v>
      </c>
      <c r="T65" s="33">
        <f t="shared" si="2"/>
        <v>48.340990547231236</v>
      </c>
      <c r="U65" s="33">
        <f t="shared" si="16"/>
        <v>70</v>
      </c>
      <c r="V65" s="33">
        <f t="shared" si="3"/>
        <v>10</v>
      </c>
      <c r="W65" s="33">
        <v>0</v>
      </c>
      <c r="X65" s="33">
        <f t="shared" si="4"/>
        <v>714.76126520309435</v>
      </c>
      <c r="Y65" s="38">
        <f t="shared" si="5"/>
        <v>377.26442752125701</v>
      </c>
      <c r="AA65" s="71">
        <v>60</v>
      </c>
      <c r="AB65" s="33">
        <f t="shared" si="6"/>
        <v>0</v>
      </c>
      <c r="AC65" s="304">
        <f t="shared" si="39"/>
        <v>0</v>
      </c>
      <c r="AD65" s="100">
        <f t="shared" si="8"/>
        <v>0</v>
      </c>
      <c r="AE65" s="100">
        <f t="shared" si="9"/>
        <v>0</v>
      </c>
      <c r="AF65" s="193">
        <f t="shared" si="34"/>
        <v>8.1092317999117469</v>
      </c>
      <c r="AG65" s="193">
        <f t="shared" si="35"/>
        <v>0</v>
      </c>
      <c r="AH65" s="193">
        <f t="shared" si="36"/>
        <v>0</v>
      </c>
      <c r="AI65" s="198">
        <f t="shared" si="37"/>
        <v>8.1092317999117469</v>
      </c>
      <c r="AK65" s="71">
        <v>60</v>
      </c>
      <c r="AL65" s="33"/>
      <c r="AM65" s="33"/>
      <c r="AN65" s="33"/>
      <c r="AO65" s="33"/>
      <c r="AP65" s="33"/>
      <c r="AQ65" s="193"/>
      <c r="AR65" s="193"/>
      <c r="AS65" s="193"/>
      <c r="AT65" s="193"/>
      <c r="AU65" s="33"/>
      <c r="AV65" s="33"/>
      <c r="AW65" s="33"/>
      <c r="AX65" s="33"/>
      <c r="AY65" s="76"/>
    </row>
    <row r="66" spans="2:51">
      <c r="B66" s="40">
        <f t="shared" si="31"/>
        <v>120</v>
      </c>
      <c r="C66" s="151">
        <f t="shared" si="38"/>
        <v>121</v>
      </c>
      <c r="D66" s="136">
        <v>268</v>
      </c>
      <c r="E66" s="140">
        <f t="shared" si="29"/>
        <v>1.56</v>
      </c>
      <c r="F66" s="42">
        <f t="shared" si="42"/>
        <v>418.08000000000004</v>
      </c>
      <c r="G66" s="51">
        <f t="shared" si="43"/>
        <v>-26.519999999999982</v>
      </c>
      <c r="I66" s="55">
        <v>61</v>
      </c>
      <c r="J66" s="33">
        <f t="shared" si="18"/>
        <v>19.530000000000012</v>
      </c>
      <c r="K66" s="33">
        <f t="shared" si="19"/>
        <v>6.3681981322039647</v>
      </c>
      <c r="L66" s="33">
        <f t="shared" si="20"/>
        <v>70</v>
      </c>
      <c r="M66" s="33">
        <f t="shared" si="21"/>
        <v>10</v>
      </c>
      <c r="N66" s="33">
        <f t="shared" si="0"/>
        <v>0</v>
      </c>
      <c r="O66" s="34">
        <f t="shared" si="1"/>
        <v>338.43936174692197</v>
      </c>
      <c r="P66" s="55">
        <v>61</v>
      </c>
      <c r="Q66" s="33">
        <f t="shared" si="15"/>
        <v>-32.760000000000048</v>
      </c>
      <c r="R66" s="33">
        <f t="shared" si="22"/>
        <v>301.08</v>
      </c>
      <c r="S66" s="33">
        <f t="shared" si="23"/>
        <v>174.62639999999999</v>
      </c>
      <c r="T66" s="33">
        <f t="shared" si="2"/>
        <v>44.124558536403974</v>
      </c>
      <c r="U66" s="33">
        <f t="shared" si="16"/>
        <v>70</v>
      </c>
      <c r="V66" s="33">
        <f t="shared" si="3"/>
        <v>10</v>
      </c>
      <c r="W66" s="33">
        <v>0</v>
      </c>
      <c r="X66" s="33">
        <f t="shared" si="4"/>
        <v>674.32458611757022</v>
      </c>
      <c r="Y66" s="38">
        <f t="shared" si="5"/>
        <v>335.88522437064825</v>
      </c>
      <c r="AA66" s="71">
        <v>61</v>
      </c>
      <c r="AB66" s="33">
        <f t="shared" si="6"/>
        <v>21</v>
      </c>
      <c r="AC66" s="304">
        <f t="shared" si="39"/>
        <v>0.25</v>
      </c>
      <c r="AD66" s="100">
        <f t="shared" si="8"/>
        <v>0</v>
      </c>
      <c r="AE66" s="100">
        <f t="shared" si="9"/>
        <v>0</v>
      </c>
      <c r="AF66" s="193">
        <f t="shared" si="34"/>
        <v>13.201420107315904</v>
      </c>
      <c r="AG66" s="193">
        <f t="shared" si="35"/>
        <v>0</v>
      </c>
      <c r="AH66" s="193">
        <f t="shared" si="36"/>
        <v>0</v>
      </c>
      <c r="AI66" s="198">
        <f t="shared" si="37"/>
        <v>13.201420107315904</v>
      </c>
      <c r="AK66" s="71">
        <v>61</v>
      </c>
      <c r="AL66" s="33"/>
      <c r="AM66" s="33"/>
      <c r="AN66" s="33"/>
      <c r="AO66" s="33"/>
      <c r="AP66" s="33"/>
      <c r="AQ66" s="193"/>
      <c r="AR66" s="193"/>
      <c r="AS66" s="193"/>
      <c r="AT66" s="193"/>
      <c r="AU66" s="33"/>
      <c r="AV66" s="33"/>
      <c r="AW66" s="33"/>
      <c r="AX66" s="33"/>
      <c r="AY66" s="76"/>
    </row>
    <row r="67" spans="2:51">
      <c r="B67" s="40">
        <f t="shared" si="31"/>
        <v>121</v>
      </c>
      <c r="C67" s="151">
        <f t="shared" si="38"/>
        <v>125</v>
      </c>
      <c r="D67" s="136">
        <f>D68+16</f>
        <v>284</v>
      </c>
      <c r="E67" s="140">
        <f t="shared" si="29"/>
        <v>1.56</v>
      </c>
      <c r="F67" s="42">
        <f t="shared" si="42"/>
        <v>443.04</v>
      </c>
      <c r="G67" s="51">
        <f t="shared" si="43"/>
        <v>6.2399999999999949</v>
      </c>
      <c r="I67" s="55">
        <v>62</v>
      </c>
      <c r="J67" s="33">
        <f t="shared" si="18"/>
        <v>19.950000000000014</v>
      </c>
      <c r="K67" s="33">
        <f t="shared" si="19"/>
        <v>6.4890573332452952</v>
      </c>
      <c r="L67" s="33">
        <f t="shared" si="20"/>
        <v>70</v>
      </c>
      <c r="M67" s="33">
        <f t="shared" si="21"/>
        <v>10</v>
      </c>
      <c r="N67" s="33">
        <f t="shared" si="0"/>
        <v>0</v>
      </c>
      <c r="O67" s="34">
        <f t="shared" si="1"/>
        <v>339.38135818873559</v>
      </c>
      <c r="P67" s="55">
        <v>62</v>
      </c>
      <c r="Q67" s="33">
        <f t="shared" si="15"/>
        <v>14.040000000000006</v>
      </c>
      <c r="R67" s="33">
        <f t="shared" si="22"/>
        <v>315.12</v>
      </c>
      <c r="S67" s="33">
        <f t="shared" si="23"/>
        <v>182.7696</v>
      </c>
      <c r="T67" s="33">
        <f t="shared" si="2"/>
        <v>45.937822477650357</v>
      </c>
      <c r="U67" s="33">
        <f t="shared" si="16"/>
        <v>70</v>
      </c>
      <c r="V67" s="33">
        <f t="shared" si="3"/>
        <v>10</v>
      </c>
      <c r="W67" s="33">
        <v>0</v>
      </c>
      <c r="X67" s="33">
        <f t="shared" si="4"/>
        <v>691.66542748190761</v>
      </c>
      <c r="Y67" s="38">
        <f t="shared" si="5"/>
        <v>352.28406929317202</v>
      </c>
      <c r="AA67" s="71">
        <v>62</v>
      </c>
      <c r="AB67" s="33">
        <f t="shared" si="6"/>
        <v>0</v>
      </c>
      <c r="AC67" s="304">
        <f t="shared" si="39"/>
        <v>0</v>
      </c>
      <c r="AD67" s="100">
        <f t="shared" si="8"/>
        <v>0</v>
      </c>
      <c r="AE67" s="100">
        <f t="shared" si="9"/>
        <v>0</v>
      </c>
      <c r="AF67" s="193">
        <f t="shared" si="34"/>
        <v>12.942548311082628</v>
      </c>
      <c r="AG67" s="193">
        <f t="shared" si="35"/>
        <v>0</v>
      </c>
      <c r="AH67" s="193">
        <f t="shared" si="36"/>
        <v>0</v>
      </c>
      <c r="AI67" s="198">
        <f t="shared" si="37"/>
        <v>12.942548311082628</v>
      </c>
      <c r="AK67" s="71">
        <v>62</v>
      </c>
      <c r="AL67" s="33"/>
      <c r="AM67" s="33"/>
      <c r="AN67" s="33"/>
      <c r="AO67" s="33"/>
      <c r="AP67" s="33"/>
      <c r="AQ67" s="193"/>
      <c r="AR67" s="193"/>
      <c r="AS67" s="193"/>
      <c r="AT67" s="193"/>
      <c r="AU67" s="33"/>
      <c r="AV67" s="33"/>
      <c r="AW67" s="33"/>
      <c r="AX67" s="33"/>
      <c r="AY67" s="76"/>
    </row>
    <row r="68" spans="2:51">
      <c r="B68" s="40">
        <f t="shared" si="31"/>
        <v>125</v>
      </c>
      <c r="C68" s="151">
        <f t="shared" si="38"/>
        <v>126</v>
      </c>
      <c r="D68" s="136">
        <v>268</v>
      </c>
      <c r="E68" s="140">
        <f t="shared" si="29"/>
        <v>1.56</v>
      </c>
      <c r="F68" s="42">
        <f t="shared" si="42"/>
        <v>418.08000000000004</v>
      </c>
      <c r="G68" s="51">
        <f t="shared" si="43"/>
        <v>-24.95999999999998</v>
      </c>
      <c r="I68" s="55">
        <v>63</v>
      </c>
      <c r="J68" s="33">
        <f t="shared" si="18"/>
        <v>20.370000000000015</v>
      </c>
      <c r="K68" s="33">
        <f t="shared" si="19"/>
        <v>6.609620705123719</v>
      </c>
      <c r="L68" s="33">
        <f t="shared" si="20"/>
        <v>70</v>
      </c>
      <c r="M68" s="33">
        <f t="shared" si="21"/>
        <v>10</v>
      </c>
      <c r="N68" s="33">
        <f t="shared" si="0"/>
        <v>0</v>
      </c>
      <c r="O68" s="34">
        <f t="shared" si="1"/>
        <v>340.32283939475718</v>
      </c>
      <c r="P68" s="55">
        <v>63</v>
      </c>
      <c r="Q68" s="33">
        <f t="shared" si="15"/>
        <v>14.040000000000006</v>
      </c>
      <c r="R68" s="33">
        <f t="shared" si="22"/>
        <v>329.16</v>
      </c>
      <c r="S68" s="33">
        <f t="shared" si="23"/>
        <v>190.9128</v>
      </c>
      <c r="T68" s="33">
        <f t="shared" si="2"/>
        <v>47.741703645431606</v>
      </c>
      <c r="U68" s="33">
        <f t="shared" si="16"/>
        <v>70</v>
      </c>
      <c r="V68" s="33">
        <f t="shared" si="3"/>
        <v>10</v>
      </c>
      <c r="W68" s="33">
        <v>0</v>
      </c>
      <c r="X68" s="33">
        <f t="shared" si="4"/>
        <v>708.98992718246006</v>
      </c>
      <c r="Y68" s="38">
        <f t="shared" si="5"/>
        <v>368.66708778770288</v>
      </c>
      <c r="AA68" s="71">
        <v>63</v>
      </c>
      <c r="AB68" s="33">
        <f t="shared" si="6"/>
        <v>0</v>
      </c>
      <c r="AC68" s="304">
        <f t="shared" si="39"/>
        <v>0</v>
      </c>
      <c r="AD68" s="100">
        <f t="shared" si="8"/>
        <v>0</v>
      </c>
      <c r="AE68" s="100">
        <f t="shared" si="9"/>
        <v>0</v>
      </c>
      <c r="AF68" s="193">
        <f t="shared" si="34"/>
        <v>12.688752832877283</v>
      </c>
      <c r="AG68" s="193">
        <f t="shared" si="35"/>
        <v>0</v>
      </c>
      <c r="AH68" s="193">
        <f t="shared" si="36"/>
        <v>0</v>
      </c>
      <c r="AI68" s="198">
        <f t="shared" si="37"/>
        <v>12.688752832877283</v>
      </c>
      <c r="AK68" s="71">
        <v>63</v>
      </c>
      <c r="AL68" s="33"/>
      <c r="AM68" s="33"/>
      <c r="AN68" s="33"/>
      <c r="AO68" s="33"/>
      <c r="AP68" s="33"/>
      <c r="AQ68" s="193"/>
      <c r="AR68" s="193"/>
      <c r="AS68" s="193"/>
      <c r="AT68" s="193"/>
      <c r="AU68" s="33"/>
      <c r="AV68" s="33"/>
      <c r="AW68" s="33"/>
      <c r="AX68" s="33"/>
      <c r="AY68" s="76"/>
    </row>
    <row r="69" spans="2:51">
      <c r="B69" s="40">
        <f t="shared" si="31"/>
        <v>126</v>
      </c>
      <c r="C69" s="151">
        <f t="shared" si="38"/>
        <v>130</v>
      </c>
      <c r="D69" s="136">
        <f>D70+15</f>
        <v>284</v>
      </c>
      <c r="E69" s="140">
        <f t="shared" si="29"/>
        <v>1.56</v>
      </c>
      <c r="F69" s="42">
        <f t="shared" ref="F69:F78" si="44">D69*E69</f>
        <v>443.04</v>
      </c>
      <c r="G69" s="51">
        <f t="shared" ref="G69:G78" si="45">(F69-F68)/(C69-B69)</f>
        <v>6.2399999999999949</v>
      </c>
      <c r="I69" s="55">
        <v>64</v>
      </c>
      <c r="J69" s="33">
        <f t="shared" si="18"/>
        <v>20.790000000000017</v>
      </c>
      <c r="K69" s="33">
        <f t="shared" si="19"/>
        <v>6.7298950502076895</v>
      </c>
      <c r="L69" s="33">
        <f t="shared" si="20"/>
        <v>70</v>
      </c>
      <c r="M69" s="33">
        <f t="shared" si="21"/>
        <v>10</v>
      </c>
      <c r="N69" s="33">
        <f t="shared" ref="N69:N132" si="46">IF(P70&lt;=$F$18,0,)</f>
        <v>0</v>
      </c>
      <c r="O69" s="34">
        <f t="shared" ref="O69:O132" si="47">((J69+K69)*0.475+L69+M69+N69)*44/12</f>
        <v>341.26381721244508</v>
      </c>
      <c r="P69" s="55">
        <v>64</v>
      </c>
      <c r="Q69" s="33">
        <f t="shared" si="15"/>
        <v>14.040000000000006</v>
      </c>
      <c r="R69" s="33">
        <f t="shared" si="22"/>
        <v>343.20000000000005</v>
      </c>
      <c r="S69" s="33">
        <f t="shared" si="23"/>
        <v>199.05600000000001</v>
      </c>
      <c r="T69" s="33">
        <f t="shared" ref="T69:T132" si="48">IF(S69=0,0,EXP(-1.0587+0.8836*LN(S69)+0.284))</f>
        <v>49.536648006253934</v>
      </c>
      <c r="U69" s="33">
        <f t="shared" si="16"/>
        <v>70</v>
      </c>
      <c r="V69" s="33">
        <f t="shared" ref="V69:V132" si="49">IF(P69&lt;=$F$18,IF(P69&lt;=30,P69*($F$16-$F$6)/30,$F$16-$F$6),)</f>
        <v>10</v>
      </c>
      <c r="W69" s="33">
        <v>0</v>
      </c>
      <c r="X69" s="33">
        <f t="shared" ref="X69:X132" si="50">((S69+T69)*0.475+U69+V69+W69)*44/12</f>
        <v>726.29886194422568</v>
      </c>
      <c r="Y69" s="38">
        <f t="shared" ref="Y69:Y132" si="51">IF(P69&lt;=$F$18,X69-O69,)</f>
        <v>385.0350447317806</v>
      </c>
      <c r="AA69" s="71">
        <v>64</v>
      </c>
      <c r="AB69" s="33">
        <f t="shared" ref="AB69:AB132" si="52">IF(AA69&lt;=$F$18,IFERROR(VLOOKUP($AA69,$B$82:$G$94,2,FALSE),0),)</f>
        <v>0</v>
      </c>
      <c r="AC69" s="304">
        <f t="shared" si="39"/>
        <v>0</v>
      </c>
      <c r="AD69" s="100">
        <f t="shared" ref="AD69:AD132" si="53">IF(AA69&lt;=$F$18,IFERROR(VLOOKUP($AA69,$B$82:$G$94,4,FALSE),0),)</f>
        <v>0</v>
      </c>
      <c r="AE69" s="100">
        <f t="shared" ref="AE69:AE132" si="54">IF(AA69&lt;=$F$18,IFERROR(VLOOKUP($AA69,$B$82:$G$94,5,FALSE),0),)</f>
        <v>0</v>
      </c>
      <c r="AF69" s="193">
        <f t="shared" si="34"/>
        <v>12.439934129199587</v>
      </c>
      <c r="AG69" s="193">
        <f t="shared" si="35"/>
        <v>0</v>
      </c>
      <c r="AH69" s="193">
        <f t="shared" si="36"/>
        <v>0</v>
      </c>
      <c r="AI69" s="198">
        <f t="shared" si="37"/>
        <v>12.439934129199587</v>
      </c>
      <c r="AK69" s="71">
        <v>64</v>
      </c>
      <c r="AL69" s="33"/>
      <c r="AM69" s="33"/>
      <c r="AN69" s="33"/>
      <c r="AO69" s="33"/>
      <c r="AP69" s="33"/>
      <c r="AQ69" s="193"/>
      <c r="AR69" s="193"/>
      <c r="AS69" s="193"/>
      <c r="AT69" s="193"/>
      <c r="AU69" s="33"/>
      <c r="AV69" s="33"/>
      <c r="AW69" s="33"/>
      <c r="AX69" s="33"/>
      <c r="AY69" s="76"/>
    </row>
    <row r="70" spans="2:51">
      <c r="B70" s="40">
        <f t="shared" si="31"/>
        <v>130</v>
      </c>
      <c r="C70" s="151">
        <f t="shared" si="38"/>
        <v>131</v>
      </c>
      <c r="D70" s="136">
        <v>269</v>
      </c>
      <c r="E70" s="140">
        <f t="shared" si="29"/>
        <v>1.56</v>
      </c>
      <c r="F70" s="42">
        <f t="shared" si="44"/>
        <v>419.64</v>
      </c>
      <c r="G70" s="51">
        <f t="shared" si="45"/>
        <v>-23.400000000000034</v>
      </c>
      <c r="I70" s="55">
        <v>65</v>
      </c>
      <c r="J70" s="33">
        <f t="shared" si="18"/>
        <v>21.210000000000019</v>
      </c>
      <c r="K70" s="33">
        <f t="shared" si="19"/>
        <v>6.8498868803090076</v>
      </c>
      <c r="L70" s="33">
        <f t="shared" si="20"/>
        <v>70</v>
      </c>
      <c r="M70" s="33">
        <f t="shared" si="21"/>
        <v>10</v>
      </c>
      <c r="N70" s="33">
        <f t="shared" si="46"/>
        <v>0</v>
      </c>
      <c r="O70" s="34">
        <f t="shared" si="47"/>
        <v>342.20430298320485</v>
      </c>
      <c r="P70" s="55">
        <v>65</v>
      </c>
      <c r="Q70" s="33">
        <f t="shared" ref="Q70:Q133" si="55">IF(P70&lt;=$F$18,LOOKUP(P70-1,$B$25:$B$78,$G$25:$G$78),)</f>
        <v>14.040000000000006</v>
      </c>
      <c r="R70" s="33">
        <f t="shared" si="22"/>
        <v>357.24000000000007</v>
      </c>
      <c r="S70" s="33">
        <f t="shared" si="23"/>
        <v>207.19920000000002</v>
      </c>
      <c r="T70" s="33">
        <f t="shared" si="48"/>
        <v>51.32306297366555</v>
      </c>
      <c r="U70" s="33">
        <f t="shared" ref="U70:U133" si="56">IF(P70&lt;=$F$18,$F$5+($F$15-$F$5)*(1-EXP(-0.0175*P70)),)</f>
        <v>70</v>
      </c>
      <c r="V70" s="33">
        <f t="shared" si="49"/>
        <v>10</v>
      </c>
      <c r="W70" s="33">
        <v>0</v>
      </c>
      <c r="X70" s="33">
        <f t="shared" si="50"/>
        <v>743.5929413458008</v>
      </c>
      <c r="Y70" s="38">
        <f t="shared" si="51"/>
        <v>401.38863836259594</v>
      </c>
      <c r="AA70" s="71">
        <v>65</v>
      </c>
      <c r="AB70" s="33">
        <f t="shared" si="52"/>
        <v>0</v>
      </c>
      <c r="AC70" s="304">
        <f t="shared" si="39"/>
        <v>0</v>
      </c>
      <c r="AD70" s="100">
        <f t="shared" si="53"/>
        <v>0</v>
      </c>
      <c r="AE70" s="100">
        <f t="shared" si="54"/>
        <v>0</v>
      </c>
      <c r="AF70" s="193">
        <f t="shared" si="34"/>
        <v>12.195994608536587</v>
      </c>
      <c r="AG70" s="193">
        <f t="shared" si="35"/>
        <v>0</v>
      </c>
      <c r="AH70" s="193">
        <f t="shared" si="36"/>
        <v>0</v>
      </c>
      <c r="AI70" s="198">
        <f t="shared" si="37"/>
        <v>12.195994608536587</v>
      </c>
      <c r="AK70" s="71">
        <v>65</v>
      </c>
      <c r="AL70" s="33"/>
      <c r="AM70" s="33"/>
      <c r="AN70" s="33"/>
      <c r="AO70" s="33"/>
      <c r="AP70" s="33"/>
      <c r="AQ70" s="193"/>
      <c r="AR70" s="193"/>
      <c r="AS70" s="193"/>
      <c r="AT70" s="193"/>
      <c r="AU70" s="33"/>
      <c r="AV70" s="33"/>
      <c r="AW70" s="33"/>
      <c r="AX70" s="33"/>
      <c r="AY70" s="76"/>
    </row>
    <row r="71" spans="2:51">
      <c r="B71" s="40">
        <f t="shared" si="31"/>
        <v>131</v>
      </c>
      <c r="C71" s="151">
        <f t="shared" si="38"/>
        <v>135</v>
      </c>
      <c r="D71" s="136">
        <f>D72+14</f>
        <v>283</v>
      </c>
      <c r="E71" s="140">
        <f t="shared" si="29"/>
        <v>1.56</v>
      </c>
      <c r="F71" s="42">
        <f t="shared" si="44"/>
        <v>441.48</v>
      </c>
      <c r="G71" s="51">
        <f t="shared" si="45"/>
        <v>5.460000000000008</v>
      </c>
      <c r="I71" s="55">
        <v>66</v>
      </c>
      <c r="J71" s="33">
        <f t="shared" ref="J71:J134" si="57">IF($I71&lt;=$F$10,$F$11*$F$13+J70,)</f>
        <v>21.63000000000002</v>
      </c>
      <c r="K71" s="33">
        <f t="shared" ref="K71:K134" si="58">IF(J71=0,0,EXP(-1.0587+0.8836*LN(J71)+0.284))</f>
        <v>6.9696024345973786</v>
      </c>
      <c r="L71" s="33">
        <f t="shared" ref="L71:L134" si="59">IF(I71&lt;=$F$10,$F$5+($F$8-$F$5)*(1-EXP(-0.0175*I71)),)</f>
        <v>70</v>
      </c>
      <c r="M71" s="33">
        <f t="shared" ref="M71:M134" si="60">IF(I71&lt;=$F$10,IF(I71&lt;=30,I71*($F$9-$F$6)/30,$F$9-$F$6),)</f>
        <v>10</v>
      </c>
      <c r="N71" s="33">
        <f t="shared" si="46"/>
        <v>0</v>
      </c>
      <c r="O71" s="34">
        <f t="shared" si="47"/>
        <v>343.14430757359042</v>
      </c>
      <c r="P71" s="55">
        <v>66</v>
      </c>
      <c r="Q71" s="33">
        <f t="shared" si="55"/>
        <v>-32.759999999999991</v>
      </c>
      <c r="R71" s="33">
        <f t="shared" ref="R71:R134" si="61">IF(P71&lt;=$F$18,Q71+R70,)</f>
        <v>324.48000000000008</v>
      </c>
      <c r="S71" s="33">
        <f t="shared" ref="S71:S134" si="62">$F$19*R71</f>
        <v>188.19840000000002</v>
      </c>
      <c r="T71" s="33">
        <f t="shared" si="48"/>
        <v>47.141424081428013</v>
      </c>
      <c r="U71" s="33">
        <f t="shared" si="56"/>
        <v>70</v>
      </c>
      <c r="V71" s="33">
        <f t="shared" si="49"/>
        <v>10</v>
      </c>
      <c r="W71" s="33">
        <v>0</v>
      </c>
      <c r="X71" s="33">
        <f t="shared" si="50"/>
        <v>703.21686027515386</v>
      </c>
      <c r="Y71" s="38">
        <f t="shared" si="51"/>
        <v>360.07255270156344</v>
      </c>
      <c r="AA71" s="71">
        <v>66</v>
      </c>
      <c r="AB71" s="33">
        <f t="shared" si="52"/>
        <v>21</v>
      </c>
      <c r="AC71" s="304">
        <f t="shared" si="39"/>
        <v>0.3</v>
      </c>
      <c r="AD71" s="100">
        <f t="shared" si="53"/>
        <v>0</v>
      </c>
      <c r="AE71" s="100">
        <f t="shared" si="54"/>
        <v>0</v>
      </c>
      <c r="AF71" s="193">
        <f t="shared" si="34"/>
        <v>18.258285069314276</v>
      </c>
      <c r="AG71" s="193">
        <f t="shared" si="35"/>
        <v>0</v>
      </c>
      <c r="AH71" s="193">
        <f t="shared" si="36"/>
        <v>0</v>
      </c>
      <c r="AI71" s="198">
        <f t="shared" si="37"/>
        <v>18.258285069314276</v>
      </c>
      <c r="AK71" s="71">
        <v>66</v>
      </c>
      <c r="AL71" s="33"/>
      <c r="AM71" s="33"/>
      <c r="AN71" s="33"/>
      <c r="AO71" s="33"/>
      <c r="AP71" s="33"/>
      <c r="AQ71" s="193"/>
      <c r="AR71" s="193"/>
      <c r="AS71" s="193"/>
      <c r="AT71" s="193"/>
      <c r="AU71" s="33"/>
      <c r="AV71" s="33"/>
      <c r="AW71" s="33"/>
      <c r="AX71" s="33"/>
      <c r="AY71" s="76"/>
    </row>
    <row r="72" spans="2:51">
      <c r="B72" s="40">
        <f t="shared" si="31"/>
        <v>135</v>
      </c>
      <c r="C72" s="151">
        <f t="shared" si="38"/>
        <v>136</v>
      </c>
      <c r="D72" s="136">
        <v>269</v>
      </c>
      <c r="E72" s="140">
        <f t="shared" si="29"/>
        <v>1.56</v>
      </c>
      <c r="F72" s="42">
        <f t="shared" si="44"/>
        <v>419.64</v>
      </c>
      <c r="G72" s="51">
        <f t="shared" si="45"/>
        <v>-21.840000000000032</v>
      </c>
      <c r="I72" s="55">
        <v>67</v>
      </c>
      <c r="J72" s="33">
        <f t="shared" si="57"/>
        <v>22.050000000000022</v>
      </c>
      <c r="K72" s="33">
        <f t="shared" si="58"/>
        <v>7.0890476960841928</v>
      </c>
      <c r="L72" s="33">
        <f t="shared" si="59"/>
        <v>70</v>
      </c>
      <c r="M72" s="33">
        <f t="shared" si="60"/>
        <v>10</v>
      </c>
      <c r="N72" s="33">
        <f t="shared" si="46"/>
        <v>0</v>
      </c>
      <c r="O72" s="34">
        <f t="shared" si="47"/>
        <v>344.08384140401336</v>
      </c>
      <c r="P72" s="55">
        <v>67</v>
      </c>
      <c r="Q72" s="33">
        <f t="shared" si="55"/>
        <v>13.260000000000005</v>
      </c>
      <c r="R72" s="33">
        <f t="shared" si="61"/>
        <v>337.74000000000007</v>
      </c>
      <c r="S72" s="33">
        <f t="shared" si="62"/>
        <v>195.88920000000002</v>
      </c>
      <c r="T72" s="33">
        <f t="shared" si="48"/>
        <v>48.839649228671739</v>
      </c>
      <c r="U72" s="33">
        <f t="shared" si="56"/>
        <v>70</v>
      </c>
      <c r="V72" s="33">
        <f t="shared" si="49"/>
        <v>10</v>
      </c>
      <c r="W72" s="33">
        <v>0</v>
      </c>
      <c r="X72" s="33">
        <f t="shared" si="50"/>
        <v>719.56941240660319</v>
      </c>
      <c r="Y72" s="38">
        <f t="shared" si="51"/>
        <v>375.48557100258984</v>
      </c>
      <c r="AA72" s="71">
        <v>67</v>
      </c>
      <c r="AB72" s="33">
        <f t="shared" si="52"/>
        <v>0</v>
      </c>
      <c r="AC72" s="304">
        <f t="shared" si="39"/>
        <v>0</v>
      </c>
      <c r="AD72" s="100">
        <f t="shared" si="53"/>
        <v>0</v>
      </c>
      <c r="AE72" s="100">
        <f t="shared" si="54"/>
        <v>0</v>
      </c>
      <c r="AF72" s="193">
        <f t="shared" si="34"/>
        <v>17.900251235559281</v>
      </c>
      <c r="AG72" s="193">
        <f t="shared" si="35"/>
        <v>0</v>
      </c>
      <c r="AH72" s="193">
        <f t="shared" si="36"/>
        <v>0</v>
      </c>
      <c r="AI72" s="198">
        <f t="shared" si="37"/>
        <v>17.900251235559281</v>
      </c>
      <c r="AK72" s="71">
        <v>67</v>
      </c>
      <c r="AL72" s="33"/>
      <c r="AM72" s="33"/>
      <c r="AN72" s="33"/>
      <c r="AO72" s="33"/>
      <c r="AP72" s="33"/>
      <c r="AQ72" s="193"/>
      <c r="AR72" s="193"/>
      <c r="AS72" s="193"/>
      <c r="AT72" s="193"/>
      <c r="AU72" s="33"/>
      <c r="AV72" s="33"/>
      <c r="AW72" s="33"/>
      <c r="AX72" s="33"/>
      <c r="AY72" s="76"/>
    </row>
    <row r="73" spans="2:51">
      <c r="B73" s="40">
        <f t="shared" si="31"/>
        <v>136</v>
      </c>
      <c r="C73" s="151">
        <f t="shared" si="38"/>
        <v>140</v>
      </c>
      <c r="D73" s="136">
        <f>D74+13</f>
        <v>282</v>
      </c>
      <c r="E73" s="140">
        <f t="shared" si="29"/>
        <v>1.56</v>
      </c>
      <c r="F73" s="42">
        <f t="shared" si="44"/>
        <v>439.92</v>
      </c>
      <c r="G73" s="51">
        <f t="shared" si="45"/>
        <v>5.0700000000000074</v>
      </c>
      <c r="I73" s="55">
        <v>68</v>
      </c>
      <c r="J73" s="33">
        <f t="shared" si="57"/>
        <v>22.470000000000024</v>
      </c>
      <c r="K73" s="33">
        <f t="shared" si="58"/>
        <v>7.208228406814932</v>
      </c>
      <c r="L73" s="33">
        <f t="shared" si="59"/>
        <v>70</v>
      </c>
      <c r="M73" s="33">
        <f t="shared" si="60"/>
        <v>10</v>
      </c>
      <c r="N73" s="33">
        <f t="shared" si="46"/>
        <v>0</v>
      </c>
      <c r="O73" s="34">
        <f t="shared" si="47"/>
        <v>345.0229144752027</v>
      </c>
      <c r="P73" s="55">
        <v>68</v>
      </c>
      <c r="Q73" s="33">
        <f t="shared" si="55"/>
        <v>13.260000000000005</v>
      </c>
      <c r="R73" s="33">
        <f t="shared" si="61"/>
        <v>351.00000000000006</v>
      </c>
      <c r="S73" s="33">
        <f t="shared" si="62"/>
        <v>203.58</v>
      </c>
      <c r="T73" s="33">
        <f t="shared" si="48"/>
        <v>50.530129131114101</v>
      </c>
      <c r="U73" s="33">
        <f t="shared" si="56"/>
        <v>70</v>
      </c>
      <c r="V73" s="33">
        <f t="shared" si="49"/>
        <v>10</v>
      </c>
      <c r="W73" s="33">
        <v>0</v>
      </c>
      <c r="X73" s="33">
        <f t="shared" si="50"/>
        <v>735.90847490335693</v>
      </c>
      <c r="Y73" s="38">
        <f t="shared" si="51"/>
        <v>390.88556042815424</v>
      </c>
      <c r="AA73" s="71">
        <v>68</v>
      </c>
      <c r="AB73" s="33">
        <f t="shared" si="52"/>
        <v>0</v>
      </c>
      <c r="AC73" s="304">
        <f t="shared" si="39"/>
        <v>0</v>
      </c>
      <c r="AD73" s="100">
        <f t="shared" si="53"/>
        <v>0</v>
      </c>
      <c r="AE73" s="100">
        <f t="shared" si="54"/>
        <v>0</v>
      </c>
      <c r="AF73" s="193">
        <f t="shared" si="34"/>
        <v>17.549238226905146</v>
      </c>
      <c r="AG73" s="193">
        <f t="shared" si="35"/>
        <v>0</v>
      </c>
      <c r="AH73" s="193">
        <f t="shared" si="36"/>
        <v>0</v>
      </c>
      <c r="AI73" s="198">
        <f t="shared" si="37"/>
        <v>17.549238226905146</v>
      </c>
      <c r="AK73" s="71">
        <v>68</v>
      </c>
      <c r="AL73" s="33"/>
      <c r="AM73" s="33"/>
      <c r="AN73" s="33"/>
      <c r="AO73" s="33"/>
      <c r="AP73" s="33"/>
      <c r="AQ73" s="193"/>
      <c r="AR73" s="193"/>
      <c r="AS73" s="193"/>
      <c r="AT73" s="193"/>
      <c r="AU73" s="33"/>
      <c r="AV73" s="33"/>
      <c r="AW73" s="33"/>
      <c r="AX73" s="33"/>
      <c r="AY73" s="76"/>
    </row>
    <row r="74" spans="2:51">
      <c r="B74" s="40">
        <f t="shared" si="31"/>
        <v>140</v>
      </c>
      <c r="C74" s="151">
        <f t="shared" si="38"/>
        <v>141</v>
      </c>
      <c r="D74" s="136">
        <v>269</v>
      </c>
      <c r="E74" s="140">
        <f t="shared" si="29"/>
        <v>1.56</v>
      </c>
      <c r="F74" s="42">
        <f t="shared" si="44"/>
        <v>419.64</v>
      </c>
      <c r="G74" s="51">
        <f t="shared" si="45"/>
        <v>-20.28000000000003</v>
      </c>
      <c r="I74" s="55">
        <v>69</v>
      </c>
      <c r="J74" s="33">
        <f t="shared" si="57"/>
        <v>22.890000000000025</v>
      </c>
      <c r="K74" s="33">
        <f t="shared" si="58"/>
        <v>7.3271500818935387</v>
      </c>
      <c r="L74" s="33">
        <f t="shared" si="59"/>
        <v>70</v>
      </c>
      <c r="M74" s="33">
        <f t="shared" si="60"/>
        <v>10</v>
      </c>
      <c r="N74" s="33">
        <f t="shared" si="46"/>
        <v>0</v>
      </c>
      <c r="O74" s="34">
        <f t="shared" si="47"/>
        <v>345.96153639263122</v>
      </c>
      <c r="P74" s="55">
        <v>69</v>
      </c>
      <c r="Q74" s="33">
        <f t="shared" si="55"/>
        <v>13.260000000000005</v>
      </c>
      <c r="R74" s="33">
        <f t="shared" si="61"/>
        <v>364.26000000000005</v>
      </c>
      <c r="S74" s="33">
        <f t="shared" si="62"/>
        <v>211.27080000000001</v>
      </c>
      <c r="T74" s="33">
        <f t="shared" si="48"/>
        <v>52.213189886050465</v>
      </c>
      <c r="U74" s="33">
        <f t="shared" si="56"/>
        <v>70</v>
      </c>
      <c r="V74" s="33">
        <f t="shared" si="49"/>
        <v>10</v>
      </c>
      <c r="W74" s="33">
        <v>0</v>
      </c>
      <c r="X74" s="33">
        <f t="shared" si="50"/>
        <v>752.23461571820451</v>
      </c>
      <c r="Y74" s="38">
        <f t="shared" si="51"/>
        <v>406.27307932557329</v>
      </c>
      <c r="AA74" s="71">
        <v>69</v>
      </c>
      <c r="AB74" s="33">
        <f t="shared" si="52"/>
        <v>0</v>
      </c>
      <c r="AC74" s="304">
        <f t="shared" si="39"/>
        <v>0</v>
      </c>
      <c r="AD74" s="100">
        <f t="shared" si="53"/>
        <v>0</v>
      </c>
      <c r="AE74" s="100">
        <f t="shared" si="54"/>
        <v>0</v>
      </c>
      <c r="AF74" s="193">
        <f t="shared" si="34"/>
        <v>17.205108369253924</v>
      </c>
      <c r="AG74" s="193">
        <f t="shared" si="35"/>
        <v>0</v>
      </c>
      <c r="AH74" s="193">
        <f t="shared" si="36"/>
        <v>0</v>
      </c>
      <c r="AI74" s="198">
        <f t="shared" si="37"/>
        <v>17.205108369253924</v>
      </c>
      <c r="AK74" s="71">
        <v>69</v>
      </c>
      <c r="AL74" s="33"/>
      <c r="AM74" s="33"/>
      <c r="AN74" s="33"/>
      <c r="AO74" s="33"/>
      <c r="AP74" s="33"/>
      <c r="AQ74" s="193"/>
      <c r="AR74" s="193"/>
      <c r="AS74" s="193"/>
      <c r="AT74" s="193"/>
      <c r="AU74" s="33"/>
      <c r="AV74" s="33"/>
      <c r="AW74" s="33"/>
      <c r="AX74" s="33"/>
      <c r="AY74" s="76"/>
    </row>
    <row r="75" spans="2:51">
      <c r="B75" s="40">
        <f t="shared" si="31"/>
        <v>141</v>
      </c>
      <c r="C75" s="151">
        <f t="shared" si="38"/>
        <v>145</v>
      </c>
      <c r="D75" s="136">
        <f>D76+13</f>
        <v>282</v>
      </c>
      <c r="E75" s="140">
        <f t="shared" si="29"/>
        <v>1.56</v>
      </c>
      <c r="F75" s="42">
        <f t="shared" si="44"/>
        <v>439.92</v>
      </c>
      <c r="G75" s="51">
        <f t="shared" si="45"/>
        <v>5.0700000000000074</v>
      </c>
      <c r="I75" s="55">
        <v>70</v>
      </c>
      <c r="J75" s="33">
        <f t="shared" si="57"/>
        <v>23.310000000000027</v>
      </c>
      <c r="K75" s="33">
        <f t="shared" si="58"/>
        <v>7.4458180224483508</v>
      </c>
      <c r="L75" s="33">
        <f t="shared" si="59"/>
        <v>70</v>
      </c>
      <c r="M75" s="33">
        <f t="shared" si="60"/>
        <v>10</v>
      </c>
      <c r="N75" s="33">
        <f t="shared" si="46"/>
        <v>0</v>
      </c>
      <c r="O75" s="34">
        <f t="shared" si="47"/>
        <v>346.89971638909759</v>
      </c>
      <c r="P75" s="55">
        <v>70</v>
      </c>
      <c r="Q75" s="33">
        <f t="shared" si="55"/>
        <v>13.260000000000005</v>
      </c>
      <c r="R75" s="33">
        <f t="shared" si="61"/>
        <v>377.52000000000004</v>
      </c>
      <c r="S75" s="33">
        <f t="shared" si="62"/>
        <v>218.9616</v>
      </c>
      <c r="T75" s="33">
        <f t="shared" si="48"/>
        <v>53.88913250370743</v>
      </c>
      <c r="U75" s="33">
        <f t="shared" si="56"/>
        <v>70</v>
      </c>
      <c r="V75" s="33">
        <f t="shared" si="49"/>
        <v>10</v>
      </c>
      <c r="W75" s="33">
        <v>0</v>
      </c>
      <c r="X75" s="33">
        <f t="shared" si="50"/>
        <v>768.54835911062389</v>
      </c>
      <c r="Y75" s="38">
        <f t="shared" si="51"/>
        <v>421.6486427215263</v>
      </c>
      <c r="AA75" s="71">
        <v>70</v>
      </c>
      <c r="AB75" s="33">
        <f t="shared" si="52"/>
        <v>0</v>
      </c>
      <c r="AC75" s="304">
        <f t="shared" si="39"/>
        <v>0</v>
      </c>
      <c r="AD75" s="100">
        <f t="shared" si="53"/>
        <v>0</v>
      </c>
      <c r="AE75" s="100">
        <f t="shared" si="54"/>
        <v>0</v>
      </c>
      <c r="AF75" s="193">
        <f t="shared" si="34"/>
        <v>16.867726688212755</v>
      </c>
      <c r="AG75" s="193">
        <f t="shared" si="35"/>
        <v>0</v>
      </c>
      <c r="AH75" s="193">
        <f t="shared" si="36"/>
        <v>0</v>
      </c>
      <c r="AI75" s="198">
        <f t="shared" si="37"/>
        <v>16.867726688212755</v>
      </c>
      <c r="AK75" s="71">
        <v>70</v>
      </c>
      <c r="AL75" s="33"/>
      <c r="AM75" s="33"/>
      <c r="AN75" s="33"/>
      <c r="AO75" s="33"/>
      <c r="AP75" s="33"/>
      <c r="AQ75" s="193"/>
      <c r="AR75" s="193"/>
      <c r="AS75" s="193"/>
      <c r="AT75" s="193"/>
      <c r="AU75" s="33"/>
      <c r="AV75" s="33"/>
      <c r="AW75" s="33"/>
      <c r="AX75" s="33"/>
      <c r="AY75" s="76"/>
    </row>
    <row r="76" spans="2:51">
      <c r="B76" s="40">
        <f t="shared" si="31"/>
        <v>145</v>
      </c>
      <c r="C76" s="151">
        <f t="shared" si="38"/>
        <v>146</v>
      </c>
      <c r="D76" s="136">
        <v>269</v>
      </c>
      <c r="E76" s="140">
        <f t="shared" si="29"/>
        <v>1.56</v>
      </c>
      <c r="F76" s="42">
        <f t="shared" si="44"/>
        <v>419.64</v>
      </c>
      <c r="G76" s="51">
        <f t="shared" si="45"/>
        <v>-20.28000000000003</v>
      </c>
      <c r="I76" s="55">
        <v>71</v>
      </c>
      <c r="J76" s="33">
        <f t="shared" si="57"/>
        <v>23.730000000000029</v>
      </c>
      <c r="K76" s="33">
        <f t="shared" si="58"/>
        <v>7.5642373276371462</v>
      </c>
      <c r="L76" s="33">
        <f t="shared" si="59"/>
        <v>70</v>
      </c>
      <c r="M76" s="33">
        <f t="shared" si="60"/>
        <v>10</v>
      </c>
      <c r="N76" s="33">
        <f t="shared" si="46"/>
        <v>0</v>
      </c>
      <c r="O76" s="34">
        <f t="shared" si="47"/>
        <v>347.83746334563472</v>
      </c>
      <c r="P76" s="55">
        <v>71</v>
      </c>
      <c r="Q76" s="33">
        <f t="shared" si="55"/>
        <v>-32.760000000000048</v>
      </c>
      <c r="R76" s="33">
        <f t="shared" si="61"/>
        <v>344.76</v>
      </c>
      <c r="S76" s="33">
        <f t="shared" si="62"/>
        <v>199.96079999999998</v>
      </c>
      <c r="T76" s="33">
        <f t="shared" si="48"/>
        <v>49.735552653569222</v>
      </c>
      <c r="U76" s="33">
        <f t="shared" si="56"/>
        <v>70</v>
      </c>
      <c r="V76" s="33">
        <f t="shared" si="49"/>
        <v>10</v>
      </c>
      <c r="W76" s="33">
        <v>0</v>
      </c>
      <c r="X76" s="33">
        <f t="shared" si="50"/>
        <v>728.22114753829965</v>
      </c>
      <c r="Y76" s="38">
        <f t="shared" si="51"/>
        <v>380.38368419266493</v>
      </c>
      <c r="AA76" s="71">
        <v>71</v>
      </c>
      <c r="AB76" s="33">
        <f t="shared" si="52"/>
        <v>21</v>
      </c>
      <c r="AC76" s="304">
        <f t="shared" si="39"/>
        <v>0.35</v>
      </c>
      <c r="AD76" s="100">
        <f t="shared" si="53"/>
        <v>0</v>
      </c>
      <c r="AE76" s="100">
        <f t="shared" si="54"/>
        <v>0</v>
      </c>
      <c r="AF76" s="193">
        <f t="shared" si="34"/>
        <v>23.888648411754684</v>
      </c>
      <c r="AG76" s="193">
        <f t="shared" si="35"/>
        <v>0</v>
      </c>
      <c r="AH76" s="193">
        <f t="shared" si="36"/>
        <v>0</v>
      </c>
      <c r="AI76" s="198">
        <f t="shared" si="37"/>
        <v>23.888648411754684</v>
      </c>
      <c r="AK76" s="71">
        <v>71</v>
      </c>
      <c r="AL76" s="33"/>
      <c r="AM76" s="33"/>
      <c r="AN76" s="33"/>
      <c r="AO76" s="33"/>
      <c r="AP76" s="33"/>
      <c r="AQ76" s="193"/>
      <c r="AR76" s="193"/>
      <c r="AS76" s="193"/>
      <c r="AT76" s="193"/>
      <c r="AU76" s="33"/>
      <c r="AV76" s="33"/>
      <c r="AW76" s="33"/>
      <c r="AX76" s="33"/>
      <c r="AY76" s="76"/>
    </row>
    <row r="77" spans="2:51">
      <c r="B77" s="40">
        <f t="shared" si="31"/>
        <v>146</v>
      </c>
      <c r="C77" s="151">
        <f t="shared" si="38"/>
        <v>150</v>
      </c>
      <c r="D77" s="136">
        <f>D78+12</f>
        <v>280</v>
      </c>
      <c r="E77" s="140">
        <f t="shared" si="29"/>
        <v>1.56</v>
      </c>
      <c r="F77" s="42">
        <f t="shared" si="44"/>
        <v>436.8</v>
      </c>
      <c r="G77" s="51">
        <f t="shared" si="45"/>
        <v>4.2900000000000063</v>
      </c>
      <c r="I77" s="55">
        <v>72</v>
      </c>
      <c r="J77" s="33">
        <f t="shared" si="57"/>
        <v>24.150000000000031</v>
      </c>
      <c r="K77" s="33">
        <f t="shared" si="58"/>
        <v>7.6824129057781763</v>
      </c>
      <c r="L77" s="33">
        <f t="shared" si="59"/>
        <v>70</v>
      </c>
      <c r="M77" s="33">
        <f t="shared" si="60"/>
        <v>10</v>
      </c>
      <c r="N77" s="33">
        <f t="shared" si="46"/>
        <v>0</v>
      </c>
      <c r="O77" s="34">
        <f t="shared" si="47"/>
        <v>348.77478581089707</v>
      </c>
      <c r="P77" s="55">
        <v>72</v>
      </c>
      <c r="Q77" s="33">
        <f t="shared" si="55"/>
        <v>12.090000000000003</v>
      </c>
      <c r="R77" s="33">
        <f t="shared" si="61"/>
        <v>356.85</v>
      </c>
      <c r="S77" s="33">
        <f t="shared" si="62"/>
        <v>206.97299999999998</v>
      </c>
      <c r="T77" s="33">
        <f t="shared" si="48"/>
        <v>51.273552121085558</v>
      </c>
      <c r="U77" s="33">
        <f t="shared" si="56"/>
        <v>70</v>
      </c>
      <c r="V77" s="33">
        <f t="shared" si="49"/>
        <v>10</v>
      </c>
      <c r="W77" s="33">
        <v>0</v>
      </c>
      <c r="X77" s="33">
        <f t="shared" si="50"/>
        <v>743.11274494422389</v>
      </c>
      <c r="Y77" s="38">
        <f t="shared" si="51"/>
        <v>394.33795913332682</v>
      </c>
      <c r="AA77" s="71">
        <v>72</v>
      </c>
      <c r="AB77" s="33">
        <f t="shared" si="52"/>
        <v>0</v>
      </c>
      <c r="AC77" s="304">
        <f t="shared" si="39"/>
        <v>0</v>
      </c>
      <c r="AD77" s="100">
        <f t="shared" si="53"/>
        <v>0</v>
      </c>
      <c r="AE77" s="100">
        <f t="shared" si="54"/>
        <v>0</v>
      </c>
      <c r="AF77" s="193">
        <f t="shared" si="34"/>
        <v>23.420206587036976</v>
      </c>
      <c r="AG77" s="193">
        <f t="shared" si="35"/>
        <v>0</v>
      </c>
      <c r="AH77" s="193">
        <f t="shared" si="36"/>
        <v>0</v>
      </c>
      <c r="AI77" s="198">
        <f t="shared" si="37"/>
        <v>23.420206587036976</v>
      </c>
      <c r="AK77" s="71">
        <v>72</v>
      </c>
      <c r="AL77" s="33"/>
      <c r="AM77" s="33"/>
      <c r="AN77" s="33"/>
      <c r="AO77" s="33"/>
      <c r="AP77" s="33"/>
      <c r="AQ77" s="193"/>
      <c r="AR77" s="193"/>
      <c r="AS77" s="193"/>
      <c r="AT77" s="193"/>
      <c r="AU77" s="33"/>
      <c r="AV77" s="33"/>
      <c r="AW77" s="33"/>
      <c r="AX77" s="33"/>
      <c r="AY77" s="76"/>
    </row>
    <row r="78" spans="2:51">
      <c r="B78" s="43">
        <f t="shared" si="31"/>
        <v>150</v>
      </c>
      <c r="C78" s="152">
        <f t="shared" si="38"/>
        <v>151</v>
      </c>
      <c r="D78" s="153">
        <v>268</v>
      </c>
      <c r="E78" s="140">
        <f t="shared" si="29"/>
        <v>1.56</v>
      </c>
      <c r="F78" s="42">
        <f t="shared" si="44"/>
        <v>418.08000000000004</v>
      </c>
      <c r="G78" s="51">
        <f t="shared" si="45"/>
        <v>-18.71999999999997</v>
      </c>
      <c r="I78" s="55">
        <v>73</v>
      </c>
      <c r="J78" s="33">
        <f t="shared" si="57"/>
        <v>24.570000000000032</v>
      </c>
      <c r="K78" s="33">
        <f t="shared" si="58"/>
        <v>7.8003494846849346</v>
      </c>
      <c r="L78" s="33">
        <f t="shared" si="59"/>
        <v>70</v>
      </c>
      <c r="M78" s="33">
        <f t="shared" si="60"/>
        <v>10</v>
      </c>
      <c r="N78" s="33">
        <f t="shared" si="46"/>
        <v>0</v>
      </c>
      <c r="O78" s="34">
        <f t="shared" si="47"/>
        <v>349.71169201915967</v>
      </c>
      <c r="P78" s="55">
        <v>73</v>
      </c>
      <c r="Q78" s="33">
        <f t="shared" si="55"/>
        <v>12.090000000000003</v>
      </c>
      <c r="R78" s="33">
        <f t="shared" si="61"/>
        <v>368.94000000000005</v>
      </c>
      <c r="S78" s="33">
        <f t="shared" si="62"/>
        <v>213.98520000000002</v>
      </c>
      <c r="T78" s="33">
        <f t="shared" si="48"/>
        <v>52.805497044008654</v>
      </c>
      <c r="U78" s="33">
        <f t="shared" si="56"/>
        <v>70</v>
      </c>
      <c r="V78" s="33">
        <f t="shared" si="49"/>
        <v>10</v>
      </c>
      <c r="W78" s="33">
        <v>0</v>
      </c>
      <c r="X78" s="33">
        <f t="shared" si="50"/>
        <v>757.99379735164837</v>
      </c>
      <c r="Y78" s="38">
        <f t="shared" si="51"/>
        <v>408.2821053324887</v>
      </c>
      <c r="AA78" s="71">
        <v>73</v>
      </c>
      <c r="AB78" s="33">
        <f t="shared" si="52"/>
        <v>0</v>
      </c>
      <c r="AC78" s="304">
        <f t="shared" si="39"/>
        <v>0</v>
      </c>
      <c r="AD78" s="100">
        <f t="shared" si="53"/>
        <v>0</v>
      </c>
      <c r="AE78" s="100">
        <f t="shared" si="54"/>
        <v>0</v>
      </c>
      <c r="AF78" s="193">
        <f t="shared" si="34"/>
        <v>22.960950620780679</v>
      </c>
      <c r="AG78" s="193">
        <f t="shared" si="35"/>
        <v>0</v>
      </c>
      <c r="AH78" s="193">
        <f t="shared" si="36"/>
        <v>0</v>
      </c>
      <c r="AI78" s="198">
        <f t="shared" si="37"/>
        <v>22.960950620780679</v>
      </c>
      <c r="AK78" s="71">
        <v>73</v>
      </c>
      <c r="AL78" s="33"/>
      <c r="AM78" s="33"/>
      <c r="AN78" s="33"/>
      <c r="AO78" s="33"/>
      <c r="AP78" s="33"/>
      <c r="AQ78" s="193"/>
      <c r="AR78" s="193"/>
      <c r="AS78" s="193"/>
      <c r="AT78" s="193"/>
      <c r="AU78" s="33"/>
      <c r="AV78" s="33"/>
      <c r="AW78" s="33"/>
      <c r="AX78" s="33"/>
      <c r="AY78" s="76"/>
    </row>
    <row r="79" spans="2:51">
      <c r="I79" s="55">
        <v>74</v>
      </c>
      <c r="J79" s="33">
        <f t="shared" si="57"/>
        <v>24.990000000000034</v>
      </c>
      <c r="K79" s="33">
        <f t="shared" si="58"/>
        <v>7.9180516212743148</v>
      </c>
      <c r="L79" s="33">
        <f t="shared" si="59"/>
        <v>70</v>
      </c>
      <c r="M79" s="33">
        <f t="shared" si="60"/>
        <v>10</v>
      </c>
      <c r="N79" s="33">
        <f t="shared" si="46"/>
        <v>0</v>
      </c>
      <c r="O79" s="34">
        <f t="shared" si="47"/>
        <v>350.64818990705277</v>
      </c>
      <c r="P79" s="55">
        <v>74</v>
      </c>
      <c r="Q79" s="33">
        <f t="shared" si="55"/>
        <v>12.090000000000003</v>
      </c>
      <c r="R79" s="33">
        <f t="shared" si="61"/>
        <v>381.03000000000009</v>
      </c>
      <c r="S79" s="33">
        <f t="shared" si="62"/>
        <v>220.99740000000003</v>
      </c>
      <c r="T79" s="33">
        <f t="shared" si="48"/>
        <v>54.331608579858553</v>
      </c>
      <c r="U79" s="33">
        <f t="shared" si="56"/>
        <v>70</v>
      </c>
      <c r="V79" s="33">
        <f t="shared" si="49"/>
        <v>10</v>
      </c>
      <c r="W79" s="33">
        <v>0</v>
      </c>
      <c r="X79" s="33">
        <f t="shared" si="50"/>
        <v>772.86468994325367</v>
      </c>
      <c r="Y79" s="38">
        <f t="shared" si="51"/>
        <v>422.2165000362009</v>
      </c>
      <c r="AA79" s="71">
        <v>74</v>
      </c>
      <c r="AB79" s="33">
        <f t="shared" si="52"/>
        <v>0</v>
      </c>
      <c r="AC79" s="304">
        <f t="shared" si="39"/>
        <v>0</v>
      </c>
      <c r="AD79" s="100">
        <f t="shared" si="53"/>
        <v>0</v>
      </c>
      <c r="AE79" s="100">
        <f t="shared" si="54"/>
        <v>0</v>
      </c>
      <c r="AF79" s="193">
        <f t="shared" si="34"/>
        <v>22.51070038390419</v>
      </c>
      <c r="AG79" s="193">
        <f t="shared" si="35"/>
        <v>0</v>
      </c>
      <c r="AH79" s="193">
        <f t="shared" si="36"/>
        <v>0</v>
      </c>
      <c r="AI79" s="198">
        <f t="shared" si="37"/>
        <v>22.51070038390419</v>
      </c>
      <c r="AK79" s="71">
        <v>74</v>
      </c>
      <c r="AL79" s="33"/>
      <c r="AM79" s="33"/>
      <c r="AN79" s="33"/>
      <c r="AO79" s="33"/>
      <c r="AP79" s="33"/>
      <c r="AQ79" s="193"/>
      <c r="AR79" s="193"/>
      <c r="AS79" s="193"/>
      <c r="AT79" s="193"/>
      <c r="AU79" s="33"/>
      <c r="AV79" s="33"/>
      <c r="AW79" s="33"/>
      <c r="AX79" s="33"/>
      <c r="AY79" s="76"/>
    </row>
    <row r="80" spans="2:51">
      <c r="B80" s="357" t="s">
        <v>259</v>
      </c>
      <c r="C80" s="358"/>
      <c r="D80" s="358"/>
      <c r="E80" s="358"/>
      <c r="F80" s="358"/>
      <c r="G80" s="359"/>
      <c r="H80" s="23"/>
      <c r="I80" s="55">
        <v>75</v>
      </c>
      <c r="J80" s="33">
        <f t="shared" si="57"/>
        <v>25.410000000000036</v>
      </c>
      <c r="K80" s="33">
        <f t="shared" si="58"/>
        <v>8.0355237105104518</v>
      </c>
      <c r="L80" s="33">
        <f t="shared" si="59"/>
        <v>70</v>
      </c>
      <c r="M80" s="33">
        <f t="shared" si="60"/>
        <v>10</v>
      </c>
      <c r="N80" s="33">
        <f t="shared" si="46"/>
        <v>0</v>
      </c>
      <c r="O80" s="34">
        <f t="shared" si="47"/>
        <v>351.58428712913906</v>
      </c>
      <c r="P80" s="55">
        <v>75</v>
      </c>
      <c r="Q80" s="33">
        <f t="shared" si="55"/>
        <v>12.090000000000003</v>
      </c>
      <c r="R80" s="33">
        <f t="shared" si="61"/>
        <v>393.12000000000012</v>
      </c>
      <c r="S80" s="33">
        <f t="shared" si="62"/>
        <v>228.00960000000006</v>
      </c>
      <c r="T80" s="33">
        <f t="shared" si="48"/>
        <v>55.852093054619829</v>
      </c>
      <c r="U80" s="33">
        <f t="shared" si="56"/>
        <v>70</v>
      </c>
      <c r="V80" s="33">
        <f t="shared" si="49"/>
        <v>10</v>
      </c>
      <c r="W80" s="33">
        <v>0</v>
      </c>
      <c r="X80" s="33">
        <f t="shared" si="50"/>
        <v>787.72578207012964</v>
      </c>
      <c r="Y80" s="38">
        <f t="shared" si="51"/>
        <v>436.14149494099058</v>
      </c>
      <c r="AA80" s="71">
        <v>75</v>
      </c>
      <c r="AB80" s="33">
        <f t="shared" si="52"/>
        <v>0</v>
      </c>
      <c r="AC80" s="304">
        <f t="shared" si="39"/>
        <v>0</v>
      </c>
      <c r="AD80" s="100">
        <f t="shared" si="53"/>
        <v>0</v>
      </c>
      <c r="AE80" s="100">
        <f t="shared" si="54"/>
        <v>0</v>
      </c>
      <c r="AF80" s="193">
        <f t="shared" si="34"/>
        <v>22.06927927954732</v>
      </c>
      <c r="AG80" s="193">
        <f t="shared" si="35"/>
        <v>0</v>
      </c>
      <c r="AH80" s="193">
        <f t="shared" si="36"/>
        <v>0</v>
      </c>
      <c r="AI80" s="198">
        <f t="shared" si="37"/>
        <v>22.06927927954732</v>
      </c>
      <c r="AK80" s="71">
        <v>75</v>
      </c>
      <c r="AL80" s="33"/>
      <c r="AM80" s="33"/>
      <c r="AN80" s="33"/>
      <c r="AO80" s="33"/>
      <c r="AP80" s="33"/>
      <c r="AQ80" s="193"/>
      <c r="AR80" s="193"/>
      <c r="AS80" s="193"/>
      <c r="AT80" s="193"/>
      <c r="AU80" s="33"/>
      <c r="AV80" s="33"/>
      <c r="AW80" s="33"/>
      <c r="AX80" s="33"/>
      <c r="AY80" s="76"/>
    </row>
    <row r="81" spans="2:51">
      <c r="B81" s="155" t="s">
        <v>76</v>
      </c>
      <c r="C81" s="131" t="s">
        <v>156</v>
      </c>
      <c r="D81" s="129" t="s">
        <v>78</v>
      </c>
      <c r="E81" s="129" t="s">
        <v>81</v>
      </c>
      <c r="F81" s="129" t="s">
        <v>80</v>
      </c>
      <c r="G81" s="130" t="s">
        <v>79</v>
      </c>
      <c r="H81" s="57"/>
      <c r="I81" s="55">
        <v>76</v>
      </c>
      <c r="J81" s="33">
        <f t="shared" si="57"/>
        <v>25.830000000000037</v>
      </c>
      <c r="K81" s="33">
        <f t="shared" si="58"/>
        <v>8.1527699937405416</v>
      </c>
      <c r="L81" s="33">
        <f t="shared" si="59"/>
        <v>70</v>
      </c>
      <c r="M81" s="33">
        <f t="shared" si="60"/>
        <v>10</v>
      </c>
      <c r="N81" s="33">
        <f t="shared" si="46"/>
        <v>0</v>
      </c>
      <c r="O81" s="34">
        <f t="shared" si="47"/>
        <v>352.51999107243154</v>
      </c>
      <c r="P81" s="55">
        <v>76</v>
      </c>
      <c r="Q81" s="33">
        <f t="shared" si="55"/>
        <v>-32.759999999999991</v>
      </c>
      <c r="R81" s="33">
        <f t="shared" si="61"/>
        <v>360.36000000000013</v>
      </c>
      <c r="S81" s="33">
        <f t="shared" si="62"/>
        <v>209.00880000000006</v>
      </c>
      <c r="T81" s="33">
        <f t="shared" si="48"/>
        <v>51.718923953824252</v>
      </c>
      <c r="U81" s="33">
        <f t="shared" si="56"/>
        <v>70</v>
      </c>
      <c r="V81" s="33">
        <f t="shared" si="49"/>
        <v>10</v>
      </c>
      <c r="W81" s="33">
        <v>0</v>
      </c>
      <c r="X81" s="33">
        <f t="shared" si="50"/>
        <v>747.43411921957738</v>
      </c>
      <c r="Y81" s="38">
        <f t="shared" si="51"/>
        <v>394.91412814714585</v>
      </c>
      <c r="AA81" s="71">
        <v>76</v>
      </c>
      <c r="AB81" s="33">
        <f t="shared" si="52"/>
        <v>21</v>
      </c>
      <c r="AC81" s="304">
        <f t="shared" si="39"/>
        <v>0.4</v>
      </c>
      <c r="AD81" s="100">
        <f t="shared" si="53"/>
        <v>0</v>
      </c>
      <c r="AE81" s="100">
        <f t="shared" si="54"/>
        <v>0</v>
      </c>
      <c r="AF81" s="193">
        <f t="shared" si="34"/>
        <v>30.038442808778473</v>
      </c>
      <c r="AG81" s="193">
        <f t="shared" si="35"/>
        <v>0</v>
      </c>
      <c r="AH81" s="193">
        <f t="shared" si="36"/>
        <v>0</v>
      </c>
      <c r="AI81" s="198">
        <f t="shared" si="37"/>
        <v>30.038442808778473</v>
      </c>
      <c r="AK81" s="71">
        <v>76</v>
      </c>
      <c r="AL81" s="33"/>
      <c r="AM81" s="33"/>
      <c r="AN81" s="33"/>
      <c r="AO81" s="33"/>
      <c r="AP81" s="33"/>
      <c r="AQ81" s="193"/>
      <c r="AR81" s="193"/>
      <c r="AS81" s="193"/>
      <c r="AT81" s="193"/>
      <c r="AU81" s="33"/>
      <c r="AV81" s="33"/>
      <c r="AW81" s="33"/>
      <c r="AX81" s="33"/>
      <c r="AY81" s="76"/>
    </row>
    <row r="82" spans="2:51">
      <c r="B82" s="169">
        <f>IF(C25&lt;=$F$18,C25+1,"-")</f>
        <v>21</v>
      </c>
      <c r="C82" s="144">
        <f>D25-D26</f>
        <v>0</v>
      </c>
      <c r="D82" s="145"/>
      <c r="E82" s="170">
        <f>IF(G82+D82&lt;&gt;1,(1-(G82+D82))*56%,0)</f>
        <v>0</v>
      </c>
      <c r="F82" s="170">
        <f>IF(G82+D82&lt;&gt;1,(1-(G82+D82))*44%,0)</f>
        <v>0</v>
      </c>
      <c r="G82" s="146">
        <f>1-D82</f>
        <v>1</v>
      </c>
      <c r="H82" s="58">
        <f t="shared" ref="H82:H94" si="63">IF(C82=0,0,IF(SUM(D82:G82)&lt;&gt;1,"erreur",))</f>
        <v>0</v>
      </c>
      <c r="I82" s="55">
        <v>77</v>
      </c>
      <c r="J82" s="33">
        <f t="shared" si="57"/>
        <v>26.250000000000039</v>
      </c>
      <c r="K82" s="33">
        <f t="shared" si="58"/>
        <v>8.2697945664731147</v>
      </c>
      <c r="L82" s="33">
        <f t="shared" si="59"/>
        <v>70</v>
      </c>
      <c r="M82" s="33">
        <f t="shared" si="60"/>
        <v>10</v>
      </c>
      <c r="N82" s="33">
        <f t="shared" si="46"/>
        <v>0</v>
      </c>
      <c r="O82" s="34">
        <f t="shared" si="47"/>
        <v>353.45530886994078</v>
      </c>
      <c r="P82" s="55">
        <v>77</v>
      </c>
      <c r="Q82" s="33">
        <f t="shared" si="55"/>
        <v>11.700000000000003</v>
      </c>
      <c r="R82" s="33">
        <f t="shared" si="61"/>
        <v>372.06000000000012</v>
      </c>
      <c r="S82" s="33">
        <f t="shared" si="62"/>
        <v>215.79480000000007</v>
      </c>
      <c r="T82" s="33">
        <f t="shared" si="48"/>
        <v>53.199882199632363</v>
      </c>
      <c r="U82" s="33">
        <f t="shared" si="56"/>
        <v>70</v>
      </c>
      <c r="V82" s="33">
        <f t="shared" si="49"/>
        <v>10</v>
      </c>
      <c r="W82" s="33">
        <v>0</v>
      </c>
      <c r="X82" s="33">
        <f t="shared" si="50"/>
        <v>761.83240483102645</v>
      </c>
      <c r="Y82" s="38">
        <f t="shared" si="51"/>
        <v>408.37709596108567</v>
      </c>
      <c r="AA82" s="71">
        <v>77</v>
      </c>
      <c r="AB82" s="33">
        <f t="shared" si="52"/>
        <v>0</v>
      </c>
      <c r="AC82" s="304">
        <f t="shared" si="39"/>
        <v>0</v>
      </c>
      <c r="AD82" s="100">
        <f t="shared" si="53"/>
        <v>0</v>
      </c>
      <c r="AE82" s="100">
        <f t="shared" si="54"/>
        <v>0</v>
      </c>
      <c r="AF82" s="193">
        <f t="shared" si="34"/>
        <v>29.449407266939328</v>
      </c>
      <c r="AG82" s="193">
        <f t="shared" si="35"/>
        <v>0</v>
      </c>
      <c r="AH82" s="193">
        <f t="shared" si="36"/>
        <v>0</v>
      </c>
      <c r="AI82" s="198">
        <f t="shared" si="37"/>
        <v>29.449407266939328</v>
      </c>
      <c r="AK82" s="71">
        <v>77</v>
      </c>
      <c r="AL82" s="33"/>
      <c r="AM82" s="33"/>
      <c r="AN82" s="33"/>
      <c r="AO82" s="33"/>
      <c r="AP82" s="33"/>
      <c r="AQ82" s="193"/>
      <c r="AR82" s="193"/>
      <c r="AS82" s="193"/>
      <c r="AT82" s="193"/>
      <c r="AU82" s="33"/>
      <c r="AV82" s="33"/>
      <c r="AW82" s="33"/>
      <c r="AX82" s="33"/>
      <c r="AY82" s="76"/>
    </row>
    <row r="83" spans="2:51">
      <c r="B83" s="171">
        <f>IF(C27&lt;=$F$18,C27+1,"-")</f>
        <v>26</v>
      </c>
      <c r="C83" s="147">
        <f>D27-D28</f>
        <v>8</v>
      </c>
      <c r="D83" s="148"/>
      <c r="E83" s="128">
        <f t="shared" ref="E83:E94" si="64">IF(G83+D83&lt;&gt;1,(1-(G83+D83))*56%,0)</f>
        <v>0</v>
      </c>
      <c r="F83" s="128">
        <f t="shared" ref="F83:F94" si="65">IF(G83+D83&lt;&gt;1,(1-(G83+D83))*44%,0)</f>
        <v>0</v>
      </c>
      <c r="G83" s="149">
        <f t="shared" ref="G83:G94" si="66">1-D83</f>
        <v>1</v>
      </c>
      <c r="H83" s="58">
        <f t="shared" si="63"/>
        <v>0</v>
      </c>
      <c r="I83" s="55">
        <v>78</v>
      </c>
      <c r="J83" s="33">
        <f t="shared" si="57"/>
        <v>26.670000000000041</v>
      </c>
      <c r="K83" s="33">
        <f t="shared" si="58"/>
        <v>8.3866013856443349</v>
      </c>
      <c r="L83" s="33">
        <f t="shared" si="59"/>
        <v>70</v>
      </c>
      <c r="M83" s="33">
        <f t="shared" si="60"/>
        <v>10</v>
      </c>
      <c r="N83" s="33">
        <f t="shared" si="46"/>
        <v>0</v>
      </c>
      <c r="O83" s="34">
        <f t="shared" si="47"/>
        <v>354.3902474133306</v>
      </c>
      <c r="P83" s="55">
        <v>78</v>
      </c>
      <c r="Q83" s="33">
        <f t="shared" si="55"/>
        <v>11.700000000000003</v>
      </c>
      <c r="R83" s="33">
        <f t="shared" si="61"/>
        <v>383.7600000000001</v>
      </c>
      <c r="S83" s="33">
        <f t="shared" si="62"/>
        <v>222.58080000000004</v>
      </c>
      <c r="T83" s="33">
        <f t="shared" si="48"/>
        <v>54.675428546153249</v>
      </c>
      <c r="U83" s="33">
        <f t="shared" si="56"/>
        <v>70</v>
      </c>
      <c r="V83" s="33">
        <f t="shared" si="49"/>
        <v>10</v>
      </c>
      <c r="W83" s="33">
        <v>0</v>
      </c>
      <c r="X83" s="33">
        <f t="shared" si="50"/>
        <v>776.22126471788363</v>
      </c>
      <c r="Y83" s="38">
        <f t="shared" si="51"/>
        <v>421.83101730455303</v>
      </c>
      <c r="AA83" s="71">
        <v>78</v>
      </c>
      <c r="AB83" s="33">
        <f t="shared" si="52"/>
        <v>0</v>
      </c>
      <c r="AC83" s="304">
        <f t="shared" si="39"/>
        <v>0</v>
      </c>
      <c r="AD83" s="100">
        <f t="shared" si="53"/>
        <v>0</v>
      </c>
      <c r="AE83" s="100">
        <f t="shared" si="54"/>
        <v>0</v>
      </c>
      <c r="AF83" s="193">
        <f t="shared" si="34"/>
        <v>28.871922352799444</v>
      </c>
      <c r="AG83" s="193">
        <f t="shared" si="35"/>
        <v>0</v>
      </c>
      <c r="AH83" s="193">
        <f t="shared" si="36"/>
        <v>0</v>
      </c>
      <c r="AI83" s="198">
        <f t="shared" si="37"/>
        <v>28.871922352799444</v>
      </c>
      <c r="AK83" s="71">
        <v>78</v>
      </c>
      <c r="AL83" s="33"/>
      <c r="AM83" s="33"/>
      <c r="AN83" s="33"/>
      <c r="AO83" s="33"/>
      <c r="AP83" s="33"/>
      <c r="AQ83" s="193"/>
      <c r="AR83" s="193"/>
      <c r="AS83" s="193"/>
      <c r="AT83" s="193"/>
      <c r="AU83" s="33"/>
      <c r="AV83" s="33"/>
      <c r="AW83" s="33"/>
      <c r="AX83" s="33"/>
      <c r="AY83" s="76"/>
    </row>
    <row r="84" spans="2:51">
      <c r="B84" s="186">
        <f>IF(C29&lt;=$F$18,C29+1,"-")</f>
        <v>31</v>
      </c>
      <c r="C84" s="147">
        <f>D29-D30</f>
        <v>21</v>
      </c>
      <c r="D84" s="148"/>
      <c r="E84" s="128">
        <f t="shared" si="64"/>
        <v>0</v>
      </c>
      <c r="F84" s="128">
        <f t="shared" si="65"/>
        <v>0</v>
      </c>
      <c r="G84" s="149">
        <f t="shared" si="66"/>
        <v>1</v>
      </c>
      <c r="H84" s="58">
        <f t="shared" si="63"/>
        <v>0</v>
      </c>
      <c r="I84" s="55">
        <v>79</v>
      </c>
      <c r="J84" s="33">
        <f t="shared" si="57"/>
        <v>27.090000000000042</v>
      </c>
      <c r="K84" s="33">
        <f t="shared" si="58"/>
        <v>8.5031942764136481</v>
      </c>
      <c r="L84" s="33">
        <f t="shared" si="59"/>
        <v>70</v>
      </c>
      <c r="M84" s="33">
        <f t="shared" si="60"/>
        <v>10</v>
      </c>
      <c r="N84" s="33">
        <f t="shared" si="46"/>
        <v>0</v>
      </c>
      <c r="O84" s="34">
        <f t="shared" si="47"/>
        <v>355.32481336475388</v>
      </c>
      <c r="P84" s="55">
        <v>79</v>
      </c>
      <c r="Q84" s="33">
        <f t="shared" si="55"/>
        <v>11.700000000000003</v>
      </c>
      <c r="R84" s="33">
        <f t="shared" si="61"/>
        <v>395.46000000000009</v>
      </c>
      <c r="S84" s="33">
        <f t="shared" si="62"/>
        <v>229.36680000000004</v>
      </c>
      <c r="T84" s="33">
        <f t="shared" si="48"/>
        <v>56.14574692729505</v>
      </c>
      <c r="U84" s="33">
        <f t="shared" si="56"/>
        <v>70</v>
      </c>
      <c r="V84" s="33">
        <f t="shared" si="49"/>
        <v>10</v>
      </c>
      <c r="W84" s="33">
        <v>0</v>
      </c>
      <c r="X84" s="33">
        <f t="shared" si="50"/>
        <v>790.60101923170566</v>
      </c>
      <c r="Y84" s="38">
        <f t="shared" si="51"/>
        <v>435.27620586695178</v>
      </c>
      <c r="AA84" s="71">
        <v>79</v>
      </c>
      <c r="AB84" s="33">
        <f t="shared" si="52"/>
        <v>0</v>
      </c>
      <c r="AC84" s="304">
        <f t="shared" si="39"/>
        <v>0</v>
      </c>
      <c r="AD84" s="100">
        <f t="shared" si="53"/>
        <v>0</v>
      </c>
      <c r="AE84" s="100">
        <f t="shared" si="54"/>
        <v>0</v>
      </c>
      <c r="AF84" s="193">
        <f t="shared" si="34"/>
        <v>28.305761565594825</v>
      </c>
      <c r="AG84" s="193">
        <f t="shared" si="35"/>
        <v>0</v>
      </c>
      <c r="AH84" s="193">
        <f t="shared" si="36"/>
        <v>0</v>
      </c>
      <c r="AI84" s="198">
        <f t="shared" si="37"/>
        <v>28.305761565594825</v>
      </c>
      <c r="AK84" s="71">
        <v>79</v>
      </c>
      <c r="AL84" s="33"/>
      <c r="AM84" s="33"/>
      <c r="AN84" s="33"/>
      <c r="AO84" s="33"/>
      <c r="AP84" s="33"/>
      <c r="AQ84" s="193"/>
      <c r="AR84" s="193"/>
      <c r="AS84" s="193"/>
      <c r="AT84" s="193"/>
      <c r="AU84" s="33"/>
      <c r="AV84" s="33"/>
      <c r="AW84" s="33"/>
      <c r="AX84" s="33"/>
      <c r="AY84" s="76"/>
    </row>
    <row r="85" spans="2:51">
      <c r="B85" s="171">
        <f>IF(C31&lt;=$F$18,C31+1,"-")</f>
        <v>36</v>
      </c>
      <c r="C85" s="147">
        <f>D31-D32</f>
        <v>21</v>
      </c>
      <c r="D85" s="148"/>
      <c r="E85" s="128">
        <f t="shared" si="64"/>
        <v>0</v>
      </c>
      <c r="F85" s="128">
        <f t="shared" si="65"/>
        <v>0</v>
      </c>
      <c r="G85" s="149">
        <f t="shared" si="66"/>
        <v>1</v>
      </c>
      <c r="H85" s="58">
        <f t="shared" si="63"/>
        <v>0</v>
      </c>
      <c r="I85" s="55">
        <v>80</v>
      </c>
      <c r="J85" s="33">
        <f t="shared" si="57"/>
        <v>27.510000000000044</v>
      </c>
      <c r="K85" s="33">
        <f t="shared" si="58"/>
        <v>8.6195769385260075</v>
      </c>
      <c r="L85" s="33">
        <f t="shared" si="59"/>
        <v>70</v>
      </c>
      <c r="M85" s="33">
        <f t="shared" si="60"/>
        <v>10</v>
      </c>
      <c r="N85" s="33">
        <f t="shared" si="46"/>
        <v>0</v>
      </c>
      <c r="O85" s="34">
        <f t="shared" si="47"/>
        <v>356.25901316793284</v>
      </c>
      <c r="P85" s="55">
        <v>80</v>
      </c>
      <c r="Q85" s="33">
        <f t="shared" si="55"/>
        <v>11.700000000000003</v>
      </c>
      <c r="R85" s="33">
        <f t="shared" si="61"/>
        <v>407.16000000000008</v>
      </c>
      <c r="S85" s="33">
        <f t="shared" si="62"/>
        <v>236.15280000000004</v>
      </c>
      <c r="T85" s="33">
        <f t="shared" si="48"/>
        <v>57.61100977459936</v>
      </c>
      <c r="U85" s="33">
        <f t="shared" si="56"/>
        <v>70</v>
      </c>
      <c r="V85" s="33">
        <f t="shared" si="49"/>
        <v>10</v>
      </c>
      <c r="W85" s="33">
        <v>0</v>
      </c>
      <c r="X85" s="33">
        <f t="shared" si="50"/>
        <v>804.9719686907606</v>
      </c>
      <c r="Y85" s="38">
        <f t="shared" si="51"/>
        <v>448.71295552282777</v>
      </c>
      <c r="AA85" s="71">
        <v>80</v>
      </c>
      <c r="AB85" s="33">
        <f t="shared" si="52"/>
        <v>0</v>
      </c>
      <c r="AC85" s="304">
        <f t="shared" si="39"/>
        <v>0</v>
      </c>
      <c r="AD85" s="100">
        <f t="shared" si="53"/>
        <v>0</v>
      </c>
      <c r="AE85" s="100">
        <f t="shared" si="54"/>
        <v>0</v>
      </c>
      <c r="AF85" s="193">
        <f t="shared" si="34"/>
        <v>27.750702846103305</v>
      </c>
      <c r="AG85" s="193">
        <f t="shared" si="35"/>
        <v>0</v>
      </c>
      <c r="AH85" s="193">
        <f t="shared" si="36"/>
        <v>0</v>
      </c>
      <c r="AI85" s="198">
        <f t="shared" si="37"/>
        <v>27.750702846103305</v>
      </c>
      <c r="AK85" s="71">
        <v>80</v>
      </c>
      <c r="AL85" s="33"/>
      <c r="AM85" s="33"/>
      <c r="AN85" s="33"/>
      <c r="AO85" s="33"/>
      <c r="AP85" s="33"/>
      <c r="AQ85" s="193"/>
      <c r="AR85" s="193"/>
      <c r="AS85" s="193"/>
      <c r="AT85" s="193"/>
      <c r="AU85" s="33"/>
      <c r="AV85" s="33"/>
      <c r="AW85" s="33"/>
      <c r="AX85" s="33"/>
      <c r="AY85" s="76"/>
    </row>
    <row r="86" spans="2:51">
      <c r="B86" s="171">
        <f>IF(C33&lt;=$F$18,C33+1,"-")</f>
        <v>41</v>
      </c>
      <c r="C86" s="147">
        <f>D33-D34</f>
        <v>21</v>
      </c>
      <c r="D86" s="148">
        <v>0</v>
      </c>
      <c r="E86" s="128">
        <f t="shared" si="64"/>
        <v>0</v>
      </c>
      <c r="F86" s="128">
        <f t="shared" si="65"/>
        <v>0</v>
      </c>
      <c r="G86" s="149">
        <f t="shared" si="66"/>
        <v>1</v>
      </c>
      <c r="H86" s="58">
        <f t="shared" si="63"/>
        <v>0</v>
      </c>
      <c r="I86" s="55">
        <v>81</v>
      </c>
      <c r="J86" s="33">
        <f t="shared" si="57"/>
        <v>27.930000000000046</v>
      </c>
      <c r="K86" s="33">
        <f t="shared" si="58"/>
        <v>8.7357529522745594</v>
      </c>
      <c r="L86" s="33">
        <f t="shared" si="59"/>
        <v>70</v>
      </c>
      <c r="M86" s="33">
        <f t="shared" si="60"/>
        <v>10</v>
      </c>
      <c r="N86" s="33">
        <f t="shared" si="46"/>
        <v>0</v>
      </c>
      <c r="O86" s="34">
        <f t="shared" si="47"/>
        <v>357.19285305854493</v>
      </c>
      <c r="P86" s="55">
        <v>81</v>
      </c>
      <c r="Q86" s="33">
        <f t="shared" si="55"/>
        <v>-32.759999999999991</v>
      </c>
      <c r="R86" s="33">
        <f t="shared" si="61"/>
        <v>374.40000000000009</v>
      </c>
      <c r="S86" s="33">
        <f t="shared" si="62"/>
        <v>217.15200000000004</v>
      </c>
      <c r="T86" s="33">
        <f t="shared" si="48"/>
        <v>53.495418360394275</v>
      </c>
      <c r="U86" s="33">
        <f t="shared" si="56"/>
        <v>70</v>
      </c>
      <c r="V86" s="33">
        <f t="shared" si="49"/>
        <v>10</v>
      </c>
      <c r="W86" s="33">
        <v>0</v>
      </c>
      <c r="X86" s="33">
        <f t="shared" si="50"/>
        <v>764.71092031102</v>
      </c>
      <c r="Y86" s="38">
        <f t="shared" si="51"/>
        <v>407.51806725247508</v>
      </c>
      <c r="AA86" s="71">
        <v>81</v>
      </c>
      <c r="AB86" s="33">
        <f t="shared" si="52"/>
        <v>0</v>
      </c>
      <c r="AC86" s="304">
        <f t="shared" si="39"/>
        <v>0</v>
      </c>
      <c r="AD86" s="100">
        <f t="shared" si="53"/>
        <v>0</v>
      </c>
      <c r="AE86" s="100">
        <f t="shared" si="54"/>
        <v>0</v>
      </c>
      <c r="AF86" s="193">
        <f t="shared" si="34"/>
        <v>27.206528489548628</v>
      </c>
      <c r="AG86" s="193">
        <f t="shared" si="35"/>
        <v>0</v>
      </c>
      <c r="AH86" s="193">
        <f t="shared" si="36"/>
        <v>0</v>
      </c>
      <c r="AI86" s="198">
        <f t="shared" si="37"/>
        <v>27.206528489548628</v>
      </c>
      <c r="AK86" s="71">
        <v>81</v>
      </c>
      <c r="AL86" s="33"/>
      <c r="AM86" s="33"/>
      <c r="AN86" s="33"/>
      <c r="AO86" s="33"/>
      <c r="AP86" s="33"/>
      <c r="AQ86" s="193"/>
      <c r="AR86" s="193"/>
      <c r="AS86" s="193"/>
      <c r="AT86" s="193"/>
      <c r="AU86" s="33"/>
      <c r="AV86" s="33"/>
      <c r="AW86" s="33"/>
      <c r="AX86" s="33"/>
      <c r="AY86" s="76"/>
    </row>
    <row r="87" spans="2:51">
      <c r="B87" s="171">
        <f>IF(C35&lt;=$F$18,C35+1,"-")</f>
        <v>46</v>
      </c>
      <c r="C87" s="147">
        <f>D35-D36</f>
        <v>21</v>
      </c>
      <c r="D87" s="148">
        <v>0.2</v>
      </c>
      <c r="E87" s="128">
        <f t="shared" si="64"/>
        <v>0</v>
      </c>
      <c r="F87" s="128">
        <f t="shared" si="65"/>
        <v>0</v>
      </c>
      <c r="G87" s="149">
        <f t="shared" si="66"/>
        <v>0.8</v>
      </c>
      <c r="H87" s="58">
        <f t="shared" si="63"/>
        <v>0</v>
      </c>
      <c r="I87" s="55">
        <v>82</v>
      </c>
      <c r="J87" s="33">
        <f t="shared" si="57"/>
        <v>28.350000000000048</v>
      </c>
      <c r="K87" s="33">
        <f t="shared" si="58"/>
        <v>8.8517257840944357</v>
      </c>
      <c r="L87" s="33">
        <f t="shared" si="59"/>
        <v>70</v>
      </c>
      <c r="M87" s="33">
        <f t="shared" si="60"/>
        <v>10</v>
      </c>
      <c r="N87" s="33">
        <f t="shared" si="46"/>
        <v>0</v>
      </c>
      <c r="O87" s="34">
        <f t="shared" si="47"/>
        <v>358.12633907396457</v>
      </c>
      <c r="P87" s="55">
        <v>82</v>
      </c>
      <c r="Q87" s="33">
        <f t="shared" si="55"/>
        <v>11.309999999999988</v>
      </c>
      <c r="R87" s="33">
        <f t="shared" si="61"/>
        <v>385.71000000000009</v>
      </c>
      <c r="S87" s="33">
        <f t="shared" si="62"/>
        <v>223.71180000000004</v>
      </c>
      <c r="T87" s="33">
        <f t="shared" si="48"/>
        <v>54.920839869581336</v>
      </c>
      <c r="U87" s="33">
        <f t="shared" si="56"/>
        <v>70</v>
      </c>
      <c r="V87" s="33">
        <f t="shared" si="49"/>
        <v>10</v>
      </c>
      <c r="W87" s="33">
        <v>0</v>
      </c>
      <c r="X87" s="33">
        <f t="shared" si="50"/>
        <v>778.61851443952094</v>
      </c>
      <c r="Y87" s="38">
        <f t="shared" si="51"/>
        <v>420.49217536555636</v>
      </c>
      <c r="AA87" s="71">
        <v>82</v>
      </c>
      <c r="AB87" s="33">
        <f t="shared" si="52"/>
        <v>0</v>
      </c>
      <c r="AC87" s="304">
        <f t="shared" si="39"/>
        <v>0</v>
      </c>
      <c r="AD87" s="100">
        <f t="shared" si="53"/>
        <v>0</v>
      </c>
      <c r="AE87" s="100">
        <f t="shared" si="54"/>
        <v>0</v>
      </c>
      <c r="AF87" s="193">
        <f t="shared" si="34"/>
        <v>26.673025060212403</v>
      </c>
      <c r="AG87" s="193">
        <f t="shared" si="35"/>
        <v>0</v>
      </c>
      <c r="AH87" s="193">
        <f t="shared" si="36"/>
        <v>0</v>
      </c>
      <c r="AI87" s="198">
        <f t="shared" si="37"/>
        <v>26.673025060212403</v>
      </c>
      <c r="AK87" s="71">
        <v>82</v>
      </c>
      <c r="AL87" s="33"/>
      <c r="AM87" s="33"/>
      <c r="AN87" s="33"/>
      <c r="AO87" s="33"/>
      <c r="AP87" s="33"/>
      <c r="AQ87" s="193"/>
      <c r="AR87" s="193"/>
      <c r="AS87" s="193"/>
      <c r="AT87" s="193"/>
      <c r="AU87" s="33"/>
      <c r="AV87" s="33"/>
      <c r="AW87" s="33"/>
      <c r="AX87" s="33"/>
      <c r="AY87" s="76"/>
    </row>
    <row r="88" spans="2:51">
      <c r="B88" s="171">
        <f>IF(C37&lt;=$F$18,C37+1,"-")</f>
        <v>51</v>
      </c>
      <c r="C88" s="147">
        <f>D37-D38</f>
        <v>21</v>
      </c>
      <c r="D88" s="148">
        <v>0.3</v>
      </c>
      <c r="E88" s="128">
        <f t="shared" si="64"/>
        <v>0</v>
      </c>
      <c r="F88" s="128">
        <f t="shared" si="65"/>
        <v>0</v>
      </c>
      <c r="G88" s="149">
        <f t="shared" si="66"/>
        <v>0.7</v>
      </c>
      <c r="H88" s="58">
        <f t="shared" si="63"/>
        <v>0</v>
      </c>
      <c r="I88" s="55">
        <v>83</v>
      </c>
      <c r="J88" s="33">
        <f t="shared" si="57"/>
        <v>28.770000000000049</v>
      </c>
      <c r="K88" s="33">
        <f t="shared" si="58"/>
        <v>8.9674987918157196</v>
      </c>
      <c r="L88" s="33">
        <f t="shared" si="59"/>
        <v>70</v>
      </c>
      <c r="M88" s="33">
        <f t="shared" si="60"/>
        <v>10</v>
      </c>
      <c r="N88" s="33">
        <f t="shared" si="46"/>
        <v>0</v>
      </c>
      <c r="O88" s="34">
        <f t="shared" si="47"/>
        <v>359.05947706241244</v>
      </c>
      <c r="P88" s="55">
        <v>83</v>
      </c>
      <c r="Q88" s="33">
        <f t="shared" si="55"/>
        <v>11.309999999999988</v>
      </c>
      <c r="R88" s="33">
        <f t="shared" si="61"/>
        <v>397.0200000000001</v>
      </c>
      <c r="S88" s="33">
        <f t="shared" si="62"/>
        <v>230.27160000000003</v>
      </c>
      <c r="T88" s="33">
        <f t="shared" si="48"/>
        <v>56.341403766865255</v>
      </c>
      <c r="U88" s="33">
        <f t="shared" si="56"/>
        <v>70</v>
      </c>
      <c r="V88" s="33">
        <f t="shared" si="49"/>
        <v>10</v>
      </c>
      <c r="W88" s="33">
        <v>0</v>
      </c>
      <c r="X88" s="33">
        <f t="shared" si="50"/>
        <v>792.51764822729035</v>
      </c>
      <c r="Y88" s="38">
        <f t="shared" si="51"/>
        <v>433.45817116487791</v>
      </c>
      <c r="AA88" s="71">
        <v>83</v>
      </c>
      <c r="AB88" s="33">
        <f t="shared" si="52"/>
        <v>0</v>
      </c>
      <c r="AC88" s="304">
        <f t="shared" si="39"/>
        <v>0</v>
      </c>
      <c r="AD88" s="100">
        <f t="shared" si="53"/>
        <v>0</v>
      </c>
      <c r="AE88" s="100">
        <f t="shared" si="54"/>
        <v>0</v>
      </c>
      <c r="AF88" s="193">
        <f t="shared" si="34"/>
        <v>26.1499833077205</v>
      </c>
      <c r="AG88" s="193">
        <f t="shared" si="35"/>
        <v>0</v>
      </c>
      <c r="AH88" s="193">
        <f t="shared" si="36"/>
        <v>0</v>
      </c>
      <c r="AI88" s="198">
        <f t="shared" si="37"/>
        <v>26.1499833077205</v>
      </c>
      <c r="AK88" s="71">
        <v>83</v>
      </c>
      <c r="AL88" s="33"/>
      <c r="AM88" s="33"/>
      <c r="AN88" s="33"/>
      <c r="AO88" s="33"/>
      <c r="AP88" s="33"/>
      <c r="AQ88" s="193"/>
      <c r="AR88" s="193"/>
      <c r="AS88" s="193"/>
      <c r="AT88" s="193"/>
      <c r="AU88" s="33"/>
      <c r="AV88" s="33"/>
      <c r="AW88" s="33"/>
      <c r="AX88" s="33"/>
      <c r="AY88" s="76"/>
    </row>
    <row r="89" spans="2:51">
      <c r="B89" s="171">
        <f>IF(C39&lt;=$F$18,C39+1,"-")</f>
        <v>56</v>
      </c>
      <c r="C89" s="147">
        <f>D39-D40</f>
        <v>21</v>
      </c>
      <c r="D89" s="148">
        <v>0.4</v>
      </c>
      <c r="E89" s="128">
        <f t="shared" si="64"/>
        <v>0</v>
      </c>
      <c r="F89" s="128">
        <f t="shared" si="65"/>
        <v>0</v>
      </c>
      <c r="G89" s="149">
        <f t="shared" si="66"/>
        <v>0.6</v>
      </c>
      <c r="H89" s="58">
        <f t="shared" si="63"/>
        <v>0</v>
      </c>
      <c r="I89" s="55">
        <v>84</v>
      </c>
      <c r="J89" s="33">
        <f t="shared" si="57"/>
        <v>29.190000000000051</v>
      </c>
      <c r="K89" s="33">
        <f t="shared" si="58"/>
        <v>9.0830752296009152</v>
      </c>
      <c r="L89" s="33">
        <f t="shared" si="59"/>
        <v>70</v>
      </c>
      <c r="M89" s="33">
        <f t="shared" si="60"/>
        <v>10</v>
      </c>
      <c r="N89" s="33">
        <f t="shared" si="46"/>
        <v>0</v>
      </c>
      <c r="O89" s="34">
        <f t="shared" si="47"/>
        <v>359.992272691555</v>
      </c>
      <c r="P89" s="55">
        <v>84</v>
      </c>
      <c r="Q89" s="33">
        <f t="shared" si="55"/>
        <v>11.309999999999988</v>
      </c>
      <c r="R89" s="33">
        <f t="shared" si="61"/>
        <v>408.3300000000001</v>
      </c>
      <c r="S89" s="33">
        <f t="shared" si="62"/>
        <v>236.83140000000003</v>
      </c>
      <c r="T89" s="33">
        <f t="shared" si="48"/>
        <v>57.757264326006492</v>
      </c>
      <c r="U89" s="33">
        <f t="shared" si="56"/>
        <v>70</v>
      </c>
      <c r="V89" s="33">
        <f t="shared" si="49"/>
        <v>10</v>
      </c>
      <c r="W89" s="33">
        <v>0</v>
      </c>
      <c r="X89" s="33">
        <f t="shared" si="50"/>
        <v>806.40859036779477</v>
      </c>
      <c r="Y89" s="38">
        <f t="shared" si="51"/>
        <v>446.41631767623977</v>
      </c>
      <c r="AA89" s="71">
        <v>84</v>
      </c>
      <c r="AB89" s="33">
        <f t="shared" si="52"/>
        <v>0</v>
      </c>
      <c r="AC89" s="304">
        <f t="shared" si="39"/>
        <v>0</v>
      </c>
      <c r="AD89" s="100">
        <f t="shared" si="53"/>
        <v>0</v>
      </c>
      <c r="AE89" s="100">
        <f t="shared" si="54"/>
        <v>0</v>
      </c>
      <c r="AF89" s="193">
        <f t="shared" si="34"/>
        <v>25.637198084970997</v>
      </c>
      <c r="AG89" s="193">
        <f t="shared" si="35"/>
        <v>0</v>
      </c>
      <c r="AH89" s="193">
        <f t="shared" si="36"/>
        <v>0</v>
      </c>
      <c r="AI89" s="198">
        <f t="shared" si="37"/>
        <v>25.637198084970997</v>
      </c>
      <c r="AK89" s="71">
        <v>84</v>
      </c>
      <c r="AL89" s="33"/>
      <c r="AM89" s="33"/>
      <c r="AN89" s="33"/>
      <c r="AO89" s="33"/>
      <c r="AP89" s="33"/>
      <c r="AQ89" s="193"/>
      <c r="AR89" s="193"/>
      <c r="AS89" s="193"/>
      <c r="AT89" s="193"/>
      <c r="AU89" s="33"/>
      <c r="AV89" s="33"/>
      <c r="AW89" s="33"/>
      <c r="AX89" s="33"/>
      <c r="AY89" s="76"/>
    </row>
    <row r="90" spans="2:51">
      <c r="B90" s="171">
        <f>IF(C41&lt;=$F$18,C41+1,"-")</f>
        <v>61</v>
      </c>
      <c r="C90" s="147">
        <f>D41-D42</f>
        <v>21</v>
      </c>
      <c r="D90" s="148">
        <v>0.5</v>
      </c>
      <c r="E90" s="128">
        <f t="shared" si="64"/>
        <v>0</v>
      </c>
      <c r="F90" s="128">
        <f t="shared" si="65"/>
        <v>0</v>
      </c>
      <c r="G90" s="149">
        <f t="shared" si="66"/>
        <v>0.5</v>
      </c>
      <c r="H90" s="58">
        <f t="shared" si="63"/>
        <v>0</v>
      </c>
      <c r="I90" s="55">
        <v>85</v>
      </c>
      <c r="J90" s="33">
        <f t="shared" si="57"/>
        <v>29.610000000000053</v>
      </c>
      <c r="K90" s="33">
        <f t="shared" si="58"/>
        <v>9.1984582525901644</v>
      </c>
      <c r="L90" s="33">
        <f t="shared" si="59"/>
        <v>70</v>
      </c>
      <c r="M90" s="33">
        <f t="shared" si="60"/>
        <v>10</v>
      </c>
      <c r="N90" s="33">
        <f t="shared" si="46"/>
        <v>0</v>
      </c>
      <c r="O90" s="34">
        <f t="shared" si="47"/>
        <v>360.9247314565946</v>
      </c>
      <c r="P90" s="55">
        <v>85</v>
      </c>
      <c r="Q90" s="33">
        <f t="shared" si="55"/>
        <v>11.309999999999988</v>
      </c>
      <c r="R90" s="33">
        <f t="shared" si="61"/>
        <v>419.6400000000001</v>
      </c>
      <c r="S90" s="33">
        <f t="shared" si="62"/>
        <v>243.39120000000005</v>
      </c>
      <c r="T90" s="33">
        <f t="shared" si="48"/>
        <v>59.168566788241527</v>
      </c>
      <c r="U90" s="33">
        <f t="shared" si="56"/>
        <v>70</v>
      </c>
      <c r="V90" s="33">
        <f t="shared" si="49"/>
        <v>10</v>
      </c>
      <c r="W90" s="33">
        <v>0</v>
      </c>
      <c r="X90" s="33">
        <f t="shared" si="50"/>
        <v>820.291593822854</v>
      </c>
      <c r="Y90" s="38">
        <f t="shared" si="51"/>
        <v>459.3668623662594</v>
      </c>
      <c r="AA90" s="71">
        <v>85</v>
      </c>
      <c r="AB90" s="33">
        <f t="shared" si="52"/>
        <v>0</v>
      </c>
      <c r="AC90" s="304">
        <f t="shared" si="39"/>
        <v>0</v>
      </c>
      <c r="AD90" s="100">
        <f t="shared" si="53"/>
        <v>0</v>
      </c>
      <c r="AE90" s="100">
        <f t="shared" si="54"/>
        <v>0</v>
      </c>
      <c r="AF90" s="193">
        <f t="shared" si="34"/>
        <v>25.134468267671508</v>
      </c>
      <c r="AG90" s="193">
        <f t="shared" si="35"/>
        <v>0</v>
      </c>
      <c r="AH90" s="193">
        <f t="shared" si="36"/>
        <v>0</v>
      </c>
      <c r="AI90" s="198">
        <f t="shared" si="37"/>
        <v>25.134468267671508</v>
      </c>
      <c r="AK90" s="71">
        <v>85</v>
      </c>
      <c r="AL90" s="33"/>
      <c r="AM90" s="33"/>
      <c r="AN90" s="33"/>
      <c r="AO90" s="33"/>
      <c r="AP90" s="33"/>
      <c r="AQ90" s="193"/>
      <c r="AR90" s="193"/>
      <c r="AS90" s="193"/>
      <c r="AT90" s="193"/>
      <c r="AU90" s="33"/>
      <c r="AV90" s="33"/>
      <c r="AW90" s="33"/>
      <c r="AX90" s="33"/>
      <c r="AY90" s="76"/>
    </row>
    <row r="91" spans="2:51">
      <c r="B91" s="171">
        <f>IF(C43&lt;=$F$18,C43+1,"-")</f>
        <v>66</v>
      </c>
      <c r="C91" s="147">
        <f>D43-D44</f>
        <v>21</v>
      </c>
      <c r="D91" s="148">
        <v>0.6</v>
      </c>
      <c r="E91" s="128">
        <f t="shared" si="64"/>
        <v>0</v>
      </c>
      <c r="F91" s="128">
        <f t="shared" si="65"/>
        <v>0</v>
      </c>
      <c r="G91" s="149">
        <f t="shared" si="66"/>
        <v>0.4</v>
      </c>
      <c r="H91" s="58">
        <f t="shared" si="63"/>
        <v>0</v>
      </c>
      <c r="I91" s="55">
        <v>86</v>
      </c>
      <c r="J91" s="33">
        <f t="shared" si="57"/>
        <v>30.030000000000054</v>
      </c>
      <c r="K91" s="33">
        <f t="shared" si="58"/>
        <v>9.3136509212754284</v>
      </c>
      <c r="L91" s="33">
        <f t="shared" si="59"/>
        <v>70</v>
      </c>
      <c r="M91" s="33">
        <f t="shared" si="60"/>
        <v>10</v>
      </c>
      <c r="N91" s="33">
        <f t="shared" si="46"/>
        <v>0</v>
      </c>
      <c r="O91" s="34">
        <f t="shared" si="47"/>
        <v>361.85685868788818</v>
      </c>
      <c r="P91" s="55">
        <v>86</v>
      </c>
      <c r="Q91" s="33">
        <f t="shared" si="55"/>
        <v>-32.759999999999991</v>
      </c>
      <c r="R91" s="33">
        <f t="shared" si="61"/>
        <v>386.88000000000011</v>
      </c>
      <c r="S91" s="33">
        <f t="shared" si="62"/>
        <v>224.39040000000006</v>
      </c>
      <c r="T91" s="33">
        <f t="shared" si="48"/>
        <v>55.068017311015858</v>
      </c>
      <c r="U91" s="33">
        <f t="shared" si="56"/>
        <v>70</v>
      </c>
      <c r="V91" s="33">
        <f t="shared" si="49"/>
        <v>10</v>
      </c>
      <c r="W91" s="33">
        <v>0</v>
      </c>
      <c r="X91" s="33">
        <f t="shared" si="50"/>
        <v>780.05674348335276</v>
      </c>
      <c r="Y91" s="38">
        <f t="shared" si="51"/>
        <v>418.19988479546458</v>
      </c>
      <c r="AA91" s="71">
        <v>86</v>
      </c>
      <c r="AB91" s="33">
        <f t="shared" si="52"/>
        <v>0</v>
      </c>
      <c r="AC91" s="304">
        <f t="shared" si="39"/>
        <v>0</v>
      </c>
      <c r="AD91" s="100">
        <f t="shared" si="53"/>
        <v>0</v>
      </c>
      <c r="AE91" s="100">
        <f t="shared" si="54"/>
        <v>0</v>
      </c>
      <c r="AF91" s="193">
        <f t="shared" ref="AF91:AF154" si="67">IF(OR(AA91&lt;=$F$18,AA91&lt;=30),EXP(-LN(2)/$D$104)*AF90+((1-EXP(-LN(2)/$D$104))/(LN(2)/$D$104))*$AB91*AC91*0.475*$F$19*44/12,)</f>
        <v>24.641596675454352</v>
      </c>
      <c r="AG91" s="193">
        <f t="shared" ref="AG91:AG154" si="68">IF(OR(AA91&lt;=$F$18,AA91&lt;=30),EXP(-LN(2)/$D$106)*AG90+((1-EXP(-LN(2)/$D$106))/(LN(2)/$D$106))*$AB91*AD91*0.475*$F$19*44/12,)</f>
        <v>0</v>
      </c>
      <c r="AH91" s="193">
        <f t="shared" ref="AH91:AH154" si="69">IF(OR(AA91&lt;=$F$18,AA91&lt;=30),EXP(-LN(2)/$D$105)*AH90+((1-EXP(-LN(2)/$D$105))/(LN(2)/$D$105))*$AB91*AE91*0.475*$F$19*44/12,)</f>
        <v>0</v>
      </c>
      <c r="AI91" s="198">
        <f t="shared" ref="AI91:AI154" si="70">IF(OR(AA91&lt;=$F$18,AA91&lt;=30),SUM(AF91:AH91),)</f>
        <v>24.641596675454352</v>
      </c>
      <c r="AK91" s="71">
        <v>86</v>
      </c>
      <c r="AL91" s="33"/>
      <c r="AM91" s="33"/>
      <c r="AN91" s="33"/>
      <c r="AO91" s="33"/>
      <c r="AP91" s="33"/>
      <c r="AQ91" s="193"/>
      <c r="AR91" s="193"/>
      <c r="AS91" s="193"/>
      <c r="AT91" s="193"/>
      <c r="AU91" s="33"/>
      <c r="AV91" s="33"/>
      <c r="AW91" s="33"/>
      <c r="AX91" s="33"/>
      <c r="AY91" s="76"/>
    </row>
    <row r="92" spans="2:51">
      <c r="B92" s="171">
        <f>IF(C45&lt;=$F$18,C45+1,"-")</f>
        <v>71</v>
      </c>
      <c r="C92" s="147">
        <f>D45-D46</f>
        <v>21</v>
      </c>
      <c r="D92" s="148">
        <v>0.7</v>
      </c>
      <c r="E92" s="128">
        <f t="shared" si="64"/>
        <v>0</v>
      </c>
      <c r="F92" s="128">
        <f t="shared" si="65"/>
        <v>0</v>
      </c>
      <c r="G92" s="149">
        <f t="shared" si="66"/>
        <v>0.30000000000000004</v>
      </c>
      <c r="H92" s="58">
        <f t="shared" si="63"/>
        <v>0</v>
      </c>
      <c r="I92" s="55">
        <v>87</v>
      </c>
      <c r="J92" s="33">
        <f t="shared" si="57"/>
        <v>30.450000000000056</v>
      </c>
      <c r="K92" s="33">
        <f t="shared" si="58"/>
        <v>9.4286562056230157</v>
      </c>
      <c r="L92" s="33">
        <f t="shared" si="59"/>
        <v>70</v>
      </c>
      <c r="M92" s="33">
        <f t="shared" si="60"/>
        <v>10</v>
      </c>
      <c r="N92" s="33">
        <f t="shared" si="46"/>
        <v>0</v>
      </c>
      <c r="O92" s="34">
        <f t="shared" si="47"/>
        <v>362.78865955812688</v>
      </c>
      <c r="P92" s="55">
        <v>87</v>
      </c>
      <c r="Q92" s="33">
        <f t="shared" si="55"/>
        <v>10.530000000000001</v>
      </c>
      <c r="R92" s="33">
        <f t="shared" si="61"/>
        <v>397.41000000000008</v>
      </c>
      <c r="S92" s="33">
        <f t="shared" si="62"/>
        <v>230.49780000000004</v>
      </c>
      <c r="T92" s="33">
        <f t="shared" si="48"/>
        <v>56.39030398224152</v>
      </c>
      <c r="U92" s="33">
        <f t="shared" si="56"/>
        <v>70</v>
      </c>
      <c r="V92" s="33">
        <f t="shared" si="49"/>
        <v>10</v>
      </c>
      <c r="W92" s="33">
        <v>0</v>
      </c>
      <c r="X92" s="33">
        <f t="shared" si="50"/>
        <v>792.99678110240404</v>
      </c>
      <c r="Y92" s="38">
        <f t="shared" si="51"/>
        <v>430.20812154427716</v>
      </c>
      <c r="AA92" s="71">
        <v>87</v>
      </c>
      <c r="AB92" s="33">
        <f t="shared" si="52"/>
        <v>0</v>
      </c>
      <c r="AC92" s="304">
        <f t="shared" si="39"/>
        <v>0</v>
      </c>
      <c r="AD92" s="100">
        <f t="shared" si="53"/>
        <v>0</v>
      </c>
      <c r="AE92" s="100">
        <f t="shared" si="54"/>
        <v>0</v>
      </c>
      <c r="AF92" s="193">
        <f t="shared" si="67"/>
        <v>24.158389994538584</v>
      </c>
      <c r="AG92" s="193">
        <f t="shared" si="68"/>
        <v>0</v>
      </c>
      <c r="AH92" s="193">
        <f t="shared" si="69"/>
        <v>0</v>
      </c>
      <c r="AI92" s="198">
        <f t="shared" si="70"/>
        <v>24.158389994538584</v>
      </c>
      <c r="AK92" s="71">
        <v>87</v>
      </c>
      <c r="AL92" s="33"/>
      <c r="AM92" s="33"/>
      <c r="AN92" s="33"/>
      <c r="AO92" s="33"/>
      <c r="AP92" s="33"/>
      <c r="AQ92" s="193"/>
      <c r="AR92" s="193"/>
      <c r="AS92" s="193"/>
      <c r="AT92" s="193"/>
      <c r="AU92" s="33"/>
      <c r="AV92" s="33"/>
      <c r="AW92" s="33"/>
      <c r="AX92" s="33"/>
      <c r="AY92" s="76"/>
    </row>
    <row r="93" spans="2:51">
      <c r="B93" s="171">
        <f>IF(C47&lt;=$F$18,C47+1,"-")</f>
        <v>76</v>
      </c>
      <c r="C93" s="147">
        <f>D47-D48</f>
        <v>21</v>
      </c>
      <c r="D93" s="148">
        <v>0.8</v>
      </c>
      <c r="E93" s="128">
        <f t="shared" si="64"/>
        <v>0</v>
      </c>
      <c r="F93" s="128">
        <f t="shared" si="65"/>
        <v>0</v>
      </c>
      <c r="G93" s="149">
        <f t="shared" si="66"/>
        <v>0.19999999999999996</v>
      </c>
      <c r="H93" s="58">
        <f t="shared" si="63"/>
        <v>0</v>
      </c>
      <c r="I93" s="55">
        <v>88</v>
      </c>
      <c r="J93" s="33">
        <f t="shared" si="57"/>
        <v>30.870000000000058</v>
      </c>
      <c r="K93" s="33">
        <f t="shared" si="58"/>
        <v>9.543476988962162</v>
      </c>
      <c r="L93" s="33">
        <f t="shared" si="59"/>
        <v>70</v>
      </c>
      <c r="M93" s="33">
        <f t="shared" si="60"/>
        <v>10</v>
      </c>
      <c r="N93" s="33">
        <f t="shared" si="46"/>
        <v>0</v>
      </c>
      <c r="O93" s="34">
        <f t="shared" si="47"/>
        <v>363.72013908910918</v>
      </c>
      <c r="P93" s="55">
        <v>88</v>
      </c>
      <c r="Q93" s="33">
        <f t="shared" si="55"/>
        <v>10.530000000000001</v>
      </c>
      <c r="R93" s="33">
        <f t="shared" si="61"/>
        <v>407.94000000000005</v>
      </c>
      <c r="S93" s="33">
        <f t="shared" si="62"/>
        <v>236.60520000000002</v>
      </c>
      <c r="T93" s="33">
        <f t="shared" si="48"/>
        <v>57.708518235622542</v>
      </c>
      <c r="U93" s="33">
        <f t="shared" si="56"/>
        <v>70</v>
      </c>
      <c r="V93" s="33">
        <f t="shared" si="49"/>
        <v>10</v>
      </c>
      <c r="W93" s="33">
        <v>0</v>
      </c>
      <c r="X93" s="33">
        <f t="shared" si="50"/>
        <v>805.92972592704257</v>
      </c>
      <c r="Y93" s="38">
        <f t="shared" si="51"/>
        <v>442.20958683793339</v>
      </c>
      <c r="AA93" s="71">
        <v>88</v>
      </c>
      <c r="AB93" s="33">
        <f t="shared" si="52"/>
        <v>0</v>
      </c>
      <c r="AC93" s="304">
        <f t="shared" si="39"/>
        <v>0</v>
      </c>
      <c r="AD93" s="100">
        <f t="shared" si="53"/>
        <v>0</v>
      </c>
      <c r="AE93" s="100">
        <f t="shared" si="54"/>
        <v>0</v>
      </c>
      <c r="AF93" s="193">
        <f t="shared" si="67"/>
        <v>23.684658701908603</v>
      </c>
      <c r="AG93" s="193">
        <f t="shared" si="68"/>
        <v>0</v>
      </c>
      <c r="AH93" s="193">
        <f t="shared" si="69"/>
        <v>0</v>
      </c>
      <c r="AI93" s="198">
        <f t="shared" si="70"/>
        <v>23.684658701908603</v>
      </c>
      <c r="AK93" s="71">
        <v>88</v>
      </c>
      <c r="AL93" s="33"/>
      <c r="AM93" s="33"/>
      <c r="AN93" s="33"/>
      <c r="AO93" s="33"/>
      <c r="AP93" s="33"/>
      <c r="AQ93" s="193"/>
      <c r="AR93" s="193"/>
      <c r="AS93" s="193"/>
      <c r="AT93" s="193"/>
      <c r="AU93" s="33"/>
      <c r="AV93" s="33"/>
      <c r="AW93" s="33"/>
      <c r="AX93" s="33"/>
      <c r="AY93" s="76"/>
    </row>
    <row r="94" spans="2:51">
      <c r="B94" s="183">
        <f>F18</f>
        <v>150</v>
      </c>
      <c r="C94" s="180">
        <f>IFERROR(VLOOKUP(B94,C25:D78,2),)</f>
        <v>280</v>
      </c>
      <c r="D94" s="181">
        <v>0.95</v>
      </c>
      <c r="E94" s="182">
        <f t="shared" si="64"/>
        <v>0</v>
      </c>
      <c r="F94" s="182">
        <f t="shared" si="65"/>
        <v>0</v>
      </c>
      <c r="G94" s="150">
        <f t="shared" si="66"/>
        <v>5.0000000000000044E-2</v>
      </c>
      <c r="H94" s="58">
        <f t="shared" si="63"/>
        <v>0</v>
      </c>
      <c r="I94" s="55">
        <v>89</v>
      </c>
      <c r="J94" s="33">
        <f t="shared" si="57"/>
        <v>31.29000000000006</v>
      </c>
      <c r="K94" s="33">
        <f t="shared" si="58"/>
        <v>9.6581160716559946</v>
      </c>
      <c r="L94" s="33">
        <f t="shared" si="59"/>
        <v>70</v>
      </c>
      <c r="M94" s="33">
        <f t="shared" si="60"/>
        <v>10</v>
      </c>
      <c r="N94" s="33">
        <f t="shared" si="46"/>
        <v>0</v>
      </c>
      <c r="O94" s="34">
        <f t="shared" si="47"/>
        <v>364.65130215813429</v>
      </c>
      <c r="P94" s="55">
        <v>89</v>
      </c>
      <c r="Q94" s="33">
        <f t="shared" si="55"/>
        <v>10.530000000000001</v>
      </c>
      <c r="R94" s="33">
        <f t="shared" si="61"/>
        <v>418.47</v>
      </c>
      <c r="S94" s="33">
        <f t="shared" si="62"/>
        <v>242.71260000000001</v>
      </c>
      <c r="T94" s="33">
        <f t="shared" si="48"/>
        <v>59.022777277087158</v>
      </c>
      <c r="U94" s="33">
        <f t="shared" si="56"/>
        <v>70</v>
      </c>
      <c r="V94" s="33">
        <f t="shared" si="49"/>
        <v>10</v>
      </c>
      <c r="W94" s="33">
        <v>0</v>
      </c>
      <c r="X94" s="33">
        <f t="shared" si="50"/>
        <v>818.85578209092682</v>
      </c>
      <c r="Y94" s="38">
        <f t="shared" si="51"/>
        <v>454.20447993279254</v>
      </c>
      <c r="AA94" s="71">
        <v>89</v>
      </c>
      <c r="AB94" s="33">
        <f t="shared" si="52"/>
        <v>0</v>
      </c>
      <c r="AC94" s="304">
        <f t="shared" si="39"/>
        <v>0</v>
      </c>
      <c r="AD94" s="100">
        <f t="shared" si="53"/>
        <v>0</v>
      </c>
      <c r="AE94" s="100">
        <f t="shared" si="54"/>
        <v>0</v>
      </c>
      <c r="AF94" s="193">
        <f t="shared" si="67"/>
        <v>23.220216990979537</v>
      </c>
      <c r="AG94" s="193">
        <f t="shared" si="68"/>
        <v>0</v>
      </c>
      <c r="AH94" s="193">
        <f t="shared" si="69"/>
        <v>0</v>
      </c>
      <c r="AI94" s="198">
        <f t="shared" si="70"/>
        <v>23.220216990979537</v>
      </c>
      <c r="AK94" s="71">
        <v>89</v>
      </c>
      <c r="AL94" s="33"/>
      <c r="AM94" s="33"/>
      <c r="AN94" s="33"/>
      <c r="AO94" s="33"/>
      <c r="AP94" s="33"/>
      <c r="AQ94" s="193"/>
      <c r="AR94" s="193"/>
      <c r="AS94" s="193"/>
      <c r="AT94" s="193"/>
      <c r="AU94" s="33"/>
      <c r="AV94" s="33"/>
      <c r="AW94" s="33"/>
      <c r="AX94" s="33"/>
      <c r="AY94" s="76"/>
    </row>
    <row r="95" spans="2:51">
      <c r="I95" s="55">
        <v>90</v>
      </c>
      <c r="J95" s="33">
        <f t="shared" si="57"/>
        <v>31.710000000000061</v>
      </c>
      <c r="K95" s="33">
        <f t="shared" si="58"/>
        <v>9.7725761745697763</v>
      </c>
      <c r="L95" s="33">
        <f t="shared" si="59"/>
        <v>70</v>
      </c>
      <c r="M95" s="33">
        <f t="shared" si="60"/>
        <v>10</v>
      </c>
      <c r="N95" s="33">
        <f t="shared" si="46"/>
        <v>0</v>
      </c>
      <c r="O95" s="34">
        <f t="shared" si="47"/>
        <v>365.58215350404248</v>
      </c>
      <c r="P95" s="55">
        <v>90</v>
      </c>
      <c r="Q95" s="33">
        <f t="shared" si="55"/>
        <v>10.530000000000001</v>
      </c>
      <c r="R95" s="33">
        <f t="shared" si="61"/>
        <v>429</v>
      </c>
      <c r="S95" s="33">
        <f t="shared" si="62"/>
        <v>248.82</v>
      </c>
      <c r="T95" s="33">
        <f t="shared" si="48"/>
        <v>60.333192077890068</v>
      </c>
      <c r="U95" s="33">
        <f t="shared" si="56"/>
        <v>70</v>
      </c>
      <c r="V95" s="33">
        <f t="shared" si="49"/>
        <v>10</v>
      </c>
      <c r="W95" s="33">
        <v>0</v>
      </c>
      <c r="X95" s="33">
        <f t="shared" si="50"/>
        <v>831.77514286899179</v>
      </c>
      <c r="Y95" s="38">
        <f t="shared" si="51"/>
        <v>466.19298936494931</v>
      </c>
      <c r="AA95" s="71">
        <v>90</v>
      </c>
      <c r="AB95" s="33">
        <f t="shared" si="52"/>
        <v>0</v>
      </c>
      <c r="AC95" s="304">
        <f t="shared" ref="AC95:AC158" si="71">IF(AA95&lt;=$F$18,IFERROR(VLOOKUP($AA95,$B$82:$G$94,3,FALSE),0),)*50%</f>
        <v>0</v>
      </c>
      <c r="AD95" s="100">
        <f t="shared" si="53"/>
        <v>0</v>
      </c>
      <c r="AE95" s="100">
        <f t="shared" si="54"/>
        <v>0</v>
      </c>
      <c r="AF95" s="193">
        <f t="shared" si="67"/>
        <v>22.764882698720321</v>
      </c>
      <c r="AG95" s="193">
        <f t="shared" si="68"/>
        <v>0</v>
      </c>
      <c r="AH95" s="193">
        <f t="shared" si="69"/>
        <v>0</v>
      </c>
      <c r="AI95" s="198">
        <f t="shared" si="70"/>
        <v>22.764882698720321</v>
      </c>
      <c r="AK95" s="71">
        <v>90</v>
      </c>
      <c r="AL95" s="33"/>
      <c r="AM95" s="33"/>
      <c r="AN95" s="33"/>
      <c r="AO95" s="33"/>
      <c r="AP95" s="33"/>
      <c r="AQ95" s="193"/>
      <c r="AR95" s="193"/>
      <c r="AS95" s="193"/>
      <c r="AT95" s="193"/>
      <c r="AU95" s="33"/>
      <c r="AV95" s="33"/>
      <c r="AW95" s="33"/>
      <c r="AX95" s="33"/>
      <c r="AY95" s="76"/>
    </row>
    <row r="96" spans="2:51">
      <c r="C96" s="67" t="s">
        <v>154</v>
      </c>
      <c r="D96" t="s">
        <v>137</v>
      </c>
      <c r="E96" s="6"/>
      <c r="I96" s="55">
        <v>91</v>
      </c>
      <c r="J96" s="33">
        <f t="shared" si="57"/>
        <v>32.130000000000059</v>
      </c>
      <c r="K96" s="33">
        <f t="shared" si="58"/>
        <v>9.886859942350176</v>
      </c>
      <c r="L96" s="33">
        <f t="shared" si="59"/>
        <v>70</v>
      </c>
      <c r="M96" s="33">
        <f t="shared" si="60"/>
        <v>10</v>
      </c>
      <c r="N96" s="33">
        <f t="shared" si="46"/>
        <v>0</v>
      </c>
      <c r="O96" s="34">
        <f t="shared" si="47"/>
        <v>366.51269773292671</v>
      </c>
      <c r="P96" s="55">
        <v>91</v>
      </c>
      <c r="Q96" s="33">
        <f t="shared" si="55"/>
        <v>-32.759999999999991</v>
      </c>
      <c r="R96" s="33">
        <f t="shared" si="61"/>
        <v>396.24</v>
      </c>
      <c r="S96" s="33">
        <f t="shared" si="62"/>
        <v>229.8192</v>
      </c>
      <c r="T96" s="33">
        <f t="shared" si="48"/>
        <v>56.243586554989342</v>
      </c>
      <c r="U96" s="33">
        <f t="shared" si="56"/>
        <v>70</v>
      </c>
      <c r="V96" s="33">
        <f t="shared" si="49"/>
        <v>10</v>
      </c>
      <c r="W96" s="33">
        <v>0</v>
      </c>
      <c r="X96" s="33">
        <f t="shared" si="50"/>
        <v>791.5593532499397</v>
      </c>
      <c r="Y96" s="38">
        <f t="shared" si="51"/>
        <v>425.04665551701299</v>
      </c>
      <c r="AA96" s="71">
        <v>91</v>
      </c>
      <c r="AB96" s="33">
        <f t="shared" si="52"/>
        <v>0</v>
      </c>
      <c r="AC96" s="304">
        <f t="shared" si="71"/>
        <v>0</v>
      </c>
      <c r="AD96" s="100">
        <f t="shared" si="53"/>
        <v>0</v>
      </c>
      <c r="AE96" s="100">
        <f t="shared" si="54"/>
        <v>0</v>
      </c>
      <c r="AF96" s="193">
        <f t="shared" si="67"/>
        <v>22.318477234205812</v>
      </c>
      <c r="AG96" s="193">
        <f t="shared" si="68"/>
        <v>0</v>
      </c>
      <c r="AH96" s="193">
        <f t="shared" si="69"/>
        <v>0</v>
      </c>
      <c r="AI96" s="198">
        <f t="shared" si="70"/>
        <v>22.318477234205812</v>
      </c>
      <c r="AK96" s="71">
        <v>91</v>
      </c>
      <c r="AL96" s="33"/>
      <c r="AM96" s="33"/>
      <c r="AN96" s="33"/>
      <c r="AO96" s="33"/>
      <c r="AP96" s="33"/>
      <c r="AQ96" s="193"/>
      <c r="AR96" s="193"/>
      <c r="AS96" s="193"/>
      <c r="AT96" s="193"/>
      <c r="AU96" s="33"/>
      <c r="AV96" s="33"/>
      <c r="AW96" s="33"/>
      <c r="AX96" s="33"/>
      <c r="AY96" s="76"/>
    </row>
    <row r="97" spans="2:51">
      <c r="B97" s="2" t="s">
        <v>0</v>
      </c>
      <c r="C97">
        <v>32</v>
      </c>
      <c r="D97">
        <v>0</v>
      </c>
      <c r="E97" s="6"/>
      <c r="I97" s="55">
        <v>92</v>
      </c>
      <c r="J97" s="33">
        <f t="shared" si="57"/>
        <v>32.550000000000061</v>
      </c>
      <c r="K97" s="33">
        <f t="shared" si="58"/>
        <v>10.000969946528183</v>
      </c>
      <c r="L97" s="33">
        <f t="shared" si="59"/>
        <v>70</v>
      </c>
      <c r="M97" s="33">
        <f t="shared" si="60"/>
        <v>10</v>
      </c>
      <c r="N97" s="33">
        <f t="shared" si="46"/>
        <v>0</v>
      </c>
      <c r="O97" s="34">
        <f t="shared" si="47"/>
        <v>367.44293932353668</v>
      </c>
      <c r="P97" s="55">
        <v>92</v>
      </c>
      <c r="Q97" s="33">
        <f t="shared" si="55"/>
        <v>9.75</v>
      </c>
      <c r="R97" s="33">
        <f t="shared" si="61"/>
        <v>405.99</v>
      </c>
      <c r="S97" s="33">
        <f t="shared" si="62"/>
        <v>235.4742</v>
      </c>
      <c r="T97" s="33">
        <f t="shared" si="48"/>
        <v>57.464706295312858</v>
      </c>
      <c r="U97" s="33">
        <f t="shared" si="56"/>
        <v>70</v>
      </c>
      <c r="V97" s="33">
        <f t="shared" si="49"/>
        <v>10</v>
      </c>
      <c r="W97" s="33">
        <v>0</v>
      </c>
      <c r="X97" s="33">
        <f t="shared" si="50"/>
        <v>803.53526179766993</v>
      </c>
      <c r="Y97" s="38">
        <f t="shared" si="51"/>
        <v>436.09232247413325</v>
      </c>
      <c r="AA97" s="71">
        <v>92</v>
      </c>
      <c r="AB97" s="33">
        <f t="shared" si="52"/>
        <v>0</v>
      </c>
      <c r="AC97" s="304">
        <f t="shared" si="71"/>
        <v>0</v>
      </c>
      <c r="AD97" s="100">
        <f t="shared" si="53"/>
        <v>0</v>
      </c>
      <c r="AE97" s="100">
        <f t="shared" si="54"/>
        <v>0</v>
      </c>
      <c r="AF97" s="193">
        <f t="shared" si="67"/>
        <v>21.880825508569984</v>
      </c>
      <c r="AG97" s="193">
        <f t="shared" si="68"/>
        <v>0</v>
      </c>
      <c r="AH97" s="193">
        <f t="shared" si="69"/>
        <v>0</v>
      </c>
      <c r="AI97" s="198">
        <f t="shared" si="70"/>
        <v>21.880825508569984</v>
      </c>
      <c r="AK97" s="71">
        <v>92</v>
      </c>
      <c r="AL97" s="33"/>
      <c r="AM97" s="33"/>
      <c r="AN97" s="33"/>
      <c r="AO97" s="33"/>
      <c r="AP97" s="33"/>
      <c r="AQ97" s="193"/>
      <c r="AR97" s="193"/>
      <c r="AS97" s="193"/>
      <c r="AT97" s="193"/>
      <c r="AU97" s="33"/>
      <c r="AV97" s="33"/>
      <c r="AW97" s="33"/>
      <c r="AX97" s="33"/>
      <c r="AY97" s="76"/>
    </row>
    <row r="98" spans="2:51">
      <c r="B98" s="2" t="s">
        <v>1</v>
      </c>
      <c r="C98">
        <v>45</v>
      </c>
      <c r="D98">
        <v>0</v>
      </c>
      <c r="E98" s="6"/>
      <c r="I98" s="55">
        <v>93</v>
      </c>
      <c r="J98" s="33">
        <f t="shared" si="57"/>
        <v>32.970000000000063</v>
      </c>
      <c r="K98" s="33">
        <f t="shared" si="58"/>
        <v>10.114908688457351</v>
      </c>
      <c r="L98" s="33">
        <f t="shared" si="59"/>
        <v>70</v>
      </c>
      <c r="M98" s="33">
        <f t="shared" si="60"/>
        <v>10</v>
      </c>
      <c r="N98" s="33">
        <f t="shared" si="46"/>
        <v>0</v>
      </c>
      <c r="O98" s="34">
        <f t="shared" si="47"/>
        <v>368.37288263239662</v>
      </c>
      <c r="P98" s="55">
        <v>93</v>
      </c>
      <c r="Q98" s="33">
        <f t="shared" si="55"/>
        <v>9.75</v>
      </c>
      <c r="R98" s="33">
        <f t="shared" si="61"/>
        <v>415.74</v>
      </c>
      <c r="S98" s="33">
        <f t="shared" si="62"/>
        <v>241.1292</v>
      </c>
      <c r="T98" s="33">
        <f t="shared" si="48"/>
        <v>58.68241695115406</v>
      </c>
      <c r="U98" s="33">
        <f t="shared" si="56"/>
        <v>70</v>
      </c>
      <c r="V98" s="33">
        <f t="shared" si="49"/>
        <v>10</v>
      </c>
      <c r="W98" s="33">
        <v>0</v>
      </c>
      <c r="X98" s="33">
        <f t="shared" si="50"/>
        <v>815.50523285659335</v>
      </c>
      <c r="Y98" s="38">
        <f t="shared" si="51"/>
        <v>447.13235022419673</v>
      </c>
      <c r="AA98" s="71">
        <v>93</v>
      </c>
      <c r="AB98" s="33">
        <f t="shared" si="52"/>
        <v>0</v>
      </c>
      <c r="AC98" s="304">
        <f t="shared" si="71"/>
        <v>0</v>
      </c>
      <c r="AD98" s="100">
        <f t="shared" si="53"/>
        <v>0</v>
      </c>
      <c r="AE98" s="100">
        <f t="shared" si="54"/>
        <v>0</v>
      </c>
      <c r="AF98" s="193">
        <f t="shared" si="67"/>
        <v>21.451755866332679</v>
      </c>
      <c r="AG98" s="193">
        <f t="shared" si="68"/>
        <v>0</v>
      </c>
      <c r="AH98" s="193">
        <f t="shared" si="69"/>
        <v>0</v>
      </c>
      <c r="AI98" s="198">
        <f t="shared" si="70"/>
        <v>21.451755866332679</v>
      </c>
      <c r="AK98" s="71">
        <v>93</v>
      </c>
      <c r="AL98" s="33"/>
      <c r="AM98" s="33"/>
      <c r="AN98" s="33"/>
      <c r="AO98" s="33"/>
      <c r="AP98" s="33"/>
      <c r="AQ98" s="193"/>
      <c r="AR98" s="193"/>
      <c r="AS98" s="193"/>
      <c r="AT98" s="193"/>
      <c r="AU98" s="33"/>
      <c r="AV98" s="33"/>
      <c r="AW98" s="33"/>
      <c r="AX98" s="33"/>
      <c r="AY98" s="76"/>
    </row>
    <row r="99" spans="2:51">
      <c r="B99" s="2" t="s">
        <v>2</v>
      </c>
      <c r="C99">
        <v>70</v>
      </c>
      <c r="D99">
        <v>0</v>
      </c>
      <c r="E99" s="6"/>
      <c r="I99" s="55">
        <v>94</v>
      </c>
      <c r="J99" s="33">
        <f t="shared" si="57"/>
        <v>33.390000000000065</v>
      </c>
      <c r="K99" s="33">
        <f t="shared" si="58"/>
        <v>10.228678602097999</v>
      </c>
      <c r="L99" s="33">
        <f t="shared" si="59"/>
        <v>70</v>
      </c>
      <c r="M99" s="33">
        <f t="shared" si="60"/>
        <v>10</v>
      </c>
      <c r="N99" s="33">
        <f t="shared" si="46"/>
        <v>0</v>
      </c>
      <c r="O99" s="34">
        <f t="shared" si="47"/>
        <v>369.30253189865408</v>
      </c>
      <c r="P99" s="55">
        <v>94</v>
      </c>
      <c r="Q99" s="33">
        <f t="shared" si="55"/>
        <v>9.75</v>
      </c>
      <c r="R99" s="33">
        <f t="shared" si="61"/>
        <v>425.49</v>
      </c>
      <c r="S99" s="33">
        <f t="shared" si="62"/>
        <v>246.7842</v>
      </c>
      <c r="T99" s="33">
        <f t="shared" si="48"/>
        <v>59.896807673928095</v>
      </c>
      <c r="U99" s="33">
        <f t="shared" si="56"/>
        <v>70</v>
      </c>
      <c r="V99" s="33">
        <f t="shared" si="49"/>
        <v>10</v>
      </c>
      <c r="W99" s="33">
        <v>0</v>
      </c>
      <c r="X99" s="33">
        <f t="shared" si="50"/>
        <v>827.46942169875808</v>
      </c>
      <c r="Y99" s="38">
        <f t="shared" si="51"/>
        <v>458.166889800104</v>
      </c>
      <c r="AA99" s="71">
        <v>94</v>
      </c>
      <c r="AB99" s="33">
        <f t="shared" si="52"/>
        <v>0</v>
      </c>
      <c r="AC99" s="304">
        <f t="shared" si="71"/>
        <v>0</v>
      </c>
      <c r="AD99" s="100">
        <f t="shared" si="53"/>
        <v>0</v>
      </c>
      <c r="AE99" s="100">
        <f t="shared" si="54"/>
        <v>0</v>
      </c>
      <c r="AF99" s="193">
        <f t="shared" si="67"/>
        <v>21.031100018073008</v>
      </c>
      <c r="AG99" s="193">
        <f t="shared" si="68"/>
        <v>0</v>
      </c>
      <c r="AH99" s="193">
        <f t="shared" si="69"/>
        <v>0</v>
      </c>
      <c r="AI99" s="198">
        <f t="shared" si="70"/>
        <v>21.031100018073008</v>
      </c>
      <c r="AK99" s="71">
        <v>94</v>
      </c>
      <c r="AL99" s="33"/>
      <c r="AM99" s="33"/>
      <c r="AN99" s="33"/>
      <c r="AO99" s="33"/>
      <c r="AP99" s="33"/>
      <c r="AQ99" s="193"/>
      <c r="AR99" s="193"/>
      <c r="AS99" s="193"/>
      <c r="AT99" s="193"/>
      <c r="AU99" s="33"/>
      <c r="AV99" s="33"/>
      <c r="AW99" s="33"/>
      <c r="AX99" s="33"/>
      <c r="AY99" s="76"/>
    </row>
    <row r="100" spans="2:51">
      <c r="B100" s="2" t="s">
        <v>135</v>
      </c>
      <c r="C100">
        <v>70</v>
      </c>
      <c r="D100">
        <v>0</v>
      </c>
      <c r="E100" s="6"/>
      <c r="I100" s="55">
        <v>95</v>
      </c>
      <c r="J100" s="33">
        <f t="shared" si="57"/>
        <v>33.810000000000066</v>
      </c>
      <c r="K100" s="33">
        <f t="shared" si="58"/>
        <v>10.342282056657389</v>
      </c>
      <c r="L100" s="33">
        <f t="shared" si="59"/>
        <v>70</v>
      </c>
      <c r="M100" s="33">
        <f t="shared" si="60"/>
        <v>10</v>
      </c>
      <c r="N100" s="33">
        <f t="shared" si="46"/>
        <v>0</v>
      </c>
      <c r="O100" s="34">
        <f t="shared" si="47"/>
        <v>370.23189124867844</v>
      </c>
      <c r="P100" s="55">
        <v>95</v>
      </c>
      <c r="Q100" s="33">
        <f t="shared" si="55"/>
        <v>9.75</v>
      </c>
      <c r="R100" s="33">
        <f t="shared" si="61"/>
        <v>435.24</v>
      </c>
      <c r="S100" s="33">
        <f t="shared" si="62"/>
        <v>252.4392</v>
      </c>
      <c r="T100" s="33">
        <f t="shared" si="48"/>
        <v>61.107963296116218</v>
      </c>
      <c r="U100" s="33">
        <f t="shared" si="56"/>
        <v>70</v>
      </c>
      <c r="V100" s="33">
        <f t="shared" si="49"/>
        <v>10</v>
      </c>
      <c r="W100" s="33">
        <v>0</v>
      </c>
      <c r="X100" s="33">
        <f t="shared" si="50"/>
        <v>839.42797607406908</v>
      </c>
      <c r="Y100" s="38">
        <f t="shared" si="51"/>
        <v>469.19608482539064</v>
      </c>
      <c r="AA100" s="71">
        <v>95</v>
      </c>
      <c r="AB100" s="33">
        <f t="shared" si="52"/>
        <v>0</v>
      </c>
      <c r="AC100" s="304">
        <f t="shared" si="71"/>
        <v>0</v>
      </c>
      <c r="AD100" s="100">
        <f t="shared" si="53"/>
        <v>0</v>
      </c>
      <c r="AE100" s="100">
        <f t="shared" si="54"/>
        <v>0</v>
      </c>
      <c r="AF100" s="193">
        <f t="shared" si="67"/>
        <v>20.618692974422977</v>
      </c>
      <c r="AG100" s="193">
        <f t="shared" si="68"/>
        <v>0</v>
      </c>
      <c r="AH100" s="193">
        <f t="shared" si="69"/>
        <v>0</v>
      </c>
      <c r="AI100" s="198">
        <f t="shared" si="70"/>
        <v>20.618692974422977</v>
      </c>
      <c r="AK100" s="71">
        <v>95</v>
      </c>
      <c r="AL100" s="33"/>
      <c r="AM100" s="33"/>
      <c r="AN100" s="33"/>
      <c r="AO100" s="33"/>
      <c r="AP100" s="33"/>
      <c r="AQ100" s="193"/>
      <c r="AR100" s="193"/>
      <c r="AS100" s="193"/>
      <c r="AT100" s="193"/>
      <c r="AU100" s="33"/>
      <c r="AV100" s="33"/>
      <c r="AW100" s="33"/>
      <c r="AX100" s="33"/>
      <c r="AY100" s="76"/>
    </row>
    <row r="101" spans="2:51">
      <c r="C101" s="27"/>
      <c r="E101" s="6"/>
      <c r="I101" s="55">
        <v>96</v>
      </c>
      <c r="J101" s="33">
        <f t="shared" si="57"/>
        <v>34.230000000000068</v>
      </c>
      <c r="K101" s="33">
        <f t="shared" si="58"/>
        <v>10.455721359094943</v>
      </c>
      <c r="L101" s="33">
        <f t="shared" si="59"/>
        <v>70</v>
      </c>
      <c r="M101" s="33">
        <f t="shared" si="60"/>
        <v>10</v>
      </c>
      <c r="N101" s="33">
        <f t="shared" si="46"/>
        <v>0</v>
      </c>
      <c r="O101" s="34">
        <f t="shared" si="47"/>
        <v>371.16096470042379</v>
      </c>
      <c r="P101" s="55">
        <v>96</v>
      </c>
      <c r="Q101" s="33">
        <f t="shared" si="55"/>
        <v>-32.759999999999991</v>
      </c>
      <c r="R101" s="33">
        <f t="shared" si="61"/>
        <v>402.48</v>
      </c>
      <c r="S101" s="33">
        <f t="shared" si="62"/>
        <v>233.4384</v>
      </c>
      <c r="T101" s="33">
        <f t="shared" si="48"/>
        <v>57.025500710931624</v>
      </c>
      <c r="U101" s="33">
        <f t="shared" si="56"/>
        <v>70</v>
      </c>
      <c r="V101" s="33">
        <f t="shared" si="49"/>
        <v>10</v>
      </c>
      <c r="W101" s="33">
        <v>0</v>
      </c>
      <c r="X101" s="33">
        <f t="shared" si="50"/>
        <v>799.2246270715392</v>
      </c>
      <c r="Y101" s="38">
        <f t="shared" si="51"/>
        <v>428.06366237111541</v>
      </c>
      <c r="AA101" s="71">
        <v>96</v>
      </c>
      <c r="AB101" s="33">
        <f t="shared" si="52"/>
        <v>0</v>
      </c>
      <c r="AC101" s="304">
        <f t="shared" si="71"/>
        <v>0</v>
      </c>
      <c r="AD101" s="100">
        <f t="shared" si="53"/>
        <v>0</v>
      </c>
      <c r="AE101" s="100">
        <f t="shared" si="54"/>
        <v>0</v>
      </c>
      <c r="AF101" s="193">
        <f t="shared" si="67"/>
        <v>20.214372981355464</v>
      </c>
      <c r="AG101" s="193">
        <f t="shared" si="68"/>
        <v>0</v>
      </c>
      <c r="AH101" s="193">
        <f t="shared" si="69"/>
        <v>0</v>
      </c>
      <c r="AI101" s="198">
        <f t="shared" si="70"/>
        <v>20.214372981355464</v>
      </c>
      <c r="AK101" s="71">
        <v>96</v>
      </c>
      <c r="AL101" s="33"/>
      <c r="AM101" s="33"/>
      <c r="AN101" s="33"/>
      <c r="AO101" s="33"/>
      <c r="AP101" s="33"/>
      <c r="AQ101" s="193"/>
      <c r="AR101" s="193"/>
      <c r="AS101" s="193"/>
      <c r="AT101" s="193"/>
      <c r="AU101" s="33"/>
      <c r="AV101" s="33"/>
      <c r="AW101" s="33"/>
      <c r="AX101" s="33"/>
      <c r="AY101" s="76"/>
    </row>
    <row r="102" spans="2:51">
      <c r="C102" s="27"/>
      <c r="E102" s="6"/>
      <c r="I102" s="55">
        <v>97</v>
      </c>
      <c r="J102" s="33">
        <f t="shared" si="57"/>
        <v>34.65000000000007</v>
      </c>
      <c r="K102" s="33">
        <f t="shared" si="58"/>
        <v>10.568998756501035</v>
      </c>
      <c r="L102" s="33">
        <f t="shared" si="59"/>
        <v>70</v>
      </c>
      <c r="M102" s="33">
        <f t="shared" si="60"/>
        <v>10</v>
      </c>
      <c r="N102" s="33">
        <f t="shared" si="46"/>
        <v>0</v>
      </c>
      <c r="O102" s="34">
        <f t="shared" si="47"/>
        <v>372.08975616757272</v>
      </c>
      <c r="P102" s="55">
        <v>97</v>
      </c>
      <c r="Q102" s="33">
        <f t="shared" si="55"/>
        <v>9.36</v>
      </c>
      <c r="R102" s="33">
        <f t="shared" si="61"/>
        <v>411.84000000000003</v>
      </c>
      <c r="S102" s="33">
        <f t="shared" si="62"/>
        <v>238.8672</v>
      </c>
      <c r="T102" s="33">
        <f t="shared" si="48"/>
        <v>58.195735973104156</v>
      </c>
      <c r="U102" s="33">
        <f t="shared" si="56"/>
        <v>70</v>
      </c>
      <c r="V102" s="33">
        <f t="shared" si="49"/>
        <v>10</v>
      </c>
      <c r="W102" s="33">
        <v>0</v>
      </c>
      <c r="X102" s="33">
        <f t="shared" si="50"/>
        <v>810.71794681982294</v>
      </c>
      <c r="Y102" s="38">
        <f t="shared" si="51"/>
        <v>438.62819065225023</v>
      </c>
      <c r="AA102" s="71">
        <v>97</v>
      </c>
      <c r="AB102" s="33">
        <f t="shared" si="52"/>
        <v>0</v>
      </c>
      <c r="AC102" s="304">
        <f t="shared" si="71"/>
        <v>0</v>
      </c>
      <c r="AD102" s="100">
        <f t="shared" si="53"/>
        <v>0</v>
      </c>
      <c r="AE102" s="100">
        <f t="shared" si="54"/>
        <v>0</v>
      </c>
      <c r="AF102" s="193">
        <f t="shared" si="67"/>
        <v>19.817981456741158</v>
      </c>
      <c r="AG102" s="193">
        <f t="shared" si="68"/>
        <v>0</v>
      </c>
      <c r="AH102" s="193">
        <f t="shared" si="69"/>
        <v>0</v>
      </c>
      <c r="AI102" s="198">
        <f t="shared" si="70"/>
        <v>19.817981456741158</v>
      </c>
      <c r="AK102" s="71">
        <v>97</v>
      </c>
      <c r="AL102" s="33"/>
      <c r="AM102" s="33"/>
      <c r="AN102" s="33"/>
      <c r="AO102" s="33"/>
      <c r="AP102" s="33"/>
      <c r="AQ102" s="193"/>
      <c r="AR102" s="193"/>
      <c r="AS102" s="193"/>
      <c r="AT102" s="193"/>
      <c r="AU102" s="33"/>
      <c r="AV102" s="33"/>
      <c r="AW102" s="33"/>
      <c r="AX102" s="33"/>
      <c r="AY102" s="76"/>
    </row>
    <row r="103" spans="2:51" ht="16">
      <c r="C103" s="25" t="s">
        <v>157</v>
      </c>
      <c r="D103" s="156" t="s">
        <v>158</v>
      </c>
      <c r="F103" s="189" t="s">
        <v>232</v>
      </c>
      <c r="I103" s="55">
        <v>98</v>
      </c>
      <c r="J103" s="33">
        <f t="shared" si="57"/>
        <v>35.070000000000071</v>
      </c>
      <c r="K103" s="33">
        <f t="shared" si="58"/>
        <v>10.682116438357115</v>
      </c>
      <c r="L103" s="33">
        <f t="shared" si="59"/>
        <v>70</v>
      </c>
      <c r="M103" s="33">
        <f t="shared" si="60"/>
        <v>10</v>
      </c>
      <c r="N103" s="33">
        <f t="shared" si="46"/>
        <v>0</v>
      </c>
      <c r="O103" s="34">
        <f t="shared" si="47"/>
        <v>373.01826946347211</v>
      </c>
      <c r="P103" s="55">
        <v>98</v>
      </c>
      <c r="Q103" s="33">
        <f t="shared" si="55"/>
        <v>9.36</v>
      </c>
      <c r="R103" s="33">
        <f t="shared" si="61"/>
        <v>421.20000000000005</v>
      </c>
      <c r="S103" s="33">
        <f t="shared" si="62"/>
        <v>244.29600000000002</v>
      </c>
      <c r="T103" s="33">
        <f t="shared" si="48"/>
        <v>59.362879241040368</v>
      </c>
      <c r="U103" s="33">
        <f t="shared" si="56"/>
        <v>70</v>
      </c>
      <c r="V103" s="33">
        <f t="shared" si="49"/>
        <v>10</v>
      </c>
      <c r="W103" s="33">
        <v>0</v>
      </c>
      <c r="X103" s="33">
        <f t="shared" si="50"/>
        <v>822.20588134481204</v>
      </c>
      <c r="Y103" s="38">
        <f t="shared" si="51"/>
        <v>449.18761188133993</v>
      </c>
      <c r="AA103" s="71">
        <v>98</v>
      </c>
      <c r="AB103" s="33">
        <f t="shared" si="52"/>
        <v>0</v>
      </c>
      <c r="AC103" s="304">
        <f t="shared" si="71"/>
        <v>0</v>
      </c>
      <c r="AD103" s="100">
        <f t="shared" si="53"/>
        <v>0</v>
      </c>
      <c r="AE103" s="100">
        <f t="shared" si="54"/>
        <v>0</v>
      </c>
      <c r="AF103" s="193">
        <f t="shared" si="67"/>
        <v>19.429362928149583</v>
      </c>
      <c r="AG103" s="193">
        <f t="shared" si="68"/>
        <v>0</v>
      </c>
      <c r="AH103" s="193">
        <f t="shared" si="69"/>
        <v>0</v>
      </c>
      <c r="AI103" s="198">
        <f t="shared" si="70"/>
        <v>19.429362928149583</v>
      </c>
      <c r="AK103" s="71">
        <v>98</v>
      </c>
      <c r="AL103" s="33"/>
      <c r="AM103" s="33"/>
      <c r="AN103" s="33"/>
      <c r="AO103" s="33"/>
      <c r="AP103" s="33"/>
      <c r="AQ103" s="193"/>
      <c r="AR103" s="193"/>
      <c r="AS103" s="193"/>
      <c r="AT103" s="193"/>
      <c r="AU103" s="33"/>
      <c r="AV103" s="33"/>
      <c r="AW103" s="33"/>
      <c r="AX103" s="33"/>
      <c r="AY103" s="76"/>
    </row>
    <row r="104" spans="2:51">
      <c r="B104" t="s">
        <v>78</v>
      </c>
      <c r="C104">
        <v>1.52</v>
      </c>
      <c r="D104">
        <v>35</v>
      </c>
      <c r="F104" s="188" t="s">
        <v>228</v>
      </c>
      <c r="G104" s="24">
        <v>0.25</v>
      </c>
      <c r="I104" s="55">
        <v>99</v>
      </c>
      <c r="J104" s="33">
        <f t="shared" si="57"/>
        <v>35.490000000000073</v>
      </c>
      <c r="K104" s="33">
        <f t="shared" si="58"/>
        <v>10.795076538684535</v>
      </c>
      <c r="L104" s="33">
        <f t="shared" si="59"/>
        <v>70</v>
      </c>
      <c r="M104" s="33">
        <f t="shared" si="60"/>
        <v>10</v>
      </c>
      <c r="N104" s="33">
        <f t="shared" si="46"/>
        <v>0</v>
      </c>
      <c r="O104" s="34">
        <f t="shared" si="47"/>
        <v>373.94650830487564</v>
      </c>
      <c r="P104" s="55">
        <v>99</v>
      </c>
      <c r="Q104" s="33">
        <f t="shared" si="55"/>
        <v>9.36</v>
      </c>
      <c r="R104" s="33">
        <f t="shared" si="61"/>
        <v>430.56000000000006</v>
      </c>
      <c r="S104" s="33">
        <f t="shared" si="62"/>
        <v>249.72480000000002</v>
      </c>
      <c r="T104" s="33">
        <f t="shared" si="48"/>
        <v>60.527007137298142</v>
      </c>
      <c r="U104" s="33">
        <f t="shared" si="56"/>
        <v>70</v>
      </c>
      <c r="V104" s="33">
        <f t="shared" si="49"/>
        <v>10</v>
      </c>
      <c r="W104" s="33">
        <v>0</v>
      </c>
      <c r="X104" s="33">
        <f t="shared" si="50"/>
        <v>833.68856409746093</v>
      </c>
      <c r="Y104" s="38">
        <f t="shared" si="51"/>
        <v>459.74205579258529</v>
      </c>
      <c r="AA104" s="71">
        <v>99</v>
      </c>
      <c r="AB104" s="33">
        <f t="shared" si="52"/>
        <v>0</v>
      </c>
      <c r="AC104" s="304">
        <f t="shared" si="71"/>
        <v>0</v>
      </c>
      <c r="AD104" s="100">
        <f t="shared" si="53"/>
        <v>0</v>
      </c>
      <c r="AE104" s="100">
        <f t="shared" si="54"/>
        <v>0</v>
      </c>
      <c r="AF104" s="193">
        <f t="shared" si="67"/>
        <v>19.048364971869791</v>
      </c>
      <c r="AG104" s="193">
        <f t="shared" si="68"/>
        <v>0</v>
      </c>
      <c r="AH104" s="193">
        <f t="shared" si="69"/>
        <v>0</v>
      </c>
      <c r="AI104" s="198">
        <f t="shared" si="70"/>
        <v>19.048364971869791</v>
      </c>
      <c r="AK104" s="71">
        <v>99</v>
      </c>
      <c r="AL104" s="33"/>
      <c r="AM104" s="33"/>
      <c r="AN104" s="33"/>
      <c r="AO104" s="33"/>
      <c r="AP104" s="33"/>
      <c r="AQ104" s="193"/>
      <c r="AR104" s="193"/>
      <c r="AS104" s="193"/>
      <c r="AT104" s="193"/>
      <c r="AU104" s="33"/>
      <c r="AV104" s="33"/>
      <c r="AW104" s="33"/>
      <c r="AX104" s="33"/>
      <c r="AY104" s="76"/>
    </row>
    <row r="105" spans="2:51">
      <c r="B105" t="s">
        <v>80</v>
      </c>
      <c r="C105">
        <v>0</v>
      </c>
      <c r="D105">
        <v>2</v>
      </c>
      <c r="F105" s="188" t="s">
        <v>230</v>
      </c>
      <c r="G105" s="24">
        <v>1.03</v>
      </c>
      <c r="I105" s="55">
        <v>100</v>
      </c>
      <c r="J105" s="33">
        <f t="shared" si="57"/>
        <v>35.910000000000075</v>
      </c>
      <c r="K105" s="33">
        <f t="shared" si="58"/>
        <v>10.907881138088683</v>
      </c>
      <c r="L105" s="33">
        <f t="shared" si="59"/>
        <v>70</v>
      </c>
      <c r="M105" s="33">
        <f t="shared" si="60"/>
        <v>10</v>
      </c>
      <c r="N105" s="33">
        <f t="shared" si="46"/>
        <v>0</v>
      </c>
      <c r="O105" s="34">
        <f t="shared" si="47"/>
        <v>374.87447631550458</v>
      </c>
      <c r="P105" s="55">
        <v>100</v>
      </c>
      <c r="Q105" s="33">
        <f t="shared" si="55"/>
        <v>9.36</v>
      </c>
      <c r="R105" s="33">
        <f t="shared" si="61"/>
        <v>439.92000000000007</v>
      </c>
      <c r="S105" s="33">
        <f t="shared" si="62"/>
        <v>255.15360000000001</v>
      </c>
      <c r="T105" s="33">
        <f t="shared" si="48"/>
        <v>61.688192762754426</v>
      </c>
      <c r="U105" s="33">
        <f t="shared" si="56"/>
        <v>70</v>
      </c>
      <c r="V105" s="33">
        <f t="shared" si="49"/>
        <v>10</v>
      </c>
      <c r="W105" s="33">
        <v>0</v>
      </c>
      <c r="X105" s="33">
        <f t="shared" si="50"/>
        <v>845.16612239513063</v>
      </c>
      <c r="Y105" s="38">
        <f t="shared" si="51"/>
        <v>470.29164607962605</v>
      </c>
      <c r="AA105" s="71">
        <v>100</v>
      </c>
      <c r="AB105" s="33">
        <f t="shared" si="52"/>
        <v>0</v>
      </c>
      <c r="AC105" s="304">
        <f t="shared" si="71"/>
        <v>0</v>
      </c>
      <c r="AD105" s="100">
        <f t="shared" si="53"/>
        <v>0</v>
      </c>
      <c r="AE105" s="100">
        <f t="shared" si="54"/>
        <v>0</v>
      </c>
      <c r="AF105" s="193">
        <f t="shared" si="67"/>
        <v>18.674838153126839</v>
      </c>
      <c r="AG105" s="193">
        <f t="shared" si="68"/>
        <v>0</v>
      </c>
      <c r="AH105" s="193">
        <f t="shared" si="69"/>
        <v>0</v>
      </c>
      <c r="AI105" s="198">
        <f t="shared" si="70"/>
        <v>18.674838153126839</v>
      </c>
      <c r="AK105" s="71">
        <v>100</v>
      </c>
      <c r="AL105" s="33"/>
      <c r="AM105" s="33"/>
      <c r="AN105" s="33"/>
      <c r="AO105" s="33"/>
      <c r="AP105" s="33"/>
      <c r="AQ105" s="193"/>
      <c r="AR105" s="193"/>
      <c r="AS105" s="193"/>
      <c r="AT105" s="193"/>
      <c r="AU105" s="33"/>
      <c r="AV105" s="33"/>
      <c r="AW105" s="33"/>
      <c r="AX105" s="33"/>
      <c r="AY105" s="76"/>
    </row>
    <row r="106" spans="2:51" ht="30">
      <c r="B106" t="s">
        <v>81</v>
      </c>
      <c r="C106">
        <v>0.77</v>
      </c>
      <c r="D106">
        <v>25</v>
      </c>
      <c r="F106" s="188" t="s">
        <v>231</v>
      </c>
      <c r="G106" s="24">
        <v>0.59</v>
      </c>
      <c r="I106" s="55">
        <v>101</v>
      </c>
      <c r="J106" s="33">
        <f t="shared" si="57"/>
        <v>36.330000000000076</v>
      </c>
      <c r="K106" s="33">
        <f t="shared" si="58"/>
        <v>11.020532265704842</v>
      </c>
      <c r="L106" s="33">
        <f t="shared" si="59"/>
        <v>70</v>
      </c>
      <c r="M106" s="33">
        <f t="shared" si="60"/>
        <v>10</v>
      </c>
      <c r="N106" s="33">
        <f t="shared" si="46"/>
        <v>0</v>
      </c>
      <c r="O106" s="34">
        <f t="shared" si="47"/>
        <v>375.80217702943605</v>
      </c>
      <c r="P106" s="55">
        <v>101</v>
      </c>
      <c r="Q106" s="33">
        <f t="shared" si="55"/>
        <v>-32.759999999999991</v>
      </c>
      <c r="R106" s="33">
        <f t="shared" si="61"/>
        <v>407.16000000000008</v>
      </c>
      <c r="S106" s="33">
        <f t="shared" si="62"/>
        <v>236.15280000000004</v>
      </c>
      <c r="T106" s="33">
        <f t="shared" si="48"/>
        <v>57.61100977459936</v>
      </c>
      <c r="U106" s="33">
        <f t="shared" si="56"/>
        <v>70</v>
      </c>
      <c r="V106" s="33">
        <f t="shared" si="49"/>
        <v>10</v>
      </c>
      <c r="W106" s="33">
        <v>0</v>
      </c>
      <c r="X106" s="33">
        <f t="shared" si="50"/>
        <v>804.9719686907606</v>
      </c>
      <c r="Y106" s="38">
        <f t="shared" si="51"/>
        <v>429.16979166132455</v>
      </c>
      <c r="AA106" s="71">
        <v>101</v>
      </c>
      <c r="AB106" s="33">
        <f t="shared" si="52"/>
        <v>0</v>
      </c>
      <c r="AC106" s="304">
        <f t="shared" si="71"/>
        <v>0</v>
      </c>
      <c r="AD106" s="100">
        <f t="shared" si="53"/>
        <v>0</v>
      </c>
      <c r="AE106" s="100">
        <f t="shared" si="54"/>
        <v>0</v>
      </c>
      <c r="AF106" s="193">
        <f t="shared" si="67"/>
        <v>18.308635967470572</v>
      </c>
      <c r="AG106" s="193">
        <f t="shared" si="68"/>
        <v>0</v>
      </c>
      <c r="AH106" s="193">
        <f t="shared" si="69"/>
        <v>0</v>
      </c>
      <c r="AI106" s="198">
        <f t="shared" si="70"/>
        <v>18.308635967470572</v>
      </c>
      <c r="AK106" s="71">
        <v>101</v>
      </c>
      <c r="AL106" s="33"/>
      <c r="AM106" s="33"/>
      <c r="AN106" s="33"/>
      <c r="AO106" s="33"/>
      <c r="AP106" s="33"/>
      <c r="AQ106" s="193"/>
      <c r="AR106" s="193"/>
      <c r="AS106" s="193"/>
      <c r="AT106" s="193"/>
      <c r="AU106" s="33"/>
      <c r="AV106" s="33"/>
      <c r="AW106" s="33"/>
      <c r="AX106" s="33"/>
      <c r="AY106" s="76"/>
    </row>
    <row r="107" spans="2:51">
      <c r="B107" t="s">
        <v>82</v>
      </c>
      <c r="C107">
        <f>44%*C105+56%*C106</f>
        <v>0.43120000000000003</v>
      </c>
      <c r="D107">
        <f>44%*D105+56%*D106</f>
        <v>14.880000000000003</v>
      </c>
      <c r="F107" s="188" t="s">
        <v>229</v>
      </c>
      <c r="G107" s="24">
        <v>0.43</v>
      </c>
      <c r="I107" s="55">
        <v>102</v>
      </c>
      <c r="J107" s="33">
        <f t="shared" si="57"/>
        <v>36.750000000000078</v>
      </c>
      <c r="K107" s="33">
        <f t="shared" si="58"/>
        <v>11.133031901051435</v>
      </c>
      <c r="L107" s="33">
        <f t="shared" si="59"/>
        <v>70</v>
      </c>
      <c r="M107" s="33">
        <f t="shared" si="60"/>
        <v>10</v>
      </c>
      <c r="N107" s="33">
        <f t="shared" si="46"/>
        <v>0</v>
      </c>
      <c r="O107" s="34">
        <f t="shared" si="47"/>
        <v>376.72961389433135</v>
      </c>
      <c r="P107" s="55">
        <v>102</v>
      </c>
      <c r="Q107" s="33">
        <f t="shared" si="55"/>
        <v>8.9699999999999989</v>
      </c>
      <c r="R107" s="33">
        <f t="shared" si="61"/>
        <v>416.13000000000011</v>
      </c>
      <c r="S107" s="33">
        <f t="shared" si="62"/>
        <v>241.35540000000006</v>
      </c>
      <c r="T107" s="33">
        <f t="shared" si="48"/>
        <v>58.731055744468854</v>
      </c>
      <c r="U107" s="33">
        <f t="shared" si="56"/>
        <v>70</v>
      </c>
      <c r="V107" s="33">
        <f t="shared" si="49"/>
        <v>10</v>
      </c>
      <c r="W107" s="33">
        <v>0</v>
      </c>
      <c r="X107" s="33">
        <f t="shared" si="50"/>
        <v>815.98391042161666</v>
      </c>
      <c r="Y107" s="38">
        <f t="shared" si="51"/>
        <v>439.25429652728531</v>
      </c>
      <c r="AA107" s="71">
        <v>102</v>
      </c>
      <c r="AB107" s="33">
        <f t="shared" si="52"/>
        <v>0</v>
      </c>
      <c r="AC107" s="304">
        <f t="shared" si="71"/>
        <v>0</v>
      </c>
      <c r="AD107" s="100">
        <f t="shared" si="53"/>
        <v>0</v>
      </c>
      <c r="AE107" s="100">
        <f t="shared" si="54"/>
        <v>0</v>
      </c>
      <c r="AF107" s="193">
        <f t="shared" si="67"/>
        <v>17.949614783313748</v>
      </c>
      <c r="AG107" s="193">
        <f t="shared" si="68"/>
        <v>0</v>
      </c>
      <c r="AH107" s="193">
        <f t="shared" si="69"/>
        <v>0</v>
      </c>
      <c r="AI107" s="198">
        <f t="shared" si="70"/>
        <v>17.949614783313748</v>
      </c>
      <c r="AK107" s="71">
        <v>102</v>
      </c>
      <c r="AL107" s="33"/>
      <c r="AM107" s="33"/>
      <c r="AN107" s="33"/>
      <c r="AO107" s="33"/>
      <c r="AP107" s="33"/>
      <c r="AQ107" s="193"/>
      <c r="AR107" s="193"/>
      <c r="AS107" s="193"/>
      <c r="AT107" s="193"/>
      <c r="AU107" s="33"/>
      <c r="AV107" s="33"/>
      <c r="AW107" s="33"/>
      <c r="AX107" s="33"/>
      <c r="AY107" s="76"/>
    </row>
    <row r="108" spans="2:51">
      <c r="B108" t="s">
        <v>79</v>
      </c>
      <c r="C108">
        <v>0.25</v>
      </c>
      <c r="D108">
        <v>0</v>
      </c>
      <c r="F108" s="190" t="s">
        <v>233</v>
      </c>
      <c r="G108" s="191">
        <f>VLOOKUP(VLOOKUP(F17,C131:E195,3,FALSE),F104:G107,2,FALSE)</f>
        <v>0.25</v>
      </c>
      <c r="I108" s="55">
        <v>103</v>
      </c>
      <c r="J108" s="33">
        <f t="shared" si="57"/>
        <v>37.17000000000008</v>
      </c>
      <c r="K108" s="33">
        <f t="shared" si="58"/>
        <v>11.245381975796148</v>
      </c>
      <c r="L108" s="33">
        <f t="shared" si="59"/>
        <v>70</v>
      </c>
      <c r="M108" s="33">
        <f t="shared" si="60"/>
        <v>10</v>
      </c>
      <c r="N108" s="33">
        <f t="shared" si="46"/>
        <v>0</v>
      </c>
      <c r="O108" s="34">
        <f t="shared" si="47"/>
        <v>377.65679027451182</v>
      </c>
      <c r="P108" s="55">
        <v>103</v>
      </c>
      <c r="Q108" s="33">
        <f t="shared" si="55"/>
        <v>8.9699999999999989</v>
      </c>
      <c r="R108" s="33">
        <f t="shared" si="61"/>
        <v>425.10000000000014</v>
      </c>
      <c r="S108" s="33">
        <f t="shared" si="62"/>
        <v>246.55800000000005</v>
      </c>
      <c r="T108" s="33">
        <f t="shared" si="48"/>
        <v>59.848294710107773</v>
      </c>
      <c r="U108" s="33">
        <f t="shared" si="56"/>
        <v>70</v>
      </c>
      <c r="V108" s="33">
        <f t="shared" si="49"/>
        <v>10</v>
      </c>
      <c r="W108" s="33">
        <v>0</v>
      </c>
      <c r="X108" s="33">
        <f t="shared" si="50"/>
        <v>826.99096328677115</v>
      </c>
      <c r="Y108" s="38">
        <f t="shared" si="51"/>
        <v>449.33417301225933</v>
      </c>
      <c r="AA108" s="71">
        <v>103</v>
      </c>
      <c r="AB108" s="33">
        <f t="shared" si="52"/>
        <v>0</v>
      </c>
      <c r="AC108" s="304">
        <f t="shared" si="71"/>
        <v>0</v>
      </c>
      <c r="AD108" s="100">
        <f t="shared" si="53"/>
        <v>0</v>
      </c>
      <c r="AE108" s="100">
        <f t="shared" si="54"/>
        <v>0</v>
      </c>
      <c r="AF108" s="193">
        <f t="shared" si="67"/>
        <v>17.59763378559694</v>
      </c>
      <c r="AG108" s="193">
        <f t="shared" si="68"/>
        <v>0</v>
      </c>
      <c r="AH108" s="193">
        <f t="shared" si="69"/>
        <v>0</v>
      </c>
      <c r="AI108" s="198">
        <f t="shared" si="70"/>
        <v>17.59763378559694</v>
      </c>
      <c r="AK108" s="71">
        <v>103</v>
      </c>
      <c r="AL108" s="33"/>
      <c r="AM108" s="33"/>
      <c r="AN108" s="33"/>
      <c r="AO108" s="33"/>
      <c r="AP108" s="33"/>
      <c r="AQ108" s="193"/>
      <c r="AR108" s="193"/>
      <c r="AS108" s="193"/>
      <c r="AT108" s="193"/>
      <c r="AU108" s="33"/>
      <c r="AV108" s="33"/>
      <c r="AW108" s="33"/>
      <c r="AX108" s="33"/>
      <c r="AY108" s="76"/>
    </row>
    <row r="109" spans="2:51">
      <c r="I109" s="55">
        <v>104</v>
      </c>
      <c r="J109" s="33">
        <f t="shared" si="57"/>
        <v>37.590000000000082</v>
      </c>
      <c r="K109" s="33">
        <f t="shared" si="58"/>
        <v>11.357584375439984</v>
      </c>
      <c r="L109" s="33">
        <f t="shared" si="59"/>
        <v>70</v>
      </c>
      <c r="M109" s="33">
        <f t="shared" si="60"/>
        <v>10</v>
      </c>
      <c r="N109" s="33">
        <f t="shared" si="46"/>
        <v>0</v>
      </c>
      <c r="O109" s="34">
        <f t="shared" si="47"/>
        <v>378.58370945389146</v>
      </c>
      <c r="P109" s="55">
        <v>104</v>
      </c>
      <c r="Q109" s="33">
        <f t="shared" si="55"/>
        <v>8.9699999999999989</v>
      </c>
      <c r="R109" s="33">
        <f t="shared" si="61"/>
        <v>434.07000000000016</v>
      </c>
      <c r="S109" s="33">
        <f t="shared" si="62"/>
        <v>251.76060000000007</v>
      </c>
      <c r="T109" s="33">
        <f t="shared" si="48"/>
        <v>60.96279272505339</v>
      </c>
      <c r="U109" s="33">
        <f t="shared" si="56"/>
        <v>70</v>
      </c>
      <c r="V109" s="33">
        <f t="shared" si="49"/>
        <v>10</v>
      </c>
      <c r="W109" s="33">
        <v>0</v>
      </c>
      <c r="X109" s="33">
        <f t="shared" si="50"/>
        <v>837.9932423294681</v>
      </c>
      <c r="Y109" s="38">
        <f t="shared" si="51"/>
        <v>459.40953287557664</v>
      </c>
      <c r="AA109" s="71">
        <v>104</v>
      </c>
      <c r="AB109" s="33">
        <f t="shared" si="52"/>
        <v>0</v>
      </c>
      <c r="AC109" s="304">
        <f t="shared" si="71"/>
        <v>0</v>
      </c>
      <c r="AD109" s="100">
        <f t="shared" si="53"/>
        <v>0</v>
      </c>
      <c r="AE109" s="100">
        <f t="shared" si="54"/>
        <v>0</v>
      </c>
      <c r="AF109" s="193">
        <f t="shared" si="67"/>
        <v>17.252554920558151</v>
      </c>
      <c r="AG109" s="193">
        <f t="shared" si="68"/>
        <v>0</v>
      </c>
      <c r="AH109" s="193">
        <f t="shared" si="69"/>
        <v>0</v>
      </c>
      <c r="AI109" s="198">
        <f t="shared" si="70"/>
        <v>17.252554920558151</v>
      </c>
      <c r="AK109" s="71">
        <v>104</v>
      </c>
      <c r="AL109" s="33"/>
      <c r="AM109" s="33"/>
      <c r="AN109" s="33"/>
      <c r="AO109" s="33"/>
      <c r="AP109" s="33"/>
      <c r="AQ109" s="193"/>
      <c r="AR109" s="193"/>
      <c r="AS109" s="193"/>
      <c r="AT109" s="193"/>
      <c r="AU109" s="33"/>
      <c r="AV109" s="33"/>
      <c r="AW109" s="33"/>
      <c r="AX109" s="33"/>
      <c r="AY109" s="76"/>
    </row>
    <row r="110" spans="2:51">
      <c r="I110" s="55">
        <v>105</v>
      </c>
      <c r="J110" s="33">
        <f t="shared" si="57"/>
        <v>38.010000000000083</v>
      </c>
      <c r="K110" s="33">
        <f t="shared" si="58"/>
        <v>11.46964094092386</v>
      </c>
      <c r="L110" s="33">
        <f t="shared" si="59"/>
        <v>70</v>
      </c>
      <c r="M110" s="33">
        <f t="shared" si="60"/>
        <v>10</v>
      </c>
      <c r="N110" s="33">
        <f t="shared" si="46"/>
        <v>0</v>
      </c>
      <c r="O110" s="34">
        <f t="shared" si="47"/>
        <v>379.51037463877589</v>
      </c>
      <c r="P110" s="55">
        <v>105</v>
      </c>
      <c r="Q110" s="33">
        <f t="shared" si="55"/>
        <v>8.9699999999999989</v>
      </c>
      <c r="R110" s="33">
        <f t="shared" si="61"/>
        <v>443.04000000000019</v>
      </c>
      <c r="S110" s="33">
        <f t="shared" si="62"/>
        <v>256.96320000000009</v>
      </c>
      <c r="T110" s="33">
        <f t="shared" si="48"/>
        <v>62.074612956838024</v>
      </c>
      <c r="U110" s="33">
        <f t="shared" si="56"/>
        <v>70</v>
      </c>
      <c r="V110" s="33">
        <f t="shared" si="49"/>
        <v>10</v>
      </c>
      <c r="W110" s="33">
        <v>0</v>
      </c>
      <c r="X110" s="33">
        <f t="shared" si="50"/>
        <v>848.9908575664931</v>
      </c>
      <c r="Y110" s="38">
        <f t="shared" si="51"/>
        <v>469.48048292771722</v>
      </c>
      <c r="AA110" s="71">
        <v>105</v>
      </c>
      <c r="AB110" s="33">
        <f t="shared" si="52"/>
        <v>0</v>
      </c>
      <c r="AC110" s="304">
        <f t="shared" si="71"/>
        <v>0</v>
      </c>
      <c r="AD110" s="100">
        <f t="shared" si="53"/>
        <v>0</v>
      </c>
      <c r="AE110" s="100">
        <f t="shared" si="54"/>
        <v>0</v>
      </c>
      <c r="AF110" s="193">
        <f t="shared" si="67"/>
        <v>16.914242841585445</v>
      </c>
      <c r="AG110" s="193">
        <f t="shared" si="68"/>
        <v>0</v>
      </c>
      <c r="AH110" s="193">
        <f t="shared" si="69"/>
        <v>0</v>
      </c>
      <c r="AI110" s="198">
        <f t="shared" si="70"/>
        <v>16.914242841585445</v>
      </c>
      <c r="AK110" s="71">
        <v>105</v>
      </c>
      <c r="AL110" s="33"/>
      <c r="AM110" s="33"/>
      <c r="AN110" s="33"/>
      <c r="AO110" s="33"/>
      <c r="AP110" s="33"/>
      <c r="AQ110" s="193"/>
      <c r="AR110" s="193"/>
      <c r="AS110" s="193"/>
      <c r="AT110" s="193"/>
      <c r="AU110" s="33"/>
      <c r="AV110" s="33"/>
      <c r="AW110" s="33"/>
      <c r="AX110" s="33"/>
      <c r="AY110" s="76"/>
    </row>
    <row r="111" spans="2:51">
      <c r="C111" s="156" t="s">
        <v>169</v>
      </c>
      <c r="D111" s="156"/>
      <c r="E111" s="156"/>
      <c r="I111" s="55">
        <v>106</v>
      </c>
      <c r="J111" s="33">
        <f t="shared" si="57"/>
        <v>38.430000000000085</v>
      </c>
      <c r="K111" s="33">
        <f t="shared" si="58"/>
        <v>11.581553470162179</v>
      </c>
      <c r="L111" s="33">
        <f t="shared" si="59"/>
        <v>70</v>
      </c>
      <c r="M111" s="33">
        <f t="shared" si="60"/>
        <v>10</v>
      </c>
      <c r="N111" s="33">
        <f t="shared" si="46"/>
        <v>0</v>
      </c>
      <c r="O111" s="34">
        <f t="shared" si="47"/>
        <v>380.43678896053262</v>
      </c>
      <c r="P111" s="55">
        <v>106</v>
      </c>
      <c r="Q111" s="33">
        <f t="shared" si="55"/>
        <v>-31.199999999999989</v>
      </c>
      <c r="R111" s="33">
        <f t="shared" si="61"/>
        <v>411.8400000000002</v>
      </c>
      <c r="S111" s="33">
        <f t="shared" si="62"/>
        <v>238.86720000000011</v>
      </c>
      <c r="T111" s="33">
        <f t="shared" si="48"/>
        <v>58.195735973104156</v>
      </c>
      <c r="U111" s="33">
        <f t="shared" si="56"/>
        <v>70</v>
      </c>
      <c r="V111" s="33">
        <f t="shared" si="49"/>
        <v>10</v>
      </c>
      <c r="W111" s="33">
        <v>0</v>
      </c>
      <c r="X111" s="33">
        <f t="shared" si="50"/>
        <v>810.71794681982328</v>
      </c>
      <c r="Y111" s="38">
        <f t="shared" si="51"/>
        <v>430.28115785929066</v>
      </c>
      <c r="AA111" s="71">
        <v>106</v>
      </c>
      <c r="AB111" s="33">
        <f t="shared" si="52"/>
        <v>0</v>
      </c>
      <c r="AC111" s="304">
        <f t="shared" si="71"/>
        <v>0</v>
      </c>
      <c r="AD111" s="100">
        <f t="shared" si="53"/>
        <v>0</v>
      </c>
      <c r="AE111" s="100">
        <f t="shared" si="54"/>
        <v>0</v>
      </c>
      <c r="AF111" s="193">
        <f t="shared" si="67"/>
        <v>16.582564856131402</v>
      </c>
      <c r="AG111" s="193">
        <f t="shared" si="68"/>
        <v>0</v>
      </c>
      <c r="AH111" s="193">
        <f t="shared" si="69"/>
        <v>0</v>
      </c>
      <c r="AI111" s="198">
        <f t="shared" si="70"/>
        <v>16.582564856131402</v>
      </c>
      <c r="AK111" s="71">
        <v>106</v>
      </c>
      <c r="AL111" s="33"/>
      <c r="AM111" s="33"/>
      <c r="AN111" s="33"/>
      <c r="AO111" s="33"/>
      <c r="AP111" s="33"/>
      <c r="AQ111" s="193"/>
      <c r="AR111" s="193"/>
      <c r="AS111" s="193"/>
      <c r="AT111" s="193"/>
      <c r="AU111" s="33"/>
      <c r="AV111" s="33"/>
      <c r="AW111" s="33"/>
      <c r="AX111" s="33"/>
      <c r="AY111" s="76"/>
    </row>
    <row r="112" spans="2:51">
      <c r="C112" s="74" t="s">
        <v>145</v>
      </c>
      <c r="D112" s="74" t="s">
        <v>72</v>
      </c>
      <c r="E112" s="74" t="s">
        <v>166</v>
      </c>
      <c r="I112" s="55">
        <v>107</v>
      </c>
      <c r="J112" s="33">
        <f t="shared" si="57"/>
        <v>38.850000000000087</v>
      </c>
      <c r="K112" s="33">
        <f t="shared" si="58"/>
        <v>11.693323719507486</v>
      </c>
      <c r="L112" s="33">
        <f t="shared" si="59"/>
        <v>70</v>
      </c>
      <c r="M112" s="33">
        <f t="shared" si="60"/>
        <v>10</v>
      </c>
      <c r="N112" s="33">
        <f t="shared" si="46"/>
        <v>0</v>
      </c>
      <c r="O112" s="34">
        <f t="shared" si="47"/>
        <v>381.36295547814234</v>
      </c>
      <c r="P112" s="55">
        <v>107</v>
      </c>
      <c r="Q112" s="33">
        <f t="shared" si="55"/>
        <v>8.1899999999999977</v>
      </c>
      <c r="R112" s="33">
        <f t="shared" si="61"/>
        <v>420.0300000000002</v>
      </c>
      <c r="S112" s="33">
        <f t="shared" si="62"/>
        <v>243.61740000000009</v>
      </c>
      <c r="T112" s="33">
        <f t="shared" si="48"/>
        <v>59.217152772195554</v>
      </c>
      <c r="U112" s="33">
        <f t="shared" si="56"/>
        <v>70</v>
      </c>
      <c r="V112" s="33">
        <f t="shared" si="49"/>
        <v>10</v>
      </c>
      <c r="W112" s="33">
        <v>0</v>
      </c>
      <c r="X112" s="33">
        <f t="shared" si="50"/>
        <v>820.77017941157408</v>
      </c>
      <c r="Y112" s="38">
        <f t="shared" si="51"/>
        <v>439.40722393343174</v>
      </c>
      <c r="AA112" s="71">
        <v>107</v>
      </c>
      <c r="AB112" s="33">
        <f t="shared" si="52"/>
        <v>0</v>
      </c>
      <c r="AC112" s="304">
        <f t="shared" si="71"/>
        <v>0</v>
      </c>
      <c r="AD112" s="100">
        <f t="shared" si="53"/>
        <v>0</v>
      </c>
      <c r="AE112" s="100">
        <f t="shared" si="54"/>
        <v>0</v>
      </c>
      <c r="AF112" s="193">
        <f t="shared" si="67"/>
        <v>16.257390873668516</v>
      </c>
      <c r="AG112" s="193">
        <f t="shared" si="68"/>
        <v>0</v>
      </c>
      <c r="AH112" s="193">
        <f t="shared" si="69"/>
        <v>0</v>
      </c>
      <c r="AI112" s="198">
        <f t="shared" si="70"/>
        <v>16.257390873668516</v>
      </c>
      <c r="AK112" s="71">
        <v>107</v>
      </c>
      <c r="AL112" s="33"/>
      <c r="AM112" s="33"/>
      <c r="AN112" s="33"/>
      <c r="AO112" s="33"/>
      <c r="AP112" s="33"/>
      <c r="AQ112" s="193"/>
      <c r="AR112" s="193"/>
      <c r="AS112" s="193"/>
      <c r="AT112" s="193"/>
      <c r="AU112" s="33"/>
      <c r="AV112" s="33"/>
      <c r="AW112" s="33"/>
      <c r="AX112" s="33"/>
      <c r="AY112" s="76"/>
    </row>
    <row r="113" spans="2:51">
      <c r="B113" s="67" t="s">
        <v>167</v>
      </c>
      <c r="C113" s="79">
        <f>1/$F$18*SUM(X6:X205)</f>
        <v>671.75018097649036</v>
      </c>
      <c r="D113" s="79">
        <f>1/$F$10*SUM(O6:O205)</f>
        <v>350.79946272547653</v>
      </c>
      <c r="E113" s="78">
        <f>C113-D113</f>
        <v>320.95071825101383</v>
      </c>
      <c r="I113" s="55">
        <v>108</v>
      </c>
      <c r="J113" s="33">
        <f t="shared" si="57"/>
        <v>39.270000000000088</v>
      </c>
      <c r="K113" s="33">
        <f t="shared" si="58"/>
        <v>11.804953405149915</v>
      </c>
      <c r="L113" s="33">
        <f t="shared" si="59"/>
        <v>70</v>
      </c>
      <c r="M113" s="33">
        <f t="shared" si="60"/>
        <v>10</v>
      </c>
      <c r="N113" s="33">
        <f t="shared" si="46"/>
        <v>0</v>
      </c>
      <c r="O113" s="34">
        <f t="shared" si="47"/>
        <v>382.28887718063629</v>
      </c>
      <c r="P113" s="55">
        <v>108</v>
      </c>
      <c r="Q113" s="33">
        <f t="shared" si="55"/>
        <v>8.1899999999999977</v>
      </c>
      <c r="R113" s="33">
        <f t="shared" si="61"/>
        <v>428.2200000000002</v>
      </c>
      <c r="S113" s="33">
        <f t="shared" si="62"/>
        <v>248.3676000000001</v>
      </c>
      <c r="T113" s="33">
        <f t="shared" si="48"/>
        <v>60.236253798706343</v>
      </c>
      <c r="U113" s="33">
        <f t="shared" si="56"/>
        <v>70</v>
      </c>
      <c r="V113" s="33">
        <f t="shared" si="49"/>
        <v>10</v>
      </c>
      <c r="W113" s="33">
        <v>0</v>
      </c>
      <c r="X113" s="33">
        <f t="shared" si="50"/>
        <v>830.81837869941364</v>
      </c>
      <c r="Y113" s="38">
        <f t="shared" si="51"/>
        <v>448.52950151877735</v>
      </c>
      <c r="AA113" s="71">
        <v>108</v>
      </c>
      <c r="AB113" s="33">
        <f t="shared" si="52"/>
        <v>0</v>
      </c>
      <c r="AC113" s="304">
        <f t="shared" si="71"/>
        <v>0</v>
      </c>
      <c r="AD113" s="100">
        <f t="shared" si="53"/>
        <v>0</v>
      </c>
      <c r="AE113" s="100">
        <f t="shared" si="54"/>
        <v>0</v>
      </c>
      <c r="AF113" s="193">
        <f t="shared" si="67"/>
        <v>15.938593354665183</v>
      </c>
      <c r="AG113" s="193">
        <f t="shared" si="68"/>
        <v>0</v>
      </c>
      <c r="AH113" s="193">
        <f t="shared" si="69"/>
        <v>0</v>
      </c>
      <c r="AI113" s="198">
        <f t="shared" si="70"/>
        <v>15.938593354665183</v>
      </c>
      <c r="AK113" s="71">
        <v>108</v>
      </c>
      <c r="AL113" s="33"/>
      <c r="AM113" s="33"/>
      <c r="AN113" s="33"/>
      <c r="AO113" s="33"/>
      <c r="AP113" s="33"/>
      <c r="AQ113" s="193"/>
      <c r="AR113" s="193"/>
      <c r="AS113" s="193"/>
      <c r="AT113" s="193"/>
      <c r="AU113" s="33"/>
      <c r="AV113" s="33"/>
      <c r="AW113" s="33"/>
      <c r="AX113" s="33"/>
      <c r="AY113" s="76"/>
    </row>
    <row r="114" spans="2:51">
      <c r="B114" s="67" t="s">
        <v>168</v>
      </c>
      <c r="C114" s="79">
        <f>X35</f>
        <v>488.03626265127349</v>
      </c>
      <c r="D114" s="79">
        <f>O35</f>
        <v>308.87301463228226</v>
      </c>
      <c r="E114" s="78">
        <f>VLOOKUP(30,I5:Y205,17,FALSE)</f>
        <v>179.16324801899123</v>
      </c>
      <c r="I114" s="55">
        <v>109</v>
      </c>
      <c r="J114" s="33">
        <f t="shared" si="57"/>
        <v>39.69000000000009</v>
      </c>
      <c r="K114" s="33">
        <f t="shared" si="58"/>
        <v>11.916444204455107</v>
      </c>
      <c r="L114" s="33">
        <f t="shared" si="59"/>
        <v>70</v>
      </c>
      <c r="M114" s="33">
        <f t="shared" si="60"/>
        <v>10</v>
      </c>
      <c r="N114" s="33">
        <f t="shared" si="46"/>
        <v>0</v>
      </c>
      <c r="O114" s="34">
        <f t="shared" si="47"/>
        <v>383.21455698942617</v>
      </c>
      <c r="P114" s="55">
        <v>109</v>
      </c>
      <c r="Q114" s="33">
        <f t="shared" si="55"/>
        <v>8.1899999999999977</v>
      </c>
      <c r="R114" s="33">
        <f t="shared" si="61"/>
        <v>436.4100000000002</v>
      </c>
      <c r="S114" s="33">
        <f t="shared" si="62"/>
        <v>253.1178000000001</v>
      </c>
      <c r="T114" s="33">
        <f t="shared" si="48"/>
        <v>61.253088449887215</v>
      </c>
      <c r="U114" s="33">
        <f t="shared" si="56"/>
        <v>70</v>
      </c>
      <c r="V114" s="33">
        <f t="shared" si="49"/>
        <v>10</v>
      </c>
      <c r="W114" s="33">
        <v>0</v>
      </c>
      <c r="X114" s="33">
        <f t="shared" si="50"/>
        <v>840.862630716887</v>
      </c>
      <c r="Y114" s="38">
        <f t="shared" si="51"/>
        <v>457.64807372746083</v>
      </c>
      <c r="AA114" s="71">
        <v>109</v>
      </c>
      <c r="AB114" s="33">
        <f t="shared" si="52"/>
        <v>0</v>
      </c>
      <c r="AC114" s="304">
        <f t="shared" si="71"/>
        <v>0</v>
      </c>
      <c r="AD114" s="100">
        <f t="shared" si="53"/>
        <v>0</v>
      </c>
      <c r="AE114" s="100">
        <f t="shared" si="54"/>
        <v>0</v>
      </c>
      <c r="AF114" s="193">
        <f t="shared" si="67"/>
        <v>15.626047260562219</v>
      </c>
      <c r="AG114" s="193">
        <f t="shared" si="68"/>
        <v>0</v>
      </c>
      <c r="AH114" s="193">
        <f t="shared" si="69"/>
        <v>0</v>
      </c>
      <c r="AI114" s="198">
        <f t="shared" si="70"/>
        <v>15.626047260562219</v>
      </c>
      <c r="AK114" s="71">
        <v>109</v>
      </c>
      <c r="AL114" s="33"/>
      <c r="AM114" s="33"/>
      <c r="AN114" s="33"/>
      <c r="AO114" s="33"/>
      <c r="AP114" s="33"/>
      <c r="AQ114" s="193"/>
      <c r="AR114" s="193"/>
      <c r="AS114" s="193"/>
      <c r="AT114" s="193"/>
      <c r="AU114" s="33"/>
      <c r="AV114" s="33"/>
      <c r="AW114" s="33"/>
      <c r="AX114" s="33"/>
      <c r="AY114" s="76"/>
    </row>
    <row r="115" spans="2:51">
      <c r="C115" s="80"/>
      <c r="D115" s="80"/>
      <c r="E115" s="80"/>
      <c r="I115" s="55">
        <v>110</v>
      </c>
      <c r="J115" s="33">
        <f t="shared" si="57"/>
        <v>40.110000000000092</v>
      </c>
      <c r="K115" s="33">
        <f t="shared" si="58"/>
        <v>12.027797757243846</v>
      </c>
      <c r="L115" s="33">
        <f t="shared" si="59"/>
        <v>70</v>
      </c>
      <c r="M115" s="33">
        <f t="shared" si="60"/>
        <v>10</v>
      </c>
      <c r="N115" s="33">
        <f t="shared" si="46"/>
        <v>0</v>
      </c>
      <c r="O115" s="34">
        <f t="shared" si="47"/>
        <v>384.13999776053316</v>
      </c>
      <c r="P115" s="55">
        <v>110</v>
      </c>
      <c r="Q115" s="33">
        <f t="shared" si="55"/>
        <v>8.1899999999999977</v>
      </c>
      <c r="R115" s="33">
        <f t="shared" si="61"/>
        <v>444.60000000000019</v>
      </c>
      <c r="S115" s="33">
        <f t="shared" si="62"/>
        <v>257.86800000000011</v>
      </c>
      <c r="T115" s="33">
        <f t="shared" si="48"/>
        <v>62.267704162827528</v>
      </c>
      <c r="U115" s="33">
        <f t="shared" si="56"/>
        <v>70</v>
      </c>
      <c r="V115" s="33">
        <f t="shared" si="49"/>
        <v>10</v>
      </c>
      <c r="W115" s="33">
        <v>0</v>
      </c>
      <c r="X115" s="33">
        <f t="shared" si="50"/>
        <v>850.90301808359152</v>
      </c>
      <c r="Y115" s="38">
        <f t="shared" si="51"/>
        <v>466.76302032305836</v>
      </c>
      <c r="AA115" s="71">
        <v>110</v>
      </c>
      <c r="AB115" s="33">
        <f t="shared" si="52"/>
        <v>0</v>
      </c>
      <c r="AC115" s="304">
        <f t="shared" si="71"/>
        <v>0</v>
      </c>
      <c r="AD115" s="100">
        <f t="shared" si="53"/>
        <v>0</v>
      </c>
      <c r="AE115" s="100">
        <f t="shared" si="54"/>
        <v>0</v>
      </c>
      <c r="AF115" s="193">
        <f t="shared" si="67"/>
        <v>15.319630004730319</v>
      </c>
      <c r="AG115" s="193">
        <f t="shared" si="68"/>
        <v>0</v>
      </c>
      <c r="AH115" s="193">
        <f t="shared" si="69"/>
        <v>0</v>
      </c>
      <c r="AI115" s="198">
        <f t="shared" si="70"/>
        <v>15.319630004730319</v>
      </c>
      <c r="AK115" s="71">
        <v>110</v>
      </c>
      <c r="AL115" s="33"/>
      <c r="AM115" s="33"/>
      <c r="AN115" s="33"/>
      <c r="AO115" s="33"/>
      <c r="AP115" s="33"/>
      <c r="AQ115" s="193"/>
      <c r="AR115" s="193"/>
      <c r="AS115" s="193"/>
      <c r="AT115" s="193"/>
      <c r="AU115" s="33"/>
      <c r="AV115" s="33"/>
      <c r="AW115" s="33"/>
      <c r="AX115" s="33"/>
      <c r="AY115" s="76"/>
    </row>
    <row r="116" spans="2:51">
      <c r="C116" s="134" t="s">
        <v>125</v>
      </c>
      <c r="D116" s="134"/>
      <c r="E116" s="134"/>
      <c r="I116" s="55">
        <v>111</v>
      </c>
      <c r="J116" s="33">
        <f t="shared" si="57"/>
        <v>40.530000000000094</v>
      </c>
      <c r="K116" s="33">
        <f t="shared" si="58"/>
        <v>12.139015667016617</v>
      </c>
      <c r="L116" s="33">
        <f t="shared" si="59"/>
        <v>70</v>
      </c>
      <c r="M116" s="33">
        <f t="shared" si="60"/>
        <v>10</v>
      </c>
      <c r="N116" s="33">
        <f t="shared" si="46"/>
        <v>0</v>
      </c>
      <c r="O116" s="34">
        <f t="shared" si="47"/>
        <v>385.06520228672076</v>
      </c>
      <c r="P116" s="55">
        <v>111</v>
      </c>
      <c r="Q116" s="33">
        <f t="shared" si="55"/>
        <v>-29.639999999999986</v>
      </c>
      <c r="R116" s="33">
        <f t="shared" si="61"/>
        <v>414.96000000000021</v>
      </c>
      <c r="S116" s="33">
        <f t="shared" si="62"/>
        <v>240.6768000000001</v>
      </c>
      <c r="T116" s="33">
        <f t="shared" si="48"/>
        <v>58.585123425001079</v>
      </c>
      <c r="U116" s="33">
        <f t="shared" si="56"/>
        <v>70</v>
      </c>
      <c r="V116" s="33">
        <f t="shared" si="49"/>
        <v>10</v>
      </c>
      <c r="W116" s="33">
        <v>0</v>
      </c>
      <c r="X116" s="33">
        <f t="shared" si="50"/>
        <v>814.54784996521039</v>
      </c>
      <c r="Y116" s="38">
        <f t="shared" si="51"/>
        <v>429.48264767848963</v>
      </c>
      <c r="AA116" s="71">
        <v>111</v>
      </c>
      <c r="AB116" s="33">
        <f t="shared" si="52"/>
        <v>0</v>
      </c>
      <c r="AC116" s="304">
        <f t="shared" si="71"/>
        <v>0</v>
      </c>
      <c r="AD116" s="100">
        <f t="shared" si="53"/>
        <v>0</v>
      </c>
      <c r="AE116" s="100">
        <f t="shared" si="54"/>
        <v>0</v>
      </c>
      <c r="AF116" s="193">
        <f t="shared" si="67"/>
        <v>15.019221404389212</v>
      </c>
      <c r="AG116" s="193">
        <f t="shared" si="68"/>
        <v>0</v>
      </c>
      <c r="AH116" s="193">
        <f t="shared" si="69"/>
        <v>0</v>
      </c>
      <c r="AI116" s="198">
        <f t="shared" si="70"/>
        <v>15.019221404389212</v>
      </c>
      <c r="AK116" s="71">
        <v>111</v>
      </c>
      <c r="AL116" s="33"/>
      <c r="AM116" s="33"/>
      <c r="AN116" s="33"/>
      <c r="AO116" s="33"/>
      <c r="AP116" s="33"/>
      <c r="AQ116" s="193"/>
      <c r="AR116" s="193"/>
      <c r="AS116" s="193"/>
      <c r="AT116" s="193"/>
      <c r="AU116" s="33"/>
      <c r="AV116" s="33"/>
      <c r="AW116" s="33"/>
      <c r="AX116" s="33"/>
      <c r="AY116" s="76"/>
    </row>
    <row r="117" spans="2:51">
      <c r="C117" s="134" t="s">
        <v>145</v>
      </c>
      <c r="D117" s="134" t="s">
        <v>72</v>
      </c>
      <c r="E117" s="81" t="s">
        <v>166</v>
      </c>
      <c r="I117" s="55">
        <v>112</v>
      </c>
      <c r="J117" s="33">
        <f t="shared" si="57"/>
        <v>40.950000000000095</v>
      </c>
      <c r="K117" s="33">
        <f t="shared" si="58"/>
        <v>12.25009950212587</v>
      </c>
      <c r="L117" s="33">
        <f t="shared" si="59"/>
        <v>70</v>
      </c>
      <c r="M117" s="33">
        <f t="shared" si="60"/>
        <v>10</v>
      </c>
      <c r="N117" s="33">
        <f t="shared" si="46"/>
        <v>0</v>
      </c>
      <c r="O117" s="34">
        <f t="shared" si="47"/>
        <v>385.99017329953608</v>
      </c>
      <c r="P117" s="55">
        <v>112</v>
      </c>
      <c r="Q117" s="33">
        <f t="shared" si="55"/>
        <v>7.4099999999999966</v>
      </c>
      <c r="R117" s="33">
        <f t="shared" si="61"/>
        <v>422.37000000000023</v>
      </c>
      <c r="S117" s="33">
        <f t="shared" si="62"/>
        <v>244.97460000000012</v>
      </c>
      <c r="T117" s="33">
        <f t="shared" si="48"/>
        <v>59.508558599212847</v>
      </c>
      <c r="U117" s="33">
        <f t="shared" si="56"/>
        <v>70</v>
      </c>
      <c r="V117" s="33">
        <f t="shared" si="49"/>
        <v>10</v>
      </c>
      <c r="W117" s="33">
        <v>0</v>
      </c>
      <c r="X117" s="33">
        <f t="shared" si="50"/>
        <v>823.64150122696265</v>
      </c>
      <c r="Y117" s="38">
        <f t="shared" si="51"/>
        <v>437.65132792742656</v>
      </c>
      <c r="AA117" s="71">
        <v>112</v>
      </c>
      <c r="AB117" s="33">
        <f t="shared" si="52"/>
        <v>0</v>
      </c>
      <c r="AC117" s="304">
        <f t="shared" si="71"/>
        <v>0</v>
      </c>
      <c r="AD117" s="100">
        <f t="shared" si="53"/>
        <v>0</v>
      </c>
      <c r="AE117" s="100">
        <f t="shared" si="54"/>
        <v>0</v>
      </c>
      <c r="AF117" s="193">
        <f t="shared" si="67"/>
        <v>14.724703633469639</v>
      </c>
      <c r="AG117" s="193">
        <f t="shared" si="68"/>
        <v>0</v>
      </c>
      <c r="AH117" s="193">
        <f t="shared" si="69"/>
        <v>0</v>
      </c>
      <c r="AI117" s="198">
        <f t="shared" si="70"/>
        <v>14.724703633469639</v>
      </c>
      <c r="AK117" s="71">
        <v>112</v>
      </c>
      <c r="AL117" s="33"/>
      <c r="AM117" s="33"/>
      <c r="AN117" s="33"/>
      <c r="AO117" s="33"/>
      <c r="AP117" s="33"/>
      <c r="AQ117" s="193"/>
      <c r="AR117" s="193"/>
      <c r="AS117" s="193"/>
      <c r="AT117" s="193"/>
      <c r="AU117" s="33"/>
      <c r="AV117" s="33"/>
      <c r="AW117" s="33"/>
      <c r="AX117" s="33"/>
      <c r="AY117" s="76"/>
    </row>
    <row r="118" spans="2:51">
      <c r="B118" s="67" t="s">
        <v>261</v>
      </c>
      <c r="C118" s="302">
        <f>1/30*SUM(AI6:AI35)</f>
        <v>0</v>
      </c>
      <c r="D118" s="79">
        <v>0</v>
      </c>
      <c r="E118" s="78">
        <f>C118-D118</f>
        <v>0</v>
      </c>
      <c r="I118" s="55">
        <v>113</v>
      </c>
      <c r="J118" s="33">
        <f t="shared" si="57"/>
        <v>41.370000000000097</v>
      </c>
      <c r="K118" s="33">
        <f t="shared" si="58"/>
        <v>12.361050796898907</v>
      </c>
      <c r="L118" s="33">
        <f t="shared" si="59"/>
        <v>70</v>
      </c>
      <c r="M118" s="33">
        <f t="shared" si="60"/>
        <v>10</v>
      </c>
      <c r="N118" s="33">
        <f t="shared" si="46"/>
        <v>0</v>
      </c>
      <c r="O118" s="34">
        <f t="shared" si="47"/>
        <v>386.91491347126572</v>
      </c>
      <c r="P118" s="55">
        <v>113</v>
      </c>
      <c r="Q118" s="33">
        <f t="shared" si="55"/>
        <v>7.4099999999999966</v>
      </c>
      <c r="R118" s="33">
        <f t="shared" si="61"/>
        <v>429.7800000000002</v>
      </c>
      <c r="S118" s="33">
        <f t="shared" si="62"/>
        <v>249.27240000000009</v>
      </c>
      <c r="T118" s="33">
        <f t="shared" si="48"/>
        <v>60.430109843567763</v>
      </c>
      <c r="U118" s="33">
        <f t="shared" si="56"/>
        <v>70</v>
      </c>
      <c r="V118" s="33">
        <f t="shared" si="49"/>
        <v>10</v>
      </c>
      <c r="W118" s="33">
        <v>0</v>
      </c>
      <c r="X118" s="33">
        <f t="shared" si="50"/>
        <v>832.73187131088071</v>
      </c>
      <c r="Y118" s="38">
        <f t="shared" si="51"/>
        <v>445.81695783961499</v>
      </c>
      <c r="AA118" s="71">
        <v>113</v>
      </c>
      <c r="AB118" s="33">
        <f t="shared" si="52"/>
        <v>0</v>
      </c>
      <c r="AC118" s="304">
        <f t="shared" si="71"/>
        <v>0</v>
      </c>
      <c r="AD118" s="100">
        <f t="shared" si="53"/>
        <v>0</v>
      </c>
      <c r="AE118" s="100">
        <f t="shared" si="54"/>
        <v>0</v>
      </c>
      <c r="AF118" s="193">
        <f t="shared" si="67"/>
        <v>14.435961176399697</v>
      </c>
      <c r="AG118" s="193">
        <f t="shared" si="68"/>
        <v>0</v>
      </c>
      <c r="AH118" s="193">
        <f t="shared" si="69"/>
        <v>0</v>
      </c>
      <c r="AI118" s="198">
        <f t="shared" si="70"/>
        <v>14.435961176399697</v>
      </c>
      <c r="AK118" s="71">
        <v>113</v>
      </c>
      <c r="AL118" s="33"/>
      <c r="AM118" s="33"/>
      <c r="AN118" s="33"/>
      <c r="AO118" s="33"/>
      <c r="AP118" s="33"/>
      <c r="AQ118" s="193"/>
      <c r="AR118" s="193"/>
      <c r="AS118" s="193"/>
      <c r="AT118" s="193"/>
      <c r="AU118" s="33"/>
      <c r="AV118" s="33"/>
      <c r="AW118" s="33"/>
      <c r="AX118" s="33"/>
      <c r="AY118" s="76"/>
    </row>
    <row r="119" spans="2:51">
      <c r="B119" s="67"/>
      <c r="C119" s="82"/>
      <c r="D119" s="79"/>
      <c r="E119" s="78"/>
      <c r="I119" s="55">
        <v>114</v>
      </c>
      <c r="J119" s="33">
        <f t="shared" si="57"/>
        <v>41.790000000000099</v>
      </c>
      <c r="K119" s="33">
        <f t="shared" si="58"/>
        <v>12.471871052713814</v>
      </c>
      <c r="L119" s="33">
        <f t="shared" si="59"/>
        <v>70</v>
      </c>
      <c r="M119" s="33">
        <f t="shared" si="60"/>
        <v>10</v>
      </c>
      <c r="N119" s="33">
        <f t="shared" si="46"/>
        <v>0</v>
      </c>
      <c r="O119" s="34">
        <f t="shared" si="47"/>
        <v>387.83942541681012</v>
      </c>
      <c r="P119" s="55">
        <v>114</v>
      </c>
      <c r="Q119" s="33">
        <f t="shared" si="55"/>
        <v>7.4099999999999966</v>
      </c>
      <c r="R119" s="33">
        <f t="shared" si="61"/>
        <v>437.19000000000017</v>
      </c>
      <c r="S119" s="33">
        <f t="shared" si="62"/>
        <v>253.57020000000009</v>
      </c>
      <c r="T119" s="33">
        <f t="shared" si="48"/>
        <v>61.349813387722385</v>
      </c>
      <c r="U119" s="33">
        <f t="shared" si="56"/>
        <v>70</v>
      </c>
      <c r="V119" s="33">
        <f t="shared" si="49"/>
        <v>10</v>
      </c>
      <c r="W119" s="33">
        <v>0</v>
      </c>
      <c r="X119" s="33">
        <f t="shared" si="50"/>
        <v>841.81902331694994</v>
      </c>
      <c r="Y119" s="38">
        <f t="shared" si="51"/>
        <v>453.97959790013982</v>
      </c>
      <c r="AA119" s="71">
        <v>114</v>
      </c>
      <c r="AB119" s="33">
        <f t="shared" si="52"/>
        <v>0</v>
      </c>
      <c r="AC119" s="304">
        <f t="shared" si="71"/>
        <v>0</v>
      </c>
      <c r="AD119" s="100">
        <f t="shared" si="53"/>
        <v>0</v>
      </c>
      <c r="AE119" s="100">
        <f t="shared" si="54"/>
        <v>0</v>
      </c>
      <c r="AF119" s="193">
        <f t="shared" si="67"/>
        <v>14.152880782797389</v>
      </c>
      <c r="AG119" s="193">
        <f t="shared" si="68"/>
        <v>0</v>
      </c>
      <c r="AH119" s="193">
        <f t="shared" si="69"/>
        <v>0</v>
      </c>
      <c r="AI119" s="198">
        <f t="shared" si="70"/>
        <v>14.152880782797389</v>
      </c>
      <c r="AK119" s="71">
        <v>114</v>
      </c>
      <c r="AL119" s="33"/>
      <c r="AM119" s="33"/>
      <c r="AN119" s="33"/>
      <c r="AO119" s="33"/>
      <c r="AP119" s="33"/>
      <c r="AQ119" s="193"/>
      <c r="AR119" s="193"/>
      <c r="AS119" s="193"/>
      <c r="AT119" s="193"/>
      <c r="AU119" s="33"/>
      <c r="AV119" s="33"/>
      <c r="AW119" s="33"/>
      <c r="AX119" s="33"/>
      <c r="AY119" s="76"/>
    </row>
    <row r="120" spans="2:51">
      <c r="C120" s="80"/>
      <c r="D120" s="80"/>
      <c r="E120" s="83"/>
      <c r="I120" s="55">
        <v>115</v>
      </c>
      <c r="J120" s="33">
        <f t="shared" si="57"/>
        <v>42.2100000000001</v>
      </c>
      <c r="K120" s="33">
        <f t="shared" si="58"/>
        <v>12.582561739030888</v>
      </c>
      <c r="L120" s="33">
        <f t="shared" si="59"/>
        <v>70</v>
      </c>
      <c r="M120" s="33">
        <f t="shared" si="60"/>
        <v>10</v>
      </c>
      <c r="N120" s="33">
        <f t="shared" si="46"/>
        <v>0</v>
      </c>
      <c r="O120" s="34">
        <f t="shared" si="47"/>
        <v>388.763711695479</v>
      </c>
      <c r="P120" s="55">
        <v>115</v>
      </c>
      <c r="Q120" s="33">
        <f t="shared" si="55"/>
        <v>7.4099999999999966</v>
      </c>
      <c r="R120" s="33">
        <f t="shared" si="61"/>
        <v>444.60000000000014</v>
      </c>
      <c r="S120" s="33">
        <f t="shared" si="62"/>
        <v>257.86800000000005</v>
      </c>
      <c r="T120" s="33">
        <f t="shared" si="48"/>
        <v>62.267704162827528</v>
      </c>
      <c r="U120" s="33">
        <f t="shared" si="56"/>
        <v>70</v>
      </c>
      <c r="V120" s="33">
        <f t="shared" si="49"/>
        <v>10</v>
      </c>
      <c r="W120" s="33">
        <v>0</v>
      </c>
      <c r="X120" s="33">
        <f t="shared" si="50"/>
        <v>850.90301808359129</v>
      </c>
      <c r="Y120" s="38">
        <f t="shared" si="51"/>
        <v>462.13930638811229</v>
      </c>
      <c r="AA120" s="71">
        <v>115</v>
      </c>
      <c r="AB120" s="33">
        <f t="shared" si="52"/>
        <v>0</v>
      </c>
      <c r="AC120" s="304">
        <f t="shared" si="71"/>
        <v>0</v>
      </c>
      <c r="AD120" s="100">
        <f t="shared" si="53"/>
        <v>0</v>
      </c>
      <c r="AE120" s="100">
        <f t="shared" si="54"/>
        <v>0</v>
      </c>
      <c r="AF120" s="193">
        <f t="shared" si="67"/>
        <v>13.875351423051631</v>
      </c>
      <c r="AG120" s="193">
        <f t="shared" si="68"/>
        <v>0</v>
      </c>
      <c r="AH120" s="193">
        <f t="shared" si="69"/>
        <v>0</v>
      </c>
      <c r="AI120" s="198">
        <f t="shared" si="70"/>
        <v>13.875351423051631</v>
      </c>
      <c r="AK120" s="71">
        <v>115</v>
      </c>
      <c r="AL120" s="33"/>
      <c r="AM120" s="33"/>
      <c r="AN120" s="33"/>
      <c r="AO120" s="33"/>
      <c r="AP120" s="33"/>
      <c r="AQ120" s="193"/>
      <c r="AR120" s="193"/>
      <c r="AS120" s="193"/>
      <c r="AT120" s="193"/>
      <c r="AU120" s="33"/>
      <c r="AV120" s="33"/>
      <c r="AW120" s="33"/>
      <c r="AX120" s="33"/>
      <c r="AY120" s="76"/>
    </row>
    <row r="121" spans="2:51">
      <c r="C121" s="134" t="s">
        <v>160</v>
      </c>
      <c r="D121" s="134"/>
      <c r="E121" s="134"/>
      <c r="I121" s="55">
        <v>116</v>
      </c>
      <c r="J121" s="33">
        <f t="shared" si="57"/>
        <v>42.630000000000102</v>
      </c>
      <c r="K121" s="33">
        <f t="shared" si="58"/>
        <v>12.693124294381937</v>
      </c>
      <c r="L121" s="33">
        <f t="shared" si="59"/>
        <v>70</v>
      </c>
      <c r="M121" s="33">
        <f t="shared" si="60"/>
        <v>10</v>
      </c>
      <c r="N121" s="33">
        <f t="shared" si="46"/>
        <v>0</v>
      </c>
      <c r="O121" s="34">
        <f t="shared" si="47"/>
        <v>389.68777481271536</v>
      </c>
      <c r="P121" s="55">
        <v>116</v>
      </c>
      <c r="Q121" s="33">
        <f t="shared" si="55"/>
        <v>-28.079999999999984</v>
      </c>
      <c r="R121" s="33">
        <f t="shared" si="61"/>
        <v>416.52000000000015</v>
      </c>
      <c r="S121" s="33">
        <f t="shared" si="62"/>
        <v>241.58160000000007</v>
      </c>
      <c r="T121" s="33">
        <f t="shared" si="48"/>
        <v>58.779689232021951</v>
      </c>
      <c r="U121" s="33">
        <f t="shared" si="56"/>
        <v>70</v>
      </c>
      <c r="V121" s="33">
        <f t="shared" si="49"/>
        <v>10</v>
      </c>
      <c r="W121" s="33">
        <v>0</v>
      </c>
      <c r="X121" s="33">
        <f t="shared" si="50"/>
        <v>816.46257874577168</v>
      </c>
      <c r="Y121" s="38">
        <f t="shared" si="51"/>
        <v>426.77480393305632</v>
      </c>
      <c r="AA121" s="71">
        <v>116</v>
      </c>
      <c r="AB121" s="33">
        <f t="shared" si="52"/>
        <v>0</v>
      </c>
      <c r="AC121" s="304">
        <f t="shared" si="71"/>
        <v>0</v>
      </c>
      <c r="AD121" s="100">
        <f t="shared" si="53"/>
        <v>0</v>
      </c>
      <c r="AE121" s="100">
        <f t="shared" si="54"/>
        <v>0</v>
      </c>
      <c r="AF121" s="193">
        <f t="shared" si="67"/>
        <v>13.603264244774293</v>
      </c>
      <c r="AG121" s="193">
        <f t="shared" si="68"/>
        <v>0</v>
      </c>
      <c r="AH121" s="193">
        <f t="shared" si="69"/>
        <v>0</v>
      </c>
      <c r="AI121" s="198">
        <f t="shared" si="70"/>
        <v>13.603264244774293</v>
      </c>
      <c r="AK121" s="71">
        <v>116</v>
      </c>
      <c r="AL121" s="33"/>
      <c r="AM121" s="33"/>
      <c r="AN121" s="33"/>
      <c r="AO121" s="33"/>
      <c r="AP121" s="33"/>
      <c r="AQ121" s="193"/>
      <c r="AR121" s="193"/>
      <c r="AS121" s="193"/>
      <c r="AT121" s="193"/>
      <c r="AU121" s="33"/>
      <c r="AV121" s="33"/>
      <c r="AW121" s="33"/>
      <c r="AX121" s="33"/>
      <c r="AY121" s="76"/>
    </row>
    <row r="122" spans="2:51">
      <c r="C122" s="134" t="s">
        <v>145</v>
      </c>
      <c r="D122" s="134" t="s">
        <v>72</v>
      </c>
      <c r="E122" s="81" t="s">
        <v>166</v>
      </c>
      <c r="I122" s="55">
        <v>117</v>
      </c>
      <c r="J122" s="33">
        <f t="shared" si="57"/>
        <v>43.050000000000104</v>
      </c>
      <c r="K122" s="33">
        <f t="shared" si="58"/>
        <v>12.803560127319308</v>
      </c>
      <c r="L122" s="33">
        <f t="shared" si="59"/>
        <v>70</v>
      </c>
      <c r="M122" s="33">
        <f t="shared" si="60"/>
        <v>10</v>
      </c>
      <c r="N122" s="33">
        <f t="shared" si="46"/>
        <v>0</v>
      </c>
      <c r="O122" s="34">
        <f t="shared" si="47"/>
        <v>390.61161722174796</v>
      </c>
      <c r="P122" s="55">
        <v>117</v>
      </c>
      <c r="Q122" s="33">
        <f t="shared" si="55"/>
        <v>7.019999999999996</v>
      </c>
      <c r="R122" s="33">
        <f t="shared" si="61"/>
        <v>423.54000000000013</v>
      </c>
      <c r="S122" s="33">
        <f t="shared" si="62"/>
        <v>245.65320000000006</v>
      </c>
      <c r="T122" s="33">
        <f t="shared" si="48"/>
        <v>59.654190992380521</v>
      </c>
      <c r="U122" s="33">
        <f t="shared" si="56"/>
        <v>70</v>
      </c>
      <c r="V122" s="33">
        <f t="shared" si="49"/>
        <v>10</v>
      </c>
      <c r="W122" s="33">
        <v>0</v>
      </c>
      <c r="X122" s="33">
        <f t="shared" si="50"/>
        <v>825.07703931172955</v>
      </c>
      <c r="Y122" s="38">
        <f t="shared" si="51"/>
        <v>434.46542208998159</v>
      </c>
      <c r="AA122" s="71">
        <v>117</v>
      </c>
      <c r="AB122" s="33">
        <f t="shared" si="52"/>
        <v>0</v>
      </c>
      <c r="AC122" s="304">
        <f t="shared" si="71"/>
        <v>0</v>
      </c>
      <c r="AD122" s="100">
        <f t="shared" si="53"/>
        <v>0</v>
      </c>
      <c r="AE122" s="100">
        <f t="shared" si="54"/>
        <v>0</v>
      </c>
      <c r="AF122" s="193">
        <f t="shared" si="67"/>
        <v>13.33651253010618</v>
      </c>
      <c r="AG122" s="193">
        <f t="shared" si="68"/>
        <v>0</v>
      </c>
      <c r="AH122" s="193">
        <f t="shared" si="69"/>
        <v>0</v>
      </c>
      <c r="AI122" s="198">
        <f t="shared" si="70"/>
        <v>13.33651253010618</v>
      </c>
      <c r="AK122" s="71">
        <v>117</v>
      </c>
      <c r="AL122" s="33"/>
      <c r="AM122" s="33"/>
      <c r="AN122" s="33"/>
      <c r="AO122" s="33"/>
      <c r="AP122" s="33"/>
      <c r="AQ122" s="193"/>
      <c r="AR122" s="193"/>
      <c r="AS122" s="193"/>
      <c r="AT122" s="193"/>
      <c r="AU122" s="33"/>
      <c r="AV122" s="33"/>
      <c r="AW122" s="33"/>
      <c r="AX122" s="33"/>
      <c r="AY122" s="76"/>
    </row>
    <row r="123" spans="2:51">
      <c r="B123" s="67" t="s">
        <v>168</v>
      </c>
      <c r="C123" s="82">
        <f>AY35</f>
        <v>2</v>
      </c>
      <c r="D123" s="303">
        <f>IF(AND(D8=B100,F12=C194),J34*50%*G107,0)</f>
        <v>2.6187</v>
      </c>
      <c r="E123" s="78">
        <f>C123-D123</f>
        <v>-0.61870000000000003</v>
      </c>
      <c r="I123" s="55">
        <v>118</v>
      </c>
      <c r="J123" s="33">
        <f t="shared" si="57"/>
        <v>43.470000000000105</v>
      </c>
      <c r="K123" s="33">
        <f t="shared" si="58"/>
        <v>12.913870617327017</v>
      </c>
      <c r="L123" s="33">
        <f t="shared" si="59"/>
        <v>70</v>
      </c>
      <c r="M123" s="33">
        <f t="shared" si="60"/>
        <v>10</v>
      </c>
      <c r="N123" s="33">
        <f t="shared" si="46"/>
        <v>0</v>
      </c>
      <c r="O123" s="34">
        <f t="shared" si="47"/>
        <v>391.53524132517805</v>
      </c>
      <c r="P123" s="55">
        <v>118</v>
      </c>
      <c r="Q123" s="33">
        <f t="shared" si="55"/>
        <v>7.019999999999996</v>
      </c>
      <c r="R123" s="33">
        <f t="shared" si="61"/>
        <v>430.56000000000012</v>
      </c>
      <c r="S123" s="33">
        <f t="shared" si="62"/>
        <v>249.72480000000004</v>
      </c>
      <c r="T123" s="33">
        <f t="shared" si="48"/>
        <v>60.527007137298142</v>
      </c>
      <c r="U123" s="33">
        <f t="shared" si="56"/>
        <v>70</v>
      </c>
      <c r="V123" s="33">
        <f t="shared" si="49"/>
        <v>10</v>
      </c>
      <c r="W123" s="33">
        <v>0</v>
      </c>
      <c r="X123" s="33">
        <f t="shared" si="50"/>
        <v>833.68856409746104</v>
      </c>
      <c r="Y123" s="38">
        <f t="shared" si="51"/>
        <v>442.15332277228299</v>
      </c>
      <c r="AA123" s="71">
        <v>118</v>
      </c>
      <c r="AB123" s="33">
        <f t="shared" si="52"/>
        <v>0</v>
      </c>
      <c r="AC123" s="304">
        <f t="shared" si="71"/>
        <v>0</v>
      </c>
      <c r="AD123" s="100">
        <f t="shared" si="53"/>
        <v>0</v>
      </c>
      <c r="AE123" s="100">
        <f t="shared" si="54"/>
        <v>0</v>
      </c>
      <c r="AF123" s="193">
        <f t="shared" si="67"/>
        <v>13.074991653860229</v>
      </c>
      <c r="AG123" s="193">
        <f t="shared" si="68"/>
        <v>0</v>
      </c>
      <c r="AH123" s="193">
        <f t="shared" si="69"/>
        <v>0</v>
      </c>
      <c r="AI123" s="198">
        <f t="shared" si="70"/>
        <v>13.074991653860229</v>
      </c>
      <c r="AK123" s="71">
        <v>118</v>
      </c>
      <c r="AL123" s="33"/>
      <c r="AM123" s="33"/>
      <c r="AN123" s="33"/>
      <c r="AO123" s="33"/>
      <c r="AP123" s="33"/>
      <c r="AQ123" s="193"/>
      <c r="AR123" s="193"/>
      <c r="AS123" s="193"/>
      <c r="AT123" s="193"/>
      <c r="AU123" s="33"/>
      <c r="AV123" s="33"/>
      <c r="AW123" s="33"/>
      <c r="AX123" s="33"/>
      <c r="AY123" s="76"/>
    </row>
    <row r="124" spans="2:51">
      <c r="I124" s="55">
        <v>119</v>
      </c>
      <c r="J124" s="33">
        <f t="shared" si="57"/>
        <v>43.890000000000107</v>
      </c>
      <c r="K124" s="33">
        <f t="shared" si="58"/>
        <v>13.024057115695491</v>
      </c>
      <c r="L124" s="33">
        <f t="shared" si="59"/>
        <v>70</v>
      </c>
      <c r="M124" s="33">
        <f t="shared" si="60"/>
        <v>10</v>
      </c>
      <c r="N124" s="33">
        <f t="shared" si="46"/>
        <v>0</v>
      </c>
      <c r="O124" s="34">
        <f t="shared" si="47"/>
        <v>392.45864947650313</v>
      </c>
      <c r="P124" s="55">
        <v>119</v>
      </c>
      <c r="Q124" s="33">
        <f t="shared" si="55"/>
        <v>7.019999999999996</v>
      </c>
      <c r="R124" s="33">
        <f t="shared" si="61"/>
        <v>437.5800000000001</v>
      </c>
      <c r="S124" s="33">
        <f t="shared" si="62"/>
        <v>253.79640000000003</v>
      </c>
      <c r="T124" s="33">
        <f t="shared" si="48"/>
        <v>61.39816832228076</v>
      </c>
      <c r="U124" s="33">
        <f t="shared" si="56"/>
        <v>70</v>
      </c>
      <c r="V124" s="33">
        <f t="shared" si="49"/>
        <v>10</v>
      </c>
      <c r="W124" s="33">
        <v>0</v>
      </c>
      <c r="X124" s="33">
        <f t="shared" si="50"/>
        <v>842.297206494639</v>
      </c>
      <c r="Y124" s="38">
        <f t="shared" si="51"/>
        <v>449.83855701813587</v>
      </c>
      <c r="AA124" s="71">
        <v>119</v>
      </c>
      <c r="AB124" s="33">
        <f t="shared" si="52"/>
        <v>0</v>
      </c>
      <c r="AC124" s="304">
        <f t="shared" si="71"/>
        <v>0</v>
      </c>
      <c r="AD124" s="100">
        <f t="shared" si="53"/>
        <v>0</v>
      </c>
      <c r="AE124" s="100">
        <f t="shared" si="54"/>
        <v>0</v>
      </c>
      <c r="AF124" s="193">
        <f t="shared" si="67"/>
        <v>12.818599042485477</v>
      </c>
      <c r="AG124" s="193">
        <f t="shared" si="68"/>
        <v>0</v>
      </c>
      <c r="AH124" s="193">
        <f t="shared" si="69"/>
        <v>0</v>
      </c>
      <c r="AI124" s="198">
        <f t="shared" si="70"/>
        <v>12.818599042485477</v>
      </c>
      <c r="AK124" s="71">
        <v>119</v>
      </c>
      <c r="AL124" s="33"/>
      <c r="AM124" s="33"/>
      <c r="AN124" s="33"/>
      <c r="AO124" s="33"/>
      <c r="AP124" s="33"/>
      <c r="AQ124" s="193"/>
      <c r="AR124" s="193"/>
      <c r="AS124" s="193"/>
      <c r="AT124" s="193"/>
      <c r="AU124" s="33"/>
      <c r="AV124" s="33"/>
      <c r="AW124" s="33"/>
      <c r="AX124" s="33"/>
      <c r="AY124" s="76"/>
    </row>
    <row r="125" spans="2:51">
      <c r="C125" s="80"/>
      <c r="D125" s="80"/>
      <c r="E125" s="83"/>
      <c r="I125" s="55">
        <v>120</v>
      </c>
      <c r="J125" s="33">
        <f t="shared" si="57"/>
        <v>44.310000000000109</v>
      </c>
      <c r="K125" s="33">
        <f t="shared" si="58"/>
        <v>13.134120946361977</v>
      </c>
      <c r="L125" s="33">
        <f t="shared" si="59"/>
        <v>70</v>
      </c>
      <c r="M125" s="33">
        <f t="shared" si="60"/>
        <v>10</v>
      </c>
      <c r="N125" s="33">
        <f t="shared" si="46"/>
        <v>0</v>
      </c>
      <c r="O125" s="34">
        <f t="shared" si="47"/>
        <v>393.38184398158063</v>
      </c>
      <c r="P125" s="55">
        <v>120</v>
      </c>
      <c r="Q125" s="33">
        <f t="shared" si="55"/>
        <v>7.019999999999996</v>
      </c>
      <c r="R125" s="33">
        <f t="shared" si="61"/>
        <v>444.60000000000008</v>
      </c>
      <c r="S125" s="33">
        <f t="shared" si="62"/>
        <v>257.86800000000005</v>
      </c>
      <c r="T125" s="33">
        <f t="shared" si="48"/>
        <v>62.267704162827528</v>
      </c>
      <c r="U125" s="33">
        <f t="shared" si="56"/>
        <v>70</v>
      </c>
      <c r="V125" s="33">
        <f t="shared" si="49"/>
        <v>10</v>
      </c>
      <c r="W125" s="33">
        <v>0</v>
      </c>
      <c r="X125" s="33">
        <f t="shared" si="50"/>
        <v>850.90301808359129</v>
      </c>
      <c r="Y125" s="38">
        <f t="shared" si="51"/>
        <v>457.52117410201066</v>
      </c>
      <c r="AA125" s="71">
        <v>120</v>
      </c>
      <c r="AB125" s="33">
        <f t="shared" si="52"/>
        <v>0</v>
      </c>
      <c r="AC125" s="304">
        <f t="shared" si="71"/>
        <v>0</v>
      </c>
      <c r="AD125" s="100">
        <f t="shared" si="53"/>
        <v>0</v>
      </c>
      <c r="AE125" s="100">
        <f t="shared" si="54"/>
        <v>0</v>
      </c>
      <c r="AF125" s="193">
        <f t="shared" si="67"/>
        <v>12.567234133835733</v>
      </c>
      <c r="AG125" s="193">
        <f t="shared" si="68"/>
        <v>0</v>
      </c>
      <c r="AH125" s="193">
        <f t="shared" si="69"/>
        <v>0</v>
      </c>
      <c r="AI125" s="198">
        <f t="shared" si="70"/>
        <v>12.567234133835733</v>
      </c>
      <c r="AK125" s="71">
        <v>120</v>
      </c>
      <c r="AL125" s="33"/>
      <c r="AM125" s="33"/>
      <c r="AN125" s="33"/>
      <c r="AO125" s="33"/>
      <c r="AP125" s="33"/>
      <c r="AQ125" s="193"/>
      <c r="AR125" s="193"/>
      <c r="AS125" s="193"/>
      <c r="AT125" s="193"/>
      <c r="AU125" s="33"/>
      <c r="AV125" s="33"/>
      <c r="AW125" s="33"/>
      <c r="AX125" s="33"/>
      <c r="AY125" s="76"/>
    </row>
    <row r="126" spans="2:51">
      <c r="C126" s="84" t="s">
        <v>129</v>
      </c>
      <c r="D126" s="84" t="s">
        <v>130</v>
      </c>
      <c r="E126" s="84" t="s">
        <v>160</v>
      </c>
      <c r="F126" s="156" t="s">
        <v>170</v>
      </c>
      <c r="I126" s="55">
        <v>121</v>
      </c>
      <c r="J126" s="33">
        <f t="shared" si="57"/>
        <v>44.730000000000111</v>
      </c>
      <c r="K126" s="33">
        <f t="shared" si="58"/>
        <v>13.24406340671813</v>
      </c>
      <c r="L126" s="33">
        <f t="shared" si="59"/>
        <v>70</v>
      </c>
      <c r="M126" s="33">
        <f t="shared" si="60"/>
        <v>10</v>
      </c>
      <c r="N126" s="33">
        <f t="shared" si="46"/>
        <v>0</v>
      </c>
      <c r="O126" s="34">
        <f t="shared" si="47"/>
        <v>394.30482710003429</v>
      </c>
      <c r="P126" s="55">
        <v>121</v>
      </c>
      <c r="Q126" s="33">
        <f t="shared" si="55"/>
        <v>-26.519999999999982</v>
      </c>
      <c r="R126" s="33">
        <f t="shared" si="61"/>
        <v>418.0800000000001</v>
      </c>
      <c r="S126" s="33">
        <f t="shared" si="62"/>
        <v>242.48640000000003</v>
      </c>
      <c r="T126" s="33">
        <f t="shared" si="48"/>
        <v>58.974170235372476</v>
      </c>
      <c r="U126" s="33">
        <f t="shared" si="56"/>
        <v>70</v>
      </c>
      <c r="V126" s="33">
        <f t="shared" si="49"/>
        <v>10</v>
      </c>
      <c r="W126" s="33">
        <v>0</v>
      </c>
      <c r="X126" s="33">
        <f t="shared" si="50"/>
        <v>818.37715982660711</v>
      </c>
      <c r="Y126" s="38">
        <f t="shared" si="51"/>
        <v>424.07233272657282</v>
      </c>
      <c r="AA126" s="71">
        <v>121</v>
      </c>
      <c r="AB126" s="33">
        <f t="shared" si="52"/>
        <v>0</v>
      </c>
      <c r="AC126" s="304">
        <f t="shared" si="71"/>
        <v>0</v>
      </c>
      <c r="AD126" s="100">
        <f t="shared" si="53"/>
        <v>0</v>
      </c>
      <c r="AE126" s="100">
        <f t="shared" si="54"/>
        <v>0</v>
      </c>
      <c r="AF126" s="193">
        <f t="shared" si="67"/>
        <v>12.320798337727155</v>
      </c>
      <c r="AG126" s="193">
        <f t="shared" si="68"/>
        <v>0</v>
      </c>
      <c r="AH126" s="193">
        <f t="shared" si="69"/>
        <v>0</v>
      </c>
      <c r="AI126" s="198">
        <f t="shared" si="70"/>
        <v>12.320798337727155</v>
      </c>
      <c r="AK126" s="71">
        <v>121</v>
      </c>
      <c r="AL126" s="33"/>
      <c r="AM126" s="33"/>
      <c r="AN126" s="33"/>
      <c r="AO126" s="33"/>
      <c r="AP126" s="33"/>
      <c r="AQ126" s="193"/>
      <c r="AR126" s="193"/>
      <c r="AS126" s="193"/>
      <c r="AT126" s="193"/>
      <c r="AU126" s="33"/>
      <c r="AV126" s="33"/>
      <c r="AW126" s="33"/>
      <c r="AX126" s="33"/>
      <c r="AY126" s="76"/>
    </row>
    <row r="127" spans="2:51">
      <c r="C127" s="82">
        <f>IF(F18&gt;30,MIN(E113:E114),E113)</f>
        <v>179.16324801899123</v>
      </c>
      <c r="D127" s="82">
        <f>MIN(E118:E119)</f>
        <v>0</v>
      </c>
      <c r="E127" s="85">
        <f>E123</f>
        <v>-0.61870000000000003</v>
      </c>
      <c r="F127" s="86">
        <f>SUM(C127:E127)</f>
        <v>178.54454801899124</v>
      </c>
      <c r="I127" s="55">
        <v>122</v>
      </c>
      <c r="J127" s="33">
        <f t="shared" si="57"/>
        <v>45.150000000000112</v>
      </c>
      <c r="K127" s="33">
        <f t="shared" si="58"/>
        <v>13.353885768386395</v>
      </c>
      <c r="L127" s="33">
        <f t="shared" si="59"/>
        <v>70</v>
      </c>
      <c r="M127" s="33">
        <f t="shared" si="60"/>
        <v>10</v>
      </c>
      <c r="N127" s="33">
        <f t="shared" si="46"/>
        <v>0</v>
      </c>
      <c r="O127" s="34">
        <f t="shared" si="47"/>
        <v>395.22760104660648</v>
      </c>
      <c r="P127" s="55">
        <v>122</v>
      </c>
      <c r="Q127" s="33">
        <f t="shared" si="55"/>
        <v>6.2399999999999949</v>
      </c>
      <c r="R127" s="33">
        <f t="shared" si="61"/>
        <v>424.32000000000011</v>
      </c>
      <c r="S127" s="33">
        <f t="shared" si="62"/>
        <v>246.10560000000004</v>
      </c>
      <c r="T127" s="33">
        <f t="shared" si="48"/>
        <v>59.75125323437193</v>
      </c>
      <c r="U127" s="33">
        <f t="shared" si="56"/>
        <v>70</v>
      </c>
      <c r="V127" s="33">
        <f t="shared" si="49"/>
        <v>10</v>
      </c>
      <c r="W127" s="33">
        <v>0</v>
      </c>
      <c r="X127" s="33">
        <f t="shared" si="50"/>
        <v>826.03401938319769</v>
      </c>
      <c r="Y127" s="38">
        <f t="shared" si="51"/>
        <v>430.80641833659121</v>
      </c>
      <c r="AA127" s="71">
        <v>122</v>
      </c>
      <c r="AB127" s="33">
        <f t="shared" si="52"/>
        <v>0</v>
      </c>
      <c r="AC127" s="304">
        <f t="shared" si="71"/>
        <v>0</v>
      </c>
      <c r="AD127" s="100">
        <f t="shared" si="53"/>
        <v>0</v>
      </c>
      <c r="AE127" s="100">
        <f t="shared" si="54"/>
        <v>0</v>
      </c>
      <c r="AF127" s="193">
        <f t="shared" si="67"/>
        <v>12.079194997269273</v>
      </c>
      <c r="AG127" s="193">
        <f t="shared" si="68"/>
        <v>0</v>
      </c>
      <c r="AH127" s="193">
        <f t="shared" si="69"/>
        <v>0</v>
      </c>
      <c r="AI127" s="198">
        <f t="shared" si="70"/>
        <v>12.079194997269273</v>
      </c>
      <c r="AK127" s="71">
        <v>122</v>
      </c>
      <c r="AL127" s="33"/>
      <c r="AM127" s="33"/>
      <c r="AN127" s="33"/>
      <c r="AO127" s="33"/>
      <c r="AP127" s="33"/>
      <c r="AQ127" s="193"/>
      <c r="AR127" s="193"/>
      <c r="AS127" s="193"/>
      <c r="AT127" s="193"/>
      <c r="AU127" s="33"/>
      <c r="AV127" s="33"/>
      <c r="AW127" s="33"/>
      <c r="AX127" s="33"/>
      <c r="AY127" s="76"/>
    </row>
    <row r="128" spans="2:51">
      <c r="E128" s="24"/>
      <c r="I128" s="55">
        <v>123</v>
      </c>
      <c r="J128" s="33">
        <f t="shared" si="57"/>
        <v>45.570000000000114</v>
      </c>
      <c r="K128" s="33">
        <f t="shared" si="58"/>
        <v>13.463589277966729</v>
      </c>
      <c r="L128" s="33">
        <f t="shared" si="59"/>
        <v>70</v>
      </c>
      <c r="M128" s="33">
        <f t="shared" si="60"/>
        <v>10</v>
      </c>
      <c r="N128" s="33">
        <f t="shared" si="46"/>
        <v>0</v>
      </c>
      <c r="O128" s="34">
        <f t="shared" si="47"/>
        <v>396.15016799245888</v>
      </c>
      <c r="P128" s="55">
        <v>123</v>
      </c>
      <c r="Q128" s="33">
        <f t="shared" si="55"/>
        <v>6.2399999999999949</v>
      </c>
      <c r="R128" s="33">
        <f t="shared" si="61"/>
        <v>430.56000000000012</v>
      </c>
      <c r="S128" s="33">
        <f t="shared" si="62"/>
        <v>249.72480000000004</v>
      </c>
      <c r="T128" s="33">
        <f t="shared" si="48"/>
        <v>60.527007137298142</v>
      </c>
      <c r="U128" s="33">
        <f t="shared" si="56"/>
        <v>70</v>
      </c>
      <c r="V128" s="33">
        <f t="shared" si="49"/>
        <v>10</v>
      </c>
      <c r="W128" s="33">
        <v>0</v>
      </c>
      <c r="X128" s="33">
        <f t="shared" si="50"/>
        <v>833.68856409746104</v>
      </c>
      <c r="Y128" s="38">
        <f t="shared" si="51"/>
        <v>437.53839610500216</v>
      </c>
      <c r="AA128" s="71">
        <v>123</v>
      </c>
      <c r="AB128" s="33">
        <f t="shared" si="52"/>
        <v>0</v>
      </c>
      <c r="AC128" s="304">
        <f t="shared" si="71"/>
        <v>0</v>
      </c>
      <c r="AD128" s="100">
        <f t="shared" si="53"/>
        <v>0</v>
      </c>
      <c r="AE128" s="100">
        <f t="shared" si="54"/>
        <v>0</v>
      </c>
      <c r="AF128" s="193">
        <f t="shared" si="67"/>
        <v>11.842329350954282</v>
      </c>
      <c r="AG128" s="193">
        <f t="shared" si="68"/>
        <v>0</v>
      </c>
      <c r="AH128" s="193">
        <f t="shared" si="69"/>
        <v>0</v>
      </c>
      <c r="AI128" s="198">
        <f t="shared" si="70"/>
        <v>11.842329350954282</v>
      </c>
      <c r="AK128" s="71">
        <v>123</v>
      </c>
      <c r="AL128" s="33"/>
      <c r="AM128" s="33"/>
      <c r="AN128" s="33"/>
      <c r="AO128" s="33"/>
      <c r="AP128" s="33"/>
      <c r="AQ128" s="193"/>
      <c r="AR128" s="193"/>
      <c r="AS128" s="193"/>
      <c r="AT128" s="193"/>
      <c r="AU128" s="33"/>
      <c r="AV128" s="33"/>
      <c r="AW128" s="33"/>
      <c r="AX128" s="33"/>
      <c r="AY128" s="76"/>
    </row>
    <row r="129" spans="3:51">
      <c r="E129" s="24"/>
      <c r="I129" s="55">
        <v>124</v>
      </c>
      <c r="J129" s="33">
        <f t="shared" si="57"/>
        <v>45.990000000000116</v>
      </c>
      <c r="K129" s="33">
        <f t="shared" si="58"/>
        <v>13.573175157754907</v>
      </c>
      <c r="L129" s="33">
        <f t="shared" si="59"/>
        <v>70</v>
      </c>
      <c r="M129" s="33">
        <f t="shared" si="60"/>
        <v>10</v>
      </c>
      <c r="N129" s="33">
        <f t="shared" si="46"/>
        <v>0</v>
      </c>
      <c r="O129" s="34">
        <f t="shared" si="47"/>
        <v>397.07253006642333</v>
      </c>
      <c r="P129" s="55">
        <v>124</v>
      </c>
      <c r="Q129" s="33">
        <f t="shared" si="55"/>
        <v>6.2399999999999949</v>
      </c>
      <c r="R129" s="33">
        <f t="shared" si="61"/>
        <v>436.80000000000013</v>
      </c>
      <c r="S129" s="33">
        <f t="shared" si="62"/>
        <v>253.34400000000005</v>
      </c>
      <c r="T129" s="33">
        <f t="shared" si="48"/>
        <v>61.301453431926305</v>
      </c>
      <c r="U129" s="33">
        <f t="shared" si="56"/>
        <v>70</v>
      </c>
      <c r="V129" s="33">
        <f t="shared" si="49"/>
        <v>10</v>
      </c>
      <c r="W129" s="33">
        <v>0</v>
      </c>
      <c r="X129" s="33">
        <f t="shared" si="50"/>
        <v>841.3408313939384</v>
      </c>
      <c r="Y129" s="38">
        <f t="shared" si="51"/>
        <v>444.26830132751508</v>
      </c>
      <c r="AA129" s="71">
        <v>124</v>
      </c>
      <c r="AB129" s="33">
        <f t="shared" si="52"/>
        <v>0</v>
      </c>
      <c r="AC129" s="304">
        <f t="shared" si="71"/>
        <v>0</v>
      </c>
      <c r="AD129" s="100">
        <f t="shared" si="53"/>
        <v>0</v>
      </c>
      <c r="AE129" s="100">
        <f t="shared" si="54"/>
        <v>0</v>
      </c>
      <c r="AF129" s="193">
        <f t="shared" si="67"/>
        <v>11.610108495489749</v>
      </c>
      <c r="AG129" s="193">
        <f t="shared" si="68"/>
        <v>0</v>
      </c>
      <c r="AH129" s="193">
        <f t="shared" si="69"/>
        <v>0</v>
      </c>
      <c r="AI129" s="198">
        <f t="shared" si="70"/>
        <v>11.610108495489749</v>
      </c>
      <c r="AK129" s="71">
        <v>124</v>
      </c>
      <c r="AL129" s="33"/>
      <c r="AM129" s="33"/>
      <c r="AN129" s="33"/>
      <c r="AO129" s="33"/>
      <c r="AP129" s="33"/>
      <c r="AQ129" s="193"/>
      <c r="AR129" s="193"/>
      <c r="AS129" s="193"/>
      <c r="AT129" s="193"/>
      <c r="AU129" s="33"/>
      <c r="AV129" s="33"/>
      <c r="AW129" s="33"/>
      <c r="AX129" s="33"/>
      <c r="AY129" s="76"/>
    </row>
    <row r="130" spans="3:51" ht="30">
      <c r="C130" s="3" t="s">
        <v>5</v>
      </c>
      <c r="D130" s="3" t="s">
        <v>6</v>
      </c>
      <c r="E130" s="187" t="s">
        <v>227</v>
      </c>
      <c r="F130" s="342" t="s">
        <v>271</v>
      </c>
      <c r="I130" s="55">
        <v>125</v>
      </c>
      <c r="J130" s="33">
        <f t="shared" si="57"/>
        <v>46.410000000000117</v>
      </c>
      <c r="K130" s="33">
        <f t="shared" si="58"/>
        <v>13.682644606433955</v>
      </c>
      <c r="L130" s="33">
        <f t="shared" si="59"/>
        <v>70</v>
      </c>
      <c r="M130" s="33">
        <f t="shared" si="60"/>
        <v>10</v>
      </c>
      <c r="N130" s="33">
        <f t="shared" si="46"/>
        <v>0</v>
      </c>
      <c r="O130" s="34">
        <f t="shared" si="47"/>
        <v>397.99468935620598</v>
      </c>
      <c r="P130" s="55">
        <v>125</v>
      </c>
      <c r="Q130" s="33">
        <f t="shared" si="55"/>
        <v>6.2399999999999949</v>
      </c>
      <c r="R130" s="33">
        <f t="shared" si="61"/>
        <v>443.04000000000013</v>
      </c>
      <c r="S130" s="33">
        <f t="shared" si="62"/>
        <v>256.96320000000009</v>
      </c>
      <c r="T130" s="33">
        <f t="shared" si="48"/>
        <v>62.074612956838024</v>
      </c>
      <c r="U130" s="33">
        <f t="shared" si="56"/>
        <v>70</v>
      </c>
      <c r="V130" s="33">
        <f t="shared" si="49"/>
        <v>10</v>
      </c>
      <c r="W130" s="33">
        <v>0</v>
      </c>
      <c r="X130" s="33">
        <f t="shared" si="50"/>
        <v>848.9908575664931</v>
      </c>
      <c r="Y130" s="38">
        <f t="shared" si="51"/>
        <v>450.99616821028712</v>
      </c>
      <c r="AA130" s="71">
        <v>125</v>
      </c>
      <c r="AB130" s="33">
        <f t="shared" si="52"/>
        <v>0</v>
      </c>
      <c r="AC130" s="304">
        <f t="shared" si="71"/>
        <v>0</v>
      </c>
      <c r="AD130" s="100">
        <f t="shared" si="53"/>
        <v>0</v>
      </c>
      <c r="AE130" s="100">
        <f t="shared" si="54"/>
        <v>0</v>
      </c>
      <c r="AF130" s="193">
        <f t="shared" si="67"/>
        <v>11.382441349360141</v>
      </c>
      <c r="AG130" s="193">
        <f t="shared" si="68"/>
        <v>0</v>
      </c>
      <c r="AH130" s="193">
        <f t="shared" si="69"/>
        <v>0</v>
      </c>
      <c r="AI130" s="198">
        <f t="shared" si="70"/>
        <v>11.382441349360141</v>
      </c>
      <c r="AK130" s="71">
        <v>125</v>
      </c>
      <c r="AL130" s="33"/>
      <c r="AM130" s="33"/>
      <c r="AN130" s="33"/>
      <c r="AO130" s="33"/>
      <c r="AP130" s="33"/>
      <c r="AQ130" s="193"/>
      <c r="AR130" s="193"/>
      <c r="AS130" s="193"/>
      <c r="AT130" s="193"/>
      <c r="AU130" s="33"/>
      <c r="AV130" s="33"/>
      <c r="AW130" s="33"/>
      <c r="AX130" s="33"/>
      <c r="AY130" s="76"/>
    </row>
    <row r="131" spans="3:51">
      <c r="C131" s="165" t="s">
        <v>7</v>
      </c>
      <c r="D131" s="4">
        <v>0.62</v>
      </c>
      <c r="E131" s="187" t="s">
        <v>228</v>
      </c>
      <c r="F131" s="342">
        <f>IF(OR(Tableau145[[#This Row],[Type]]="Feuillus",Tableau145[[#This Row],[Type]]="Peupliers"),1.56,1.3)</f>
        <v>1.56</v>
      </c>
      <c r="I131" s="55">
        <v>126</v>
      </c>
      <c r="J131" s="33">
        <f t="shared" si="57"/>
        <v>46.830000000000119</v>
      </c>
      <c r="K131" s="33">
        <f t="shared" si="58"/>
        <v>13.791998799739734</v>
      </c>
      <c r="L131" s="33">
        <f t="shared" si="59"/>
        <v>70</v>
      </c>
      <c r="M131" s="33">
        <f t="shared" si="60"/>
        <v>10</v>
      </c>
      <c r="N131" s="33">
        <f t="shared" si="46"/>
        <v>0</v>
      </c>
      <c r="O131" s="34">
        <f t="shared" si="47"/>
        <v>398.91664790954695</v>
      </c>
      <c r="P131" s="55">
        <v>126</v>
      </c>
      <c r="Q131" s="33">
        <f t="shared" si="55"/>
        <v>-24.95999999999998</v>
      </c>
      <c r="R131" s="33">
        <f t="shared" si="61"/>
        <v>418.08000000000015</v>
      </c>
      <c r="S131" s="33">
        <f t="shared" si="62"/>
        <v>242.48640000000006</v>
      </c>
      <c r="T131" s="33">
        <f t="shared" si="48"/>
        <v>58.974170235372476</v>
      </c>
      <c r="U131" s="33">
        <f t="shared" si="56"/>
        <v>70</v>
      </c>
      <c r="V131" s="33">
        <f t="shared" si="49"/>
        <v>10</v>
      </c>
      <c r="W131" s="33">
        <v>0</v>
      </c>
      <c r="X131" s="33">
        <f t="shared" si="50"/>
        <v>818.37715982660711</v>
      </c>
      <c r="Y131" s="38">
        <f t="shared" si="51"/>
        <v>419.46051191706016</v>
      </c>
      <c r="AA131" s="71">
        <v>126</v>
      </c>
      <c r="AB131" s="33">
        <f t="shared" si="52"/>
        <v>0</v>
      </c>
      <c r="AC131" s="304">
        <f t="shared" si="71"/>
        <v>0</v>
      </c>
      <c r="AD131" s="100">
        <f t="shared" si="53"/>
        <v>0</v>
      </c>
      <c r="AE131" s="100">
        <f t="shared" si="54"/>
        <v>0</v>
      </c>
      <c r="AF131" s="193">
        <f t="shared" si="67"/>
        <v>11.159238617102886</v>
      </c>
      <c r="AG131" s="193">
        <f t="shared" si="68"/>
        <v>0</v>
      </c>
      <c r="AH131" s="193">
        <f t="shared" si="69"/>
        <v>0</v>
      </c>
      <c r="AI131" s="198">
        <f t="shared" si="70"/>
        <v>11.159238617102886</v>
      </c>
      <c r="AK131" s="71">
        <v>126</v>
      </c>
      <c r="AL131" s="33"/>
      <c r="AM131" s="33"/>
      <c r="AN131" s="33"/>
      <c r="AO131" s="33"/>
      <c r="AP131" s="33"/>
      <c r="AQ131" s="193"/>
      <c r="AR131" s="193"/>
      <c r="AS131" s="193"/>
      <c r="AT131" s="193"/>
      <c r="AU131" s="33"/>
      <c r="AV131" s="33"/>
      <c r="AW131" s="33"/>
      <c r="AX131" s="33"/>
      <c r="AY131" s="76"/>
    </row>
    <row r="132" spans="3:51">
      <c r="C132" s="165" t="s">
        <v>4</v>
      </c>
      <c r="D132" s="4">
        <v>0.64</v>
      </c>
      <c r="E132" s="187" t="s">
        <v>228</v>
      </c>
      <c r="F132" s="342">
        <f>IF(OR(Tableau145[[#This Row],[Type]]="Feuillus",Tableau145[[#This Row],[Type]]="Peupliers"),1.56,1.3)</f>
        <v>1.56</v>
      </c>
      <c r="I132" s="55">
        <v>127</v>
      </c>
      <c r="J132" s="33">
        <f t="shared" si="57"/>
        <v>47.250000000000121</v>
      </c>
      <c r="K132" s="33">
        <f t="shared" si="58"/>
        <v>13.901238891102034</v>
      </c>
      <c r="L132" s="33">
        <f t="shared" si="59"/>
        <v>70</v>
      </c>
      <c r="M132" s="33">
        <f t="shared" si="60"/>
        <v>10</v>
      </c>
      <c r="N132" s="33">
        <f t="shared" si="46"/>
        <v>0</v>
      </c>
      <c r="O132" s="34">
        <f t="shared" si="47"/>
        <v>399.83840773533626</v>
      </c>
      <c r="P132" s="55">
        <v>127</v>
      </c>
      <c r="Q132" s="33">
        <f t="shared" si="55"/>
        <v>6.2399999999999949</v>
      </c>
      <c r="R132" s="33">
        <f t="shared" si="61"/>
        <v>424.32000000000016</v>
      </c>
      <c r="S132" s="33">
        <f t="shared" si="62"/>
        <v>246.10560000000007</v>
      </c>
      <c r="T132" s="33">
        <f t="shared" si="48"/>
        <v>59.75125323437193</v>
      </c>
      <c r="U132" s="33">
        <f t="shared" si="56"/>
        <v>70</v>
      </c>
      <c r="V132" s="33">
        <f t="shared" si="49"/>
        <v>10</v>
      </c>
      <c r="W132" s="33">
        <v>0</v>
      </c>
      <c r="X132" s="33">
        <f t="shared" si="50"/>
        <v>826.03401938319791</v>
      </c>
      <c r="Y132" s="38">
        <f t="shared" si="51"/>
        <v>426.19561164786165</v>
      </c>
      <c r="AA132" s="71">
        <v>127</v>
      </c>
      <c r="AB132" s="33">
        <f t="shared" si="52"/>
        <v>0</v>
      </c>
      <c r="AC132" s="304">
        <f t="shared" si="71"/>
        <v>0</v>
      </c>
      <c r="AD132" s="100">
        <f t="shared" si="53"/>
        <v>0</v>
      </c>
      <c r="AE132" s="100">
        <f t="shared" si="54"/>
        <v>0</v>
      </c>
      <c r="AF132" s="193">
        <f t="shared" si="67"/>
        <v>10.940412754284973</v>
      </c>
      <c r="AG132" s="193">
        <f t="shared" si="68"/>
        <v>0</v>
      </c>
      <c r="AH132" s="193">
        <f t="shared" si="69"/>
        <v>0</v>
      </c>
      <c r="AI132" s="198">
        <f t="shared" si="70"/>
        <v>10.940412754284973</v>
      </c>
      <c r="AK132" s="71">
        <v>127</v>
      </c>
      <c r="AL132" s="33"/>
      <c r="AM132" s="33"/>
      <c r="AN132" s="33"/>
      <c r="AO132" s="33"/>
      <c r="AP132" s="33"/>
      <c r="AQ132" s="193"/>
      <c r="AR132" s="193"/>
      <c r="AS132" s="193"/>
      <c r="AT132" s="193"/>
      <c r="AU132" s="33"/>
      <c r="AV132" s="33"/>
      <c r="AW132" s="33"/>
      <c r="AX132" s="33"/>
      <c r="AY132" s="76"/>
    </row>
    <row r="133" spans="3:51">
      <c r="C133" s="165" t="s">
        <v>8</v>
      </c>
      <c r="D133" s="4">
        <v>0.42</v>
      </c>
      <c r="E133" s="187" t="s">
        <v>228</v>
      </c>
      <c r="F133" s="342">
        <f>IF(OR(Tableau145[[#This Row],[Type]]="Feuillus",Tableau145[[#This Row],[Type]]="Peupliers"),1.56,1.3)</f>
        <v>1.56</v>
      </c>
      <c r="I133" s="55">
        <v>128</v>
      </c>
      <c r="J133" s="33">
        <f t="shared" si="57"/>
        <v>47.670000000000122</v>
      </c>
      <c r="K133" s="33">
        <f t="shared" si="58"/>
        <v>14.01036601226218</v>
      </c>
      <c r="L133" s="33">
        <f t="shared" si="59"/>
        <v>70</v>
      </c>
      <c r="M133" s="33">
        <f t="shared" si="60"/>
        <v>10</v>
      </c>
      <c r="N133" s="33">
        <f t="shared" ref="N133:N196" si="72">IF(P134&lt;=$F$18,0,)</f>
        <v>0</v>
      </c>
      <c r="O133" s="34">
        <f t="shared" ref="O133:O196" si="73">((J133+K133)*0.475+L133+M133+N133)*44/12</f>
        <v>400.75997080469011</v>
      </c>
      <c r="P133" s="55">
        <v>128</v>
      </c>
      <c r="Q133" s="33">
        <f t="shared" si="55"/>
        <v>6.2399999999999949</v>
      </c>
      <c r="R133" s="33">
        <f t="shared" si="61"/>
        <v>430.56000000000017</v>
      </c>
      <c r="S133" s="33">
        <f t="shared" si="62"/>
        <v>249.72480000000007</v>
      </c>
      <c r="T133" s="33">
        <f t="shared" ref="T133:T196" si="74">IF(S133=0,0,EXP(-1.0587+0.8836*LN(S133)+0.284))</f>
        <v>60.527007137298142</v>
      </c>
      <c r="U133" s="33">
        <f t="shared" si="56"/>
        <v>70</v>
      </c>
      <c r="V133" s="33">
        <f t="shared" ref="V133:V196" si="75">IF(P133&lt;=$F$18,IF(P133&lt;=30,P133*($F$16-$F$6)/30,$F$16-$F$6),)</f>
        <v>10</v>
      </c>
      <c r="W133" s="33">
        <v>0</v>
      </c>
      <c r="X133" s="33">
        <f t="shared" ref="X133:X196" si="76">((S133+T133)*0.475+U133+V133+W133)*44/12</f>
        <v>833.68856409746104</v>
      </c>
      <c r="Y133" s="38">
        <f t="shared" ref="Y133:Y196" si="77">IF(P133&lt;=$F$18,X133-O133,)</f>
        <v>432.92859329277093</v>
      </c>
      <c r="AA133" s="71">
        <v>128</v>
      </c>
      <c r="AB133" s="33">
        <f t="shared" ref="AB133:AB196" si="78">IF(AA133&lt;=$F$18,IFERROR(VLOOKUP($AA133,$B$82:$G$94,2,FALSE),0),)</f>
        <v>0</v>
      </c>
      <c r="AC133" s="304">
        <f t="shared" si="71"/>
        <v>0</v>
      </c>
      <c r="AD133" s="100">
        <f t="shared" ref="AD133:AD196" si="79">IF(AA133&lt;=$F$18,IFERROR(VLOOKUP($AA133,$B$82:$G$94,4,FALSE),0),)</f>
        <v>0</v>
      </c>
      <c r="AE133" s="100">
        <f t="shared" ref="AE133:AE196" si="80">IF(AA133&lt;=$F$18,IFERROR(VLOOKUP($AA133,$B$82:$G$94,5,FALSE),0),)</f>
        <v>0</v>
      </c>
      <c r="AF133" s="193">
        <f t="shared" si="67"/>
        <v>10.725877933166322</v>
      </c>
      <c r="AG133" s="193">
        <f t="shared" si="68"/>
        <v>0</v>
      </c>
      <c r="AH133" s="193">
        <f t="shared" si="69"/>
        <v>0</v>
      </c>
      <c r="AI133" s="198">
        <f t="shared" si="70"/>
        <v>10.725877933166322</v>
      </c>
      <c r="AK133" s="71">
        <v>128</v>
      </c>
      <c r="AL133" s="33"/>
      <c r="AM133" s="33"/>
      <c r="AN133" s="33"/>
      <c r="AO133" s="33"/>
      <c r="AP133" s="33"/>
      <c r="AQ133" s="193"/>
      <c r="AR133" s="193"/>
      <c r="AS133" s="193"/>
      <c r="AT133" s="193"/>
      <c r="AU133" s="33"/>
      <c r="AV133" s="33"/>
      <c r="AW133" s="33"/>
      <c r="AX133" s="33"/>
      <c r="AY133" s="76"/>
    </row>
    <row r="134" spans="3:51">
      <c r="C134" s="165" t="s">
        <v>9</v>
      </c>
      <c r="D134" s="4">
        <v>0.42</v>
      </c>
      <c r="E134" s="187" t="s">
        <v>228</v>
      </c>
      <c r="F134" s="342">
        <f>IF(OR(Tableau145[[#This Row],[Type]]="Feuillus",Tableau145[[#This Row],[Type]]="Peupliers"),1.56,1.3)</f>
        <v>1.56</v>
      </c>
      <c r="I134" s="55">
        <v>129</v>
      </c>
      <c r="J134" s="33">
        <f t="shared" si="57"/>
        <v>48.090000000000124</v>
      </c>
      <c r="K134" s="33">
        <f t="shared" si="58"/>
        <v>14.119381273868269</v>
      </c>
      <c r="L134" s="33">
        <f t="shared" si="59"/>
        <v>70</v>
      </c>
      <c r="M134" s="33">
        <f t="shared" si="60"/>
        <v>10</v>
      </c>
      <c r="N134" s="33">
        <f t="shared" si="72"/>
        <v>0</v>
      </c>
      <c r="O134" s="34">
        <f t="shared" si="73"/>
        <v>401.68133905198744</v>
      </c>
      <c r="P134" s="55">
        <v>129</v>
      </c>
      <c r="Q134" s="33">
        <f t="shared" ref="Q134:Q197" si="81">IF(P134&lt;=$F$18,LOOKUP(P134-1,$B$25:$B$78,$G$25:$G$78),)</f>
        <v>6.2399999999999949</v>
      </c>
      <c r="R134" s="33">
        <f t="shared" si="61"/>
        <v>436.80000000000018</v>
      </c>
      <c r="S134" s="33">
        <f t="shared" si="62"/>
        <v>253.34400000000008</v>
      </c>
      <c r="T134" s="33">
        <f t="shared" si="74"/>
        <v>61.301453431926305</v>
      </c>
      <c r="U134" s="33">
        <f t="shared" ref="U134:U197" si="82">IF(P134&lt;=$F$18,$F$5+($F$15-$F$5)*(1-EXP(-0.0175*P134)),)</f>
        <v>70</v>
      </c>
      <c r="V134" s="33">
        <f t="shared" si="75"/>
        <v>10</v>
      </c>
      <c r="W134" s="33">
        <v>0</v>
      </c>
      <c r="X134" s="33">
        <f t="shared" si="76"/>
        <v>841.34083139393852</v>
      </c>
      <c r="Y134" s="38">
        <f t="shared" si="77"/>
        <v>439.65949234195108</v>
      </c>
      <c r="AA134" s="71">
        <v>129</v>
      </c>
      <c r="AB134" s="33">
        <f t="shared" si="78"/>
        <v>0</v>
      </c>
      <c r="AC134" s="304">
        <f t="shared" si="71"/>
        <v>0</v>
      </c>
      <c r="AD134" s="100">
        <f t="shared" si="79"/>
        <v>0</v>
      </c>
      <c r="AE134" s="100">
        <f t="shared" si="80"/>
        <v>0</v>
      </c>
      <c r="AF134" s="193">
        <f t="shared" si="67"/>
        <v>10.515550009036486</v>
      </c>
      <c r="AG134" s="193">
        <f t="shared" si="68"/>
        <v>0</v>
      </c>
      <c r="AH134" s="193">
        <f t="shared" si="69"/>
        <v>0</v>
      </c>
      <c r="AI134" s="198">
        <f t="shared" si="70"/>
        <v>10.515550009036486</v>
      </c>
      <c r="AK134" s="71">
        <v>129</v>
      </c>
      <c r="AL134" s="33"/>
      <c r="AM134" s="33"/>
      <c r="AN134" s="33"/>
      <c r="AO134" s="33"/>
      <c r="AP134" s="33"/>
      <c r="AQ134" s="193"/>
      <c r="AR134" s="193"/>
      <c r="AS134" s="193"/>
      <c r="AT134" s="193"/>
      <c r="AU134" s="33"/>
      <c r="AV134" s="33"/>
      <c r="AW134" s="33"/>
      <c r="AX134" s="33"/>
      <c r="AY134" s="76"/>
    </row>
    <row r="135" spans="3:51">
      <c r="C135" s="165" t="s">
        <v>10</v>
      </c>
      <c r="D135" s="4">
        <v>0.52</v>
      </c>
      <c r="E135" s="187" t="s">
        <v>228</v>
      </c>
      <c r="F135" s="342">
        <f>IF(OR(Tableau145[[#This Row],[Type]]="Feuillus",Tableau145[[#This Row],[Type]]="Peupliers"),1.56,1.3)</f>
        <v>1.56</v>
      </c>
      <c r="I135" s="55">
        <v>130</v>
      </c>
      <c r="J135" s="33">
        <f t="shared" ref="J135:J198" si="83">IF($I135&lt;=$F$10,$F$11*$F$13+J134,)</f>
        <v>48.510000000000126</v>
      </c>
      <c r="K135" s="33">
        <f t="shared" ref="K135:K198" si="84">IF(J135=0,0,EXP(-1.0587+0.8836*LN(J135)+0.284))</f>
        <v>14.228285766049018</v>
      </c>
      <c r="L135" s="33">
        <f t="shared" ref="L135:L198" si="85">IF(I135&lt;=$F$10,$F$5+($F$8-$F$5)*(1-EXP(-0.0175*I135)),)</f>
        <v>70</v>
      </c>
      <c r="M135" s="33">
        <f t="shared" ref="M135:M198" si="86">IF(I135&lt;=$F$10,IF(I135&lt;=30,I135*($F$9-$F$6)/30,$F$9-$F$6),)</f>
        <v>10</v>
      </c>
      <c r="N135" s="33">
        <f t="shared" si="72"/>
        <v>0</v>
      </c>
      <c r="O135" s="34">
        <f t="shared" si="73"/>
        <v>402.60251437586891</v>
      </c>
      <c r="P135" s="55">
        <v>130</v>
      </c>
      <c r="Q135" s="33">
        <f t="shared" si="81"/>
        <v>6.2399999999999949</v>
      </c>
      <c r="R135" s="33">
        <f t="shared" ref="R135:R198" si="87">IF(P135&lt;=$F$18,Q135+R134,)</f>
        <v>443.04000000000019</v>
      </c>
      <c r="S135" s="33">
        <f t="shared" ref="S135:S198" si="88">$F$19*R135</f>
        <v>256.96320000000009</v>
      </c>
      <c r="T135" s="33">
        <f t="shared" si="74"/>
        <v>62.074612956838024</v>
      </c>
      <c r="U135" s="33">
        <f t="shared" si="82"/>
        <v>70</v>
      </c>
      <c r="V135" s="33">
        <f t="shared" si="75"/>
        <v>10</v>
      </c>
      <c r="W135" s="33">
        <v>0</v>
      </c>
      <c r="X135" s="33">
        <f t="shared" si="76"/>
        <v>848.9908575664931</v>
      </c>
      <c r="Y135" s="38">
        <f t="shared" si="77"/>
        <v>446.3883431906242</v>
      </c>
      <c r="AA135" s="71">
        <v>130</v>
      </c>
      <c r="AB135" s="33">
        <f t="shared" si="78"/>
        <v>0</v>
      </c>
      <c r="AC135" s="304">
        <f t="shared" si="71"/>
        <v>0</v>
      </c>
      <c r="AD135" s="100">
        <f t="shared" si="79"/>
        <v>0</v>
      </c>
      <c r="AE135" s="100">
        <f t="shared" si="80"/>
        <v>0</v>
      </c>
      <c r="AF135" s="193">
        <f t="shared" si="67"/>
        <v>10.309346487211471</v>
      </c>
      <c r="AG135" s="193">
        <f t="shared" si="68"/>
        <v>0</v>
      </c>
      <c r="AH135" s="193">
        <f t="shared" si="69"/>
        <v>0</v>
      </c>
      <c r="AI135" s="198">
        <f t="shared" si="70"/>
        <v>10.309346487211471</v>
      </c>
      <c r="AK135" s="71">
        <v>130</v>
      </c>
      <c r="AL135" s="33"/>
      <c r="AM135" s="33"/>
      <c r="AN135" s="33"/>
      <c r="AO135" s="33"/>
      <c r="AP135" s="33"/>
      <c r="AQ135" s="193"/>
      <c r="AR135" s="193"/>
      <c r="AS135" s="193"/>
      <c r="AT135" s="193"/>
      <c r="AU135" s="33"/>
      <c r="AV135" s="33"/>
      <c r="AW135" s="33"/>
      <c r="AX135" s="33"/>
      <c r="AY135" s="76"/>
    </row>
    <row r="136" spans="3:51">
      <c r="C136" s="165" t="s">
        <v>11</v>
      </c>
      <c r="D136" s="4">
        <v>0.36</v>
      </c>
      <c r="E136" s="187" t="s">
        <v>229</v>
      </c>
      <c r="F136" s="342">
        <f>IF(OR(Tableau145[[#This Row],[Type]]="Feuillus",Tableau145[[#This Row],[Type]]="Peupliers"),1.56,1.3)</f>
        <v>1.3</v>
      </c>
      <c r="I136" s="55">
        <v>131</v>
      </c>
      <c r="J136" s="33">
        <f t="shared" si="83"/>
        <v>48.930000000000128</v>
      </c>
      <c r="K136" s="33">
        <f t="shared" si="84"/>
        <v>14.33708055896715</v>
      </c>
      <c r="L136" s="33">
        <f t="shared" si="85"/>
        <v>70</v>
      </c>
      <c r="M136" s="33">
        <f t="shared" si="86"/>
        <v>10</v>
      </c>
      <c r="N136" s="33">
        <f t="shared" si="72"/>
        <v>0</v>
      </c>
      <c r="O136" s="34">
        <f t="shared" si="73"/>
        <v>403.5234986402013</v>
      </c>
      <c r="P136" s="55">
        <v>131</v>
      </c>
      <c r="Q136" s="33">
        <f t="shared" si="81"/>
        <v>-23.400000000000034</v>
      </c>
      <c r="R136" s="33">
        <f t="shared" si="87"/>
        <v>419.64000000000016</v>
      </c>
      <c r="S136" s="33">
        <f t="shared" si="88"/>
        <v>243.39120000000008</v>
      </c>
      <c r="T136" s="33">
        <f t="shared" si="74"/>
        <v>59.168566788241577</v>
      </c>
      <c r="U136" s="33">
        <f t="shared" si="82"/>
        <v>70</v>
      </c>
      <c r="V136" s="33">
        <f t="shared" si="75"/>
        <v>10</v>
      </c>
      <c r="W136" s="33">
        <v>0</v>
      </c>
      <c r="X136" s="33">
        <f t="shared" si="76"/>
        <v>820.29159382285422</v>
      </c>
      <c r="Y136" s="38">
        <f t="shared" si="77"/>
        <v>416.76809518265293</v>
      </c>
      <c r="AA136" s="71">
        <v>131</v>
      </c>
      <c r="AB136" s="33">
        <f t="shared" si="78"/>
        <v>0</v>
      </c>
      <c r="AC136" s="304">
        <f t="shared" si="71"/>
        <v>0</v>
      </c>
      <c r="AD136" s="100">
        <f t="shared" si="79"/>
        <v>0</v>
      </c>
      <c r="AE136" s="100">
        <f t="shared" si="80"/>
        <v>0</v>
      </c>
      <c r="AF136" s="193">
        <f t="shared" si="67"/>
        <v>10.107186490677714</v>
      </c>
      <c r="AG136" s="193">
        <f t="shared" si="68"/>
        <v>0</v>
      </c>
      <c r="AH136" s="193">
        <f t="shared" si="69"/>
        <v>0</v>
      </c>
      <c r="AI136" s="198">
        <f t="shared" si="70"/>
        <v>10.107186490677714</v>
      </c>
      <c r="AK136" s="71">
        <v>131</v>
      </c>
      <c r="AL136" s="33"/>
      <c r="AM136" s="33"/>
      <c r="AN136" s="33"/>
      <c r="AO136" s="33"/>
      <c r="AP136" s="33"/>
      <c r="AQ136" s="193"/>
      <c r="AR136" s="193"/>
      <c r="AS136" s="193"/>
      <c r="AT136" s="193"/>
      <c r="AU136" s="33"/>
      <c r="AV136" s="33"/>
      <c r="AW136" s="33"/>
      <c r="AX136" s="33"/>
      <c r="AY136" s="76"/>
    </row>
    <row r="137" spans="3:51">
      <c r="C137" s="165" t="s">
        <v>12</v>
      </c>
      <c r="D137" s="4">
        <v>0.61</v>
      </c>
      <c r="E137" s="187" t="s">
        <v>228</v>
      </c>
      <c r="F137" s="342">
        <f>IF(OR(Tableau145[[#This Row],[Type]]="Feuillus",Tableau145[[#This Row],[Type]]="Peupliers"),1.56,1.3)</f>
        <v>1.56</v>
      </c>
      <c r="I137" s="55">
        <v>132</v>
      </c>
      <c r="J137" s="33">
        <f t="shared" si="83"/>
        <v>49.350000000000129</v>
      </c>
      <c r="K137" s="33">
        <f t="shared" si="84"/>
        <v>14.445766703353252</v>
      </c>
      <c r="L137" s="33">
        <f t="shared" si="85"/>
        <v>70</v>
      </c>
      <c r="M137" s="33">
        <f t="shared" si="86"/>
        <v>10</v>
      </c>
      <c r="N137" s="33">
        <f t="shared" si="72"/>
        <v>0</v>
      </c>
      <c r="O137" s="34">
        <f t="shared" si="73"/>
        <v>404.44429367500715</v>
      </c>
      <c r="P137" s="55">
        <v>132</v>
      </c>
      <c r="Q137" s="33">
        <f t="shared" si="81"/>
        <v>5.460000000000008</v>
      </c>
      <c r="R137" s="33">
        <f t="shared" si="87"/>
        <v>425.10000000000014</v>
      </c>
      <c r="S137" s="33">
        <f t="shared" si="88"/>
        <v>246.55800000000005</v>
      </c>
      <c r="T137" s="33">
        <f t="shared" si="74"/>
        <v>59.848294710107773</v>
      </c>
      <c r="U137" s="33">
        <f t="shared" si="82"/>
        <v>70</v>
      </c>
      <c r="V137" s="33">
        <f t="shared" si="75"/>
        <v>10</v>
      </c>
      <c r="W137" s="33">
        <v>0</v>
      </c>
      <c r="X137" s="33">
        <f t="shared" si="76"/>
        <v>826.99096328677115</v>
      </c>
      <c r="Y137" s="38">
        <f t="shared" si="77"/>
        <v>422.546669611764</v>
      </c>
      <c r="AA137" s="71">
        <v>132</v>
      </c>
      <c r="AB137" s="33">
        <f t="shared" si="78"/>
        <v>0</v>
      </c>
      <c r="AC137" s="304">
        <f t="shared" si="71"/>
        <v>0</v>
      </c>
      <c r="AD137" s="100">
        <f t="shared" si="79"/>
        <v>0</v>
      </c>
      <c r="AE137" s="100">
        <f t="shared" si="80"/>
        <v>0</v>
      </c>
      <c r="AF137" s="193">
        <f t="shared" si="67"/>
        <v>9.9089907283705632</v>
      </c>
      <c r="AG137" s="193">
        <f t="shared" si="68"/>
        <v>0</v>
      </c>
      <c r="AH137" s="193">
        <f t="shared" si="69"/>
        <v>0</v>
      </c>
      <c r="AI137" s="198">
        <f t="shared" si="70"/>
        <v>9.9089907283705632</v>
      </c>
      <c r="AK137" s="71">
        <v>132</v>
      </c>
      <c r="AL137" s="33"/>
      <c r="AM137" s="33"/>
      <c r="AN137" s="33"/>
      <c r="AO137" s="33"/>
      <c r="AP137" s="33"/>
      <c r="AQ137" s="193"/>
      <c r="AR137" s="193"/>
      <c r="AS137" s="193"/>
      <c r="AT137" s="193"/>
      <c r="AU137" s="33"/>
      <c r="AV137" s="33"/>
      <c r="AW137" s="33"/>
      <c r="AX137" s="33"/>
      <c r="AY137" s="76"/>
    </row>
    <row r="138" spans="3:51">
      <c r="C138" s="165" t="s">
        <v>13</v>
      </c>
      <c r="D138" s="4">
        <v>0.66</v>
      </c>
      <c r="E138" s="187" t="s">
        <v>228</v>
      </c>
      <c r="F138" s="342">
        <f>IF(OR(Tableau145[[#This Row],[Type]]="Feuillus",Tableau145[[#This Row],[Type]]="Peupliers"),1.56,1.3)</f>
        <v>1.56</v>
      </c>
      <c r="I138" s="55">
        <v>133</v>
      </c>
      <c r="J138" s="33">
        <f t="shared" si="83"/>
        <v>49.770000000000131</v>
      </c>
      <c r="K138" s="33">
        <f t="shared" si="84"/>
        <v>14.554345231020934</v>
      </c>
      <c r="L138" s="33">
        <f t="shared" si="85"/>
        <v>70</v>
      </c>
      <c r="M138" s="33">
        <f t="shared" si="86"/>
        <v>10</v>
      </c>
      <c r="N138" s="33">
        <f t="shared" si="72"/>
        <v>0</v>
      </c>
      <c r="O138" s="34">
        <f t="shared" si="73"/>
        <v>405.3649012773617</v>
      </c>
      <c r="P138" s="55">
        <v>133</v>
      </c>
      <c r="Q138" s="33">
        <f t="shared" si="81"/>
        <v>5.460000000000008</v>
      </c>
      <c r="R138" s="33">
        <f t="shared" si="87"/>
        <v>430.56000000000017</v>
      </c>
      <c r="S138" s="33">
        <f t="shared" si="88"/>
        <v>249.72480000000007</v>
      </c>
      <c r="T138" s="33">
        <f t="shared" si="74"/>
        <v>60.527007137298142</v>
      </c>
      <c r="U138" s="33">
        <f t="shared" si="82"/>
        <v>70</v>
      </c>
      <c r="V138" s="33">
        <f t="shared" si="75"/>
        <v>10</v>
      </c>
      <c r="W138" s="33">
        <v>0</v>
      </c>
      <c r="X138" s="33">
        <f t="shared" si="76"/>
        <v>833.68856409746104</v>
      </c>
      <c r="Y138" s="38">
        <f t="shared" si="77"/>
        <v>428.32366282009934</v>
      </c>
      <c r="AA138" s="71">
        <v>133</v>
      </c>
      <c r="AB138" s="33">
        <f t="shared" si="78"/>
        <v>0</v>
      </c>
      <c r="AC138" s="304">
        <f t="shared" si="71"/>
        <v>0</v>
      </c>
      <c r="AD138" s="100">
        <f t="shared" si="79"/>
        <v>0</v>
      </c>
      <c r="AE138" s="100">
        <f t="shared" si="80"/>
        <v>0</v>
      </c>
      <c r="AF138" s="193">
        <f t="shared" si="67"/>
        <v>9.7146814640747756</v>
      </c>
      <c r="AG138" s="193">
        <f t="shared" si="68"/>
        <v>0</v>
      </c>
      <c r="AH138" s="193">
        <f t="shared" si="69"/>
        <v>0</v>
      </c>
      <c r="AI138" s="198">
        <f t="shared" si="70"/>
        <v>9.7146814640747756</v>
      </c>
      <c r="AK138" s="71">
        <v>133</v>
      </c>
      <c r="AL138" s="33"/>
      <c r="AM138" s="33"/>
      <c r="AN138" s="33"/>
      <c r="AO138" s="33"/>
      <c r="AP138" s="33"/>
      <c r="AQ138" s="193"/>
      <c r="AR138" s="193"/>
      <c r="AS138" s="193"/>
      <c r="AT138" s="193"/>
      <c r="AU138" s="33"/>
      <c r="AV138" s="33"/>
      <c r="AW138" s="33"/>
      <c r="AX138" s="33"/>
      <c r="AY138" s="76"/>
    </row>
    <row r="139" spans="3:51">
      <c r="C139" s="166" t="s">
        <v>14</v>
      </c>
      <c r="D139" s="133">
        <v>0.47</v>
      </c>
      <c r="E139" s="187" t="s">
        <v>228</v>
      </c>
      <c r="F139" s="342">
        <f>IF(OR(Tableau145[[#This Row],[Type]]="Feuillus",Tableau145[[#This Row],[Type]]="Peupliers"),1.56,1.3)</f>
        <v>1.56</v>
      </c>
      <c r="I139" s="55">
        <v>134</v>
      </c>
      <c r="J139" s="33">
        <f t="shared" si="83"/>
        <v>50.190000000000133</v>
      </c>
      <c r="K139" s="33">
        <f t="shared" si="84"/>
        <v>14.662817155364104</v>
      </c>
      <c r="L139" s="33">
        <f t="shared" si="85"/>
        <v>70</v>
      </c>
      <c r="M139" s="33">
        <f t="shared" si="86"/>
        <v>10</v>
      </c>
      <c r="N139" s="33">
        <f t="shared" si="72"/>
        <v>0</v>
      </c>
      <c r="O139" s="34">
        <f t="shared" si="73"/>
        <v>406.28532321225936</v>
      </c>
      <c r="P139" s="55">
        <v>134</v>
      </c>
      <c r="Q139" s="33">
        <f t="shared" si="81"/>
        <v>5.460000000000008</v>
      </c>
      <c r="R139" s="33">
        <f t="shared" si="87"/>
        <v>436.02000000000021</v>
      </c>
      <c r="S139" s="33">
        <f t="shared" si="88"/>
        <v>252.8916000000001</v>
      </c>
      <c r="T139" s="33">
        <f t="shared" si="74"/>
        <v>61.204718436590369</v>
      </c>
      <c r="U139" s="33">
        <f t="shared" si="82"/>
        <v>70</v>
      </c>
      <c r="V139" s="33">
        <f t="shared" si="75"/>
        <v>10</v>
      </c>
      <c r="W139" s="33">
        <v>0</v>
      </c>
      <c r="X139" s="33">
        <f t="shared" si="76"/>
        <v>840.38442127706173</v>
      </c>
      <c r="Y139" s="38">
        <f t="shared" si="77"/>
        <v>434.09909806480238</v>
      </c>
      <c r="AA139" s="71">
        <v>134</v>
      </c>
      <c r="AB139" s="33">
        <f t="shared" si="78"/>
        <v>0</v>
      </c>
      <c r="AC139" s="304">
        <f t="shared" si="71"/>
        <v>0</v>
      </c>
      <c r="AD139" s="100">
        <f t="shared" si="79"/>
        <v>0</v>
      </c>
      <c r="AE139" s="100">
        <f t="shared" si="80"/>
        <v>0</v>
      </c>
      <c r="AF139" s="193">
        <f t="shared" si="67"/>
        <v>9.5241824859348814</v>
      </c>
      <c r="AG139" s="193">
        <f t="shared" si="68"/>
        <v>0</v>
      </c>
      <c r="AH139" s="193">
        <f t="shared" si="69"/>
        <v>0</v>
      </c>
      <c r="AI139" s="198">
        <f t="shared" si="70"/>
        <v>9.5241824859348814</v>
      </c>
      <c r="AK139" s="71">
        <v>134</v>
      </c>
      <c r="AL139" s="33"/>
      <c r="AM139" s="33"/>
      <c r="AN139" s="33"/>
      <c r="AO139" s="33"/>
      <c r="AP139" s="33"/>
      <c r="AQ139" s="193"/>
      <c r="AR139" s="193"/>
      <c r="AS139" s="193"/>
      <c r="AT139" s="193"/>
      <c r="AU139" s="33"/>
      <c r="AV139" s="33"/>
      <c r="AW139" s="33"/>
      <c r="AX139" s="33"/>
      <c r="AY139" s="76"/>
    </row>
    <row r="140" spans="3:51">
      <c r="C140" s="165" t="s">
        <v>15</v>
      </c>
      <c r="D140" s="4">
        <v>0.67</v>
      </c>
      <c r="E140" s="187" t="s">
        <v>228</v>
      </c>
      <c r="F140" s="342">
        <f>IF(OR(Tableau145[[#This Row],[Type]]="Feuillus",Tableau145[[#This Row],[Type]]="Peupliers"),1.56,1.3)</f>
        <v>1.56</v>
      </c>
      <c r="I140" s="55">
        <v>135</v>
      </c>
      <c r="J140" s="33">
        <f t="shared" si="83"/>
        <v>50.610000000000134</v>
      </c>
      <c r="K140" s="33">
        <f t="shared" si="84"/>
        <v>14.771183471837112</v>
      </c>
      <c r="L140" s="33">
        <f t="shared" si="85"/>
        <v>70</v>
      </c>
      <c r="M140" s="33">
        <f t="shared" si="86"/>
        <v>10</v>
      </c>
      <c r="N140" s="33">
        <f t="shared" si="72"/>
        <v>0</v>
      </c>
      <c r="O140" s="34">
        <f t="shared" si="73"/>
        <v>407.20556121344993</v>
      </c>
      <c r="P140" s="55">
        <v>135</v>
      </c>
      <c r="Q140" s="33">
        <f t="shared" si="81"/>
        <v>5.460000000000008</v>
      </c>
      <c r="R140" s="33">
        <f t="shared" si="87"/>
        <v>441.48000000000025</v>
      </c>
      <c r="S140" s="33">
        <f t="shared" si="88"/>
        <v>256.05840000000012</v>
      </c>
      <c r="T140" s="33">
        <f t="shared" si="74"/>
        <v>61.881442594256541</v>
      </c>
      <c r="U140" s="33">
        <f t="shared" si="82"/>
        <v>70</v>
      </c>
      <c r="V140" s="33">
        <f t="shared" si="75"/>
        <v>10</v>
      </c>
      <c r="W140" s="33">
        <v>0</v>
      </c>
      <c r="X140" s="33">
        <f t="shared" si="76"/>
        <v>847.07855918499706</v>
      </c>
      <c r="Y140" s="38">
        <f t="shared" si="77"/>
        <v>439.87299797154714</v>
      </c>
      <c r="AA140" s="71">
        <v>135</v>
      </c>
      <c r="AB140" s="33">
        <f t="shared" si="78"/>
        <v>0</v>
      </c>
      <c r="AC140" s="304">
        <f t="shared" si="71"/>
        <v>0</v>
      </c>
      <c r="AD140" s="100">
        <f t="shared" si="79"/>
        <v>0</v>
      </c>
      <c r="AE140" s="100">
        <f t="shared" si="80"/>
        <v>0</v>
      </c>
      <c r="AF140" s="193">
        <f t="shared" si="67"/>
        <v>9.3374190765634069</v>
      </c>
      <c r="AG140" s="193">
        <f t="shared" si="68"/>
        <v>0</v>
      </c>
      <c r="AH140" s="193">
        <f t="shared" si="69"/>
        <v>0</v>
      </c>
      <c r="AI140" s="198">
        <f t="shared" si="70"/>
        <v>9.3374190765634069</v>
      </c>
      <c r="AK140" s="71">
        <v>135</v>
      </c>
      <c r="AL140" s="33"/>
      <c r="AM140" s="33"/>
      <c r="AN140" s="33"/>
      <c r="AO140" s="33"/>
      <c r="AP140" s="33"/>
      <c r="AQ140" s="193"/>
      <c r="AR140" s="193"/>
      <c r="AS140" s="193"/>
      <c r="AT140" s="193"/>
      <c r="AU140" s="33"/>
      <c r="AV140" s="33"/>
      <c r="AW140" s="33"/>
      <c r="AX140" s="33"/>
      <c r="AY140" s="76"/>
    </row>
    <row r="141" spans="3:51">
      <c r="C141" s="165" t="s">
        <v>16</v>
      </c>
      <c r="D141" s="4">
        <v>0.7</v>
      </c>
      <c r="E141" s="187" t="s">
        <v>228</v>
      </c>
      <c r="F141" s="342">
        <f>IF(OR(Tableau145[[#This Row],[Type]]="Feuillus",Tableau145[[#This Row],[Type]]="Peupliers"),1.56,1.3)</f>
        <v>1.56</v>
      </c>
      <c r="I141" s="55">
        <v>136</v>
      </c>
      <c r="J141" s="33">
        <f t="shared" si="83"/>
        <v>51.030000000000136</v>
      </c>
      <c r="K141" s="33">
        <f t="shared" si="84"/>
        <v>14.879445158418518</v>
      </c>
      <c r="L141" s="33">
        <f t="shared" si="85"/>
        <v>70</v>
      </c>
      <c r="M141" s="33">
        <f t="shared" si="86"/>
        <v>10</v>
      </c>
      <c r="N141" s="33">
        <f t="shared" si="72"/>
        <v>0</v>
      </c>
      <c r="O141" s="34">
        <f t="shared" si="73"/>
        <v>408.12561698424582</v>
      </c>
      <c r="P141" s="55">
        <v>136</v>
      </c>
      <c r="Q141" s="33">
        <f t="shared" si="81"/>
        <v>-21.840000000000032</v>
      </c>
      <c r="R141" s="33">
        <f t="shared" si="87"/>
        <v>419.64000000000021</v>
      </c>
      <c r="S141" s="33">
        <f t="shared" si="88"/>
        <v>243.39120000000011</v>
      </c>
      <c r="T141" s="33">
        <f t="shared" si="74"/>
        <v>59.168566788241577</v>
      </c>
      <c r="U141" s="33">
        <f t="shared" si="82"/>
        <v>70</v>
      </c>
      <c r="V141" s="33">
        <f t="shared" si="75"/>
        <v>10</v>
      </c>
      <c r="W141" s="33">
        <v>0</v>
      </c>
      <c r="X141" s="33">
        <f t="shared" si="76"/>
        <v>820.29159382285434</v>
      </c>
      <c r="Y141" s="38">
        <f t="shared" si="77"/>
        <v>412.16597683860851</v>
      </c>
      <c r="AA141" s="71">
        <v>136</v>
      </c>
      <c r="AB141" s="33">
        <f t="shared" si="78"/>
        <v>0</v>
      </c>
      <c r="AC141" s="304">
        <f t="shared" si="71"/>
        <v>0</v>
      </c>
      <c r="AD141" s="100">
        <f t="shared" si="79"/>
        <v>0</v>
      </c>
      <c r="AE141" s="100">
        <f t="shared" si="80"/>
        <v>0</v>
      </c>
      <c r="AF141" s="193">
        <f t="shared" si="67"/>
        <v>9.1543179837352753</v>
      </c>
      <c r="AG141" s="193">
        <f t="shared" si="68"/>
        <v>0</v>
      </c>
      <c r="AH141" s="193">
        <f t="shared" si="69"/>
        <v>0</v>
      </c>
      <c r="AI141" s="198">
        <f t="shared" si="70"/>
        <v>9.1543179837352753</v>
      </c>
      <c r="AK141" s="71">
        <v>136</v>
      </c>
      <c r="AL141" s="33"/>
      <c r="AM141" s="33"/>
      <c r="AN141" s="33"/>
      <c r="AO141" s="33"/>
      <c r="AP141" s="33"/>
      <c r="AQ141" s="193"/>
      <c r="AR141" s="193"/>
      <c r="AS141" s="193"/>
      <c r="AT141" s="193"/>
      <c r="AU141" s="33"/>
      <c r="AV141" s="33"/>
      <c r="AW141" s="33"/>
      <c r="AX141" s="33"/>
      <c r="AY141" s="76"/>
    </row>
    <row r="142" spans="3:51">
      <c r="C142" s="165" t="s">
        <v>17</v>
      </c>
      <c r="D142" s="4">
        <v>0.54</v>
      </c>
      <c r="E142" s="187" t="s">
        <v>228</v>
      </c>
      <c r="F142" s="342">
        <f>IF(OR(Tableau145[[#This Row],[Type]]="Feuillus",Tableau145[[#This Row],[Type]]="Peupliers"),1.56,1.3)</f>
        <v>1.56</v>
      </c>
      <c r="I142" s="55">
        <v>137</v>
      </c>
      <c r="J142" s="33">
        <f t="shared" si="83"/>
        <v>51.450000000000138</v>
      </c>
      <c r="K142" s="33">
        <f t="shared" si="84"/>
        <v>14.987603176059119</v>
      </c>
      <c r="L142" s="33">
        <f t="shared" si="85"/>
        <v>70</v>
      </c>
      <c r="M142" s="33">
        <f t="shared" si="86"/>
        <v>10</v>
      </c>
      <c r="N142" s="33">
        <f t="shared" si="72"/>
        <v>0</v>
      </c>
      <c r="O142" s="34">
        <f t="shared" si="73"/>
        <v>409.04549219830324</v>
      </c>
      <c r="P142" s="55">
        <v>137</v>
      </c>
      <c r="Q142" s="33">
        <f t="shared" si="81"/>
        <v>5.0700000000000074</v>
      </c>
      <c r="R142" s="33">
        <f t="shared" si="87"/>
        <v>424.71000000000021</v>
      </c>
      <c r="S142" s="33">
        <f t="shared" si="88"/>
        <v>246.3318000000001</v>
      </c>
      <c r="T142" s="33">
        <f t="shared" si="74"/>
        <v>59.799776565359551</v>
      </c>
      <c r="U142" s="33">
        <f t="shared" si="82"/>
        <v>70</v>
      </c>
      <c r="V142" s="33">
        <f t="shared" si="75"/>
        <v>10</v>
      </c>
      <c r="W142" s="33">
        <v>0</v>
      </c>
      <c r="X142" s="33">
        <f t="shared" si="76"/>
        <v>826.51249585133462</v>
      </c>
      <c r="Y142" s="38">
        <f t="shared" si="77"/>
        <v>417.46700365303138</v>
      </c>
      <c r="AA142" s="71">
        <v>137</v>
      </c>
      <c r="AB142" s="33">
        <f t="shared" si="78"/>
        <v>0</v>
      </c>
      <c r="AC142" s="304">
        <f t="shared" si="71"/>
        <v>0</v>
      </c>
      <c r="AD142" s="100">
        <f t="shared" si="79"/>
        <v>0</v>
      </c>
      <c r="AE142" s="100">
        <f t="shared" si="80"/>
        <v>0</v>
      </c>
      <c r="AF142" s="193">
        <f t="shared" si="67"/>
        <v>8.9748073916568636</v>
      </c>
      <c r="AG142" s="193">
        <f t="shared" si="68"/>
        <v>0</v>
      </c>
      <c r="AH142" s="193">
        <f t="shared" si="69"/>
        <v>0</v>
      </c>
      <c r="AI142" s="198">
        <f t="shared" si="70"/>
        <v>8.9748073916568636</v>
      </c>
      <c r="AK142" s="71">
        <v>137</v>
      </c>
      <c r="AL142" s="33"/>
      <c r="AM142" s="33"/>
      <c r="AN142" s="33"/>
      <c r="AO142" s="33"/>
      <c r="AP142" s="33"/>
      <c r="AQ142" s="193"/>
      <c r="AR142" s="193"/>
      <c r="AS142" s="193"/>
      <c r="AT142" s="193"/>
      <c r="AU142" s="33"/>
      <c r="AV142" s="33"/>
      <c r="AW142" s="33"/>
      <c r="AX142" s="33"/>
      <c r="AY142" s="76"/>
    </row>
    <row r="143" spans="3:51">
      <c r="C143" s="165" t="s">
        <v>18</v>
      </c>
      <c r="D143" s="4">
        <v>0.65</v>
      </c>
      <c r="E143" s="187" t="s">
        <v>228</v>
      </c>
      <c r="F143" s="342">
        <f>IF(OR(Tableau145[[#This Row],[Type]]="Feuillus",Tableau145[[#This Row],[Type]]="Peupliers"),1.56,1.3)</f>
        <v>1.56</v>
      </c>
      <c r="I143" s="55">
        <v>138</v>
      </c>
      <c r="J143" s="33">
        <f t="shared" si="83"/>
        <v>51.87000000000014</v>
      </c>
      <c r="K143" s="33">
        <f t="shared" si="84"/>
        <v>15.095658469114946</v>
      </c>
      <c r="L143" s="33">
        <f t="shared" si="85"/>
        <v>70</v>
      </c>
      <c r="M143" s="33">
        <f t="shared" si="86"/>
        <v>10</v>
      </c>
      <c r="N143" s="33">
        <f t="shared" si="72"/>
        <v>0</v>
      </c>
      <c r="O143" s="34">
        <f t="shared" si="73"/>
        <v>409.96518850037546</v>
      </c>
      <c r="P143" s="55">
        <v>138</v>
      </c>
      <c r="Q143" s="33">
        <f t="shared" si="81"/>
        <v>5.0700000000000074</v>
      </c>
      <c r="R143" s="33">
        <f t="shared" si="87"/>
        <v>429.7800000000002</v>
      </c>
      <c r="S143" s="33">
        <f t="shared" si="88"/>
        <v>249.27240000000009</v>
      </c>
      <c r="T143" s="33">
        <f t="shared" si="74"/>
        <v>60.430109843567763</v>
      </c>
      <c r="U143" s="33">
        <f t="shared" si="82"/>
        <v>70</v>
      </c>
      <c r="V143" s="33">
        <f t="shared" si="75"/>
        <v>10</v>
      </c>
      <c r="W143" s="33">
        <v>0</v>
      </c>
      <c r="X143" s="33">
        <f t="shared" si="76"/>
        <v>832.73187131088071</v>
      </c>
      <c r="Y143" s="38">
        <f t="shared" si="77"/>
        <v>422.76668281050524</v>
      </c>
      <c r="AA143" s="71">
        <v>138</v>
      </c>
      <c r="AB143" s="33">
        <f t="shared" si="78"/>
        <v>0</v>
      </c>
      <c r="AC143" s="304">
        <f t="shared" si="71"/>
        <v>0</v>
      </c>
      <c r="AD143" s="100">
        <f t="shared" si="79"/>
        <v>0</v>
      </c>
      <c r="AE143" s="100">
        <f t="shared" si="80"/>
        <v>0</v>
      </c>
      <c r="AF143" s="193">
        <f t="shared" si="67"/>
        <v>8.7988168927984596</v>
      </c>
      <c r="AG143" s="193">
        <f t="shared" si="68"/>
        <v>0</v>
      </c>
      <c r="AH143" s="193">
        <f t="shared" si="69"/>
        <v>0</v>
      </c>
      <c r="AI143" s="198">
        <f t="shared" si="70"/>
        <v>8.7988168927984596</v>
      </c>
      <c r="AK143" s="71">
        <v>138</v>
      </c>
      <c r="AL143" s="33"/>
      <c r="AM143" s="33"/>
      <c r="AN143" s="33"/>
      <c r="AO143" s="33"/>
      <c r="AP143" s="33"/>
      <c r="AQ143" s="193"/>
      <c r="AR143" s="193"/>
      <c r="AS143" s="193"/>
      <c r="AT143" s="193"/>
      <c r="AU143" s="33"/>
      <c r="AV143" s="33"/>
      <c r="AW143" s="33"/>
      <c r="AX143" s="33"/>
      <c r="AY143" s="76"/>
    </row>
    <row r="144" spans="3:51">
      <c r="C144" s="165" t="s">
        <v>19</v>
      </c>
      <c r="D144" s="4">
        <v>0.56000000000000005</v>
      </c>
      <c r="E144" s="187" t="s">
        <v>228</v>
      </c>
      <c r="F144" s="342">
        <f>IF(OR(Tableau145[[#This Row],[Type]]="Feuillus",Tableau145[[#This Row],[Type]]="Peupliers"),1.56,1.3)</f>
        <v>1.56</v>
      </c>
      <c r="I144" s="55">
        <v>139</v>
      </c>
      <c r="J144" s="33">
        <f t="shared" si="83"/>
        <v>52.290000000000141</v>
      </c>
      <c r="K144" s="33">
        <f t="shared" si="84"/>
        <v>15.203611965765887</v>
      </c>
      <c r="L144" s="33">
        <f t="shared" si="85"/>
        <v>70</v>
      </c>
      <c r="M144" s="33">
        <f t="shared" si="86"/>
        <v>10</v>
      </c>
      <c r="N144" s="33">
        <f t="shared" si="72"/>
        <v>0</v>
      </c>
      <c r="O144" s="34">
        <f t="shared" si="73"/>
        <v>410.88470750704249</v>
      </c>
      <c r="P144" s="55">
        <v>139</v>
      </c>
      <c r="Q144" s="33">
        <f t="shared" si="81"/>
        <v>5.0700000000000074</v>
      </c>
      <c r="R144" s="33">
        <f t="shared" si="87"/>
        <v>434.85000000000019</v>
      </c>
      <c r="S144" s="33">
        <f t="shared" si="88"/>
        <v>252.21300000000011</v>
      </c>
      <c r="T144" s="33">
        <f t="shared" si="74"/>
        <v>61.059578158861832</v>
      </c>
      <c r="U144" s="33">
        <f t="shared" si="82"/>
        <v>70</v>
      </c>
      <c r="V144" s="33">
        <f t="shared" si="75"/>
        <v>10</v>
      </c>
      <c r="W144" s="33">
        <v>0</v>
      </c>
      <c r="X144" s="33">
        <f t="shared" si="76"/>
        <v>838.94974029335117</v>
      </c>
      <c r="Y144" s="38">
        <f t="shared" si="77"/>
        <v>428.06503278630868</v>
      </c>
      <c r="AA144" s="71">
        <v>139</v>
      </c>
      <c r="AB144" s="33">
        <f t="shared" si="78"/>
        <v>0</v>
      </c>
      <c r="AC144" s="304">
        <f t="shared" si="71"/>
        <v>0</v>
      </c>
      <c r="AD144" s="100">
        <f t="shared" si="79"/>
        <v>0</v>
      </c>
      <c r="AE144" s="100">
        <f t="shared" si="80"/>
        <v>0</v>
      </c>
      <c r="AF144" s="193">
        <f t="shared" si="67"/>
        <v>8.6262774602790646</v>
      </c>
      <c r="AG144" s="193">
        <f t="shared" si="68"/>
        <v>0</v>
      </c>
      <c r="AH144" s="193">
        <f t="shared" si="69"/>
        <v>0</v>
      </c>
      <c r="AI144" s="198">
        <f t="shared" si="70"/>
        <v>8.6262774602790646</v>
      </c>
      <c r="AK144" s="71">
        <v>139</v>
      </c>
      <c r="AL144" s="33"/>
      <c r="AM144" s="33"/>
      <c r="AN144" s="33"/>
      <c r="AO144" s="33"/>
      <c r="AP144" s="33"/>
      <c r="AQ144" s="193"/>
      <c r="AR144" s="193"/>
      <c r="AS144" s="193"/>
      <c r="AT144" s="193"/>
      <c r="AU144" s="33"/>
      <c r="AV144" s="33"/>
      <c r="AW144" s="33"/>
      <c r="AX144" s="33"/>
      <c r="AY144" s="76"/>
    </row>
    <row r="145" spans="3:51">
      <c r="C145" s="165" t="s">
        <v>20</v>
      </c>
      <c r="D145" s="4">
        <v>0.57999999999999996</v>
      </c>
      <c r="E145" s="187" t="s">
        <v>228</v>
      </c>
      <c r="F145" s="342">
        <f>IF(OR(Tableau145[[#This Row],[Type]]="Feuillus",Tableau145[[#This Row],[Type]]="Peupliers"),1.56,1.3)</f>
        <v>1.56</v>
      </c>
      <c r="I145" s="55">
        <v>140</v>
      </c>
      <c r="J145" s="33">
        <f t="shared" si="83"/>
        <v>52.710000000000143</v>
      </c>
      <c r="K145" s="33">
        <f t="shared" si="84"/>
        <v>15.311464578420342</v>
      </c>
      <c r="L145" s="33">
        <f t="shared" si="85"/>
        <v>70</v>
      </c>
      <c r="M145" s="33">
        <f t="shared" si="86"/>
        <v>10</v>
      </c>
      <c r="N145" s="33">
        <f t="shared" si="72"/>
        <v>0</v>
      </c>
      <c r="O145" s="34">
        <f t="shared" si="73"/>
        <v>411.80405080741571</v>
      </c>
      <c r="P145" s="55">
        <v>140</v>
      </c>
      <c r="Q145" s="33">
        <f t="shared" si="81"/>
        <v>5.0700000000000074</v>
      </c>
      <c r="R145" s="33">
        <f t="shared" si="87"/>
        <v>439.92000000000019</v>
      </c>
      <c r="S145" s="33">
        <f t="shared" si="88"/>
        <v>255.1536000000001</v>
      </c>
      <c r="T145" s="33">
        <f t="shared" si="74"/>
        <v>61.688192762754426</v>
      </c>
      <c r="U145" s="33">
        <f t="shared" si="82"/>
        <v>70</v>
      </c>
      <c r="V145" s="33">
        <f t="shared" si="75"/>
        <v>10</v>
      </c>
      <c r="W145" s="33">
        <v>0</v>
      </c>
      <c r="X145" s="33">
        <f t="shared" si="76"/>
        <v>845.16612239513063</v>
      </c>
      <c r="Y145" s="38">
        <f t="shared" si="77"/>
        <v>433.36207158771492</v>
      </c>
      <c r="AA145" s="71">
        <v>140</v>
      </c>
      <c r="AB145" s="33">
        <f t="shared" si="78"/>
        <v>0</v>
      </c>
      <c r="AC145" s="304">
        <f t="shared" si="71"/>
        <v>0</v>
      </c>
      <c r="AD145" s="100">
        <f t="shared" si="79"/>
        <v>0</v>
      </c>
      <c r="AE145" s="100">
        <f t="shared" si="80"/>
        <v>0</v>
      </c>
      <c r="AF145" s="193">
        <f t="shared" si="67"/>
        <v>8.4571214207927117</v>
      </c>
      <c r="AG145" s="193">
        <f t="shared" si="68"/>
        <v>0</v>
      </c>
      <c r="AH145" s="193">
        <f t="shared" si="69"/>
        <v>0</v>
      </c>
      <c r="AI145" s="198">
        <f t="shared" si="70"/>
        <v>8.4571214207927117</v>
      </c>
      <c r="AK145" s="71">
        <v>140</v>
      </c>
      <c r="AL145" s="33"/>
      <c r="AM145" s="33"/>
      <c r="AN145" s="33"/>
      <c r="AO145" s="33"/>
      <c r="AP145" s="33"/>
      <c r="AQ145" s="193"/>
      <c r="AR145" s="193"/>
      <c r="AS145" s="193"/>
      <c r="AT145" s="193"/>
      <c r="AU145" s="33"/>
      <c r="AV145" s="33"/>
      <c r="AW145" s="33"/>
      <c r="AX145" s="33"/>
      <c r="AY145" s="76"/>
    </row>
    <row r="146" spans="3:51">
      <c r="C146" s="165" t="s">
        <v>21</v>
      </c>
      <c r="D146" s="4">
        <v>0.64</v>
      </c>
      <c r="E146" s="187" t="s">
        <v>228</v>
      </c>
      <c r="F146" s="342">
        <f>IF(OR(Tableau145[[#This Row],[Type]]="Feuillus",Tableau145[[#This Row],[Type]]="Peupliers"),1.56,1.3)</f>
        <v>1.56</v>
      </c>
      <c r="I146" s="55">
        <v>141</v>
      </c>
      <c r="J146" s="33">
        <f t="shared" si="83"/>
        <v>53.130000000000145</v>
      </c>
      <c r="K146" s="33">
        <f t="shared" si="84"/>
        <v>15.419217204106779</v>
      </c>
      <c r="L146" s="33">
        <f t="shared" si="85"/>
        <v>70</v>
      </c>
      <c r="M146" s="33">
        <f t="shared" si="86"/>
        <v>10</v>
      </c>
      <c r="N146" s="33">
        <f t="shared" si="72"/>
        <v>0</v>
      </c>
      <c r="O146" s="34">
        <f t="shared" si="73"/>
        <v>412.72321996381953</v>
      </c>
      <c r="P146" s="55">
        <v>141</v>
      </c>
      <c r="Q146" s="33">
        <f t="shared" si="81"/>
        <v>-20.28000000000003</v>
      </c>
      <c r="R146" s="33">
        <f t="shared" si="87"/>
        <v>419.64000000000016</v>
      </c>
      <c r="S146" s="33">
        <f t="shared" si="88"/>
        <v>243.39120000000008</v>
      </c>
      <c r="T146" s="33">
        <f t="shared" si="74"/>
        <v>59.168566788241577</v>
      </c>
      <c r="U146" s="33">
        <f t="shared" si="82"/>
        <v>70</v>
      </c>
      <c r="V146" s="33">
        <f t="shared" si="75"/>
        <v>10</v>
      </c>
      <c r="W146" s="33">
        <v>0</v>
      </c>
      <c r="X146" s="33">
        <f t="shared" si="76"/>
        <v>820.29159382285422</v>
      </c>
      <c r="Y146" s="38">
        <f t="shared" si="77"/>
        <v>407.56837385903469</v>
      </c>
      <c r="AA146" s="71">
        <v>141</v>
      </c>
      <c r="AB146" s="33">
        <f t="shared" si="78"/>
        <v>0</v>
      </c>
      <c r="AC146" s="304">
        <f t="shared" si="71"/>
        <v>0</v>
      </c>
      <c r="AD146" s="100">
        <f t="shared" si="79"/>
        <v>0</v>
      </c>
      <c r="AE146" s="100">
        <f t="shared" si="80"/>
        <v>0</v>
      </c>
      <c r="AF146" s="193">
        <f t="shared" si="67"/>
        <v>8.2912824280656903</v>
      </c>
      <c r="AG146" s="193">
        <f t="shared" si="68"/>
        <v>0</v>
      </c>
      <c r="AH146" s="193">
        <f t="shared" si="69"/>
        <v>0</v>
      </c>
      <c r="AI146" s="198">
        <f t="shared" si="70"/>
        <v>8.2912824280656903</v>
      </c>
      <c r="AK146" s="71">
        <v>141</v>
      </c>
      <c r="AL146" s="33"/>
      <c r="AM146" s="33"/>
      <c r="AN146" s="33"/>
      <c r="AO146" s="33"/>
      <c r="AP146" s="33"/>
      <c r="AQ146" s="193"/>
      <c r="AR146" s="193"/>
      <c r="AS146" s="193"/>
      <c r="AT146" s="193"/>
      <c r="AU146" s="33"/>
      <c r="AV146" s="33"/>
      <c r="AW146" s="33"/>
      <c r="AX146" s="33"/>
      <c r="AY146" s="76"/>
    </row>
    <row r="147" spans="3:51">
      <c r="C147" s="165" t="s">
        <v>22</v>
      </c>
      <c r="D147" s="4">
        <v>0.73</v>
      </c>
      <c r="E147" s="187" t="s">
        <v>228</v>
      </c>
      <c r="F147" s="342">
        <f>IF(OR(Tableau145[[#This Row],[Type]]="Feuillus",Tableau145[[#This Row],[Type]]="Peupliers"),1.56,1.3)</f>
        <v>1.56</v>
      </c>
      <c r="I147" s="55">
        <v>142</v>
      </c>
      <c r="J147" s="33">
        <f t="shared" si="83"/>
        <v>53.550000000000146</v>
      </c>
      <c r="K147" s="33">
        <f t="shared" si="84"/>
        <v>15.526870724852404</v>
      </c>
      <c r="L147" s="33">
        <f t="shared" si="85"/>
        <v>70</v>
      </c>
      <c r="M147" s="33">
        <f t="shared" si="86"/>
        <v>10</v>
      </c>
      <c r="N147" s="33">
        <f t="shared" si="72"/>
        <v>0</v>
      </c>
      <c r="O147" s="34">
        <f t="shared" si="73"/>
        <v>413.64221651245151</v>
      </c>
      <c r="P147" s="55">
        <v>142</v>
      </c>
      <c r="Q147" s="33">
        <f t="shared" si="81"/>
        <v>5.0700000000000074</v>
      </c>
      <c r="R147" s="33">
        <f t="shared" si="87"/>
        <v>424.71000000000015</v>
      </c>
      <c r="S147" s="33">
        <f t="shared" si="88"/>
        <v>246.33180000000007</v>
      </c>
      <c r="T147" s="33">
        <f t="shared" si="74"/>
        <v>59.799776565359551</v>
      </c>
      <c r="U147" s="33">
        <f t="shared" si="82"/>
        <v>70</v>
      </c>
      <c r="V147" s="33">
        <f t="shared" si="75"/>
        <v>10</v>
      </c>
      <c r="W147" s="33">
        <v>0</v>
      </c>
      <c r="X147" s="33">
        <f t="shared" si="76"/>
        <v>826.51249585133462</v>
      </c>
      <c r="Y147" s="38">
        <f t="shared" si="77"/>
        <v>412.87027933888311</v>
      </c>
      <c r="AA147" s="71">
        <v>142</v>
      </c>
      <c r="AB147" s="33">
        <f t="shared" si="78"/>
        <v>0</v>
      </c>
      <c r="AC147" s="304">
        <f t="shared" si="71"/>
        <v>0</v>
      </c>
      <c r="AD147" s="100">
        <f t="shared" si="79"/>
        <v>0</v>
      </c>
      <c r="AE147" s="100">
        <f t="shared" si="80"/>
        <v>0</v>
      </c>
      <c r="AF147" s="193">
        <f t="shared" si="67"/>
        <v>8.1286954368342474</v>
      </c>
      <c r="AG147" s="193">
        <f t="shared" si="68"/>
        <v>0</v>
      </c>
      <c r="AH147" s="193">
        <f t="shared" si="69"/>
        <v>0</v>
      </c>
      <c r="AI147" s="198">
        <f t="shared" si="70"/>
        <v>8.1286954368342474</v>
      </c>
      <c r="AK147" s="71">
        <v>142</v>
      </c>
      <c r="AL147" s="33"/>
      <c r="AM147" s="33"/>
      <c r="AN147" s="33"/>
      <c r="AO147" s="33"/>
      <c r="AP147" s="33"/>
      <c r="AQ147" s="193"/>
      <c r="AR147" s="193"/>
      <c r="AS147" s="193"/>
      <c r="AT147" s="193"/>
      <c r="AU147" s="33"/>
      <c r="AV147" s="33"/>
      <c r="AW147" s="33"/>
      <c r="AX147" s="33"/>
      <c r="AY147" s="76"/>
    </row>
    <row r="148" spans="3:51">
      <c r="C148" s="165" t="s">
        <v>23</v>
      </c>
      <c r="D148" s="4">
        <v>0.56000000000000005</v>
      </c>
      <c r="E148" s="187" t="s">
        <v>228</v>
      </c>
      <c r="F148" s="342">
        <f>IF(OR(Tableau145[[#This Row],[Type]]="Feuillus",Tableau145[[#This Row],[Type]]="Peupliers"),1.56,1.3)</f>
        <v>1.56</v>
      </c>
      <c r="I148" s="55">
        <v>143</v>
      </c>
      <c r="J148" s="33">
        <f t="shared" si="83"/>
        <v>53.970000000000148</v>
      </c>
      <c r="K148" s="33">
        <f t="shared" si="84"/>
        <v>15.63442600804971</v>
      </c>
      <c r="L148" s="33">
        <f t="shared" si="85"/>
        <v>70</v>
      </c>
      <c r="M148" s="33">
        <f t="shared" si="86"/>
        <v>10</v>
      </c>
      <c r="N148" s="33">
        <f t="shared" si="72"/>
        <v>0</v>
      </c>
      <c r="O148" s="34">
        <f t="shared" si="73"/>
        <v>414.56104196402021</v>
      </c>
      <c r="P148" s="55">
        <v>143</v>
      </c>
      <c r="Q148" s="33">
        <f t="shared" si="81"/>
        <v>5.0700000000000074</v>
      </c>
      <c r="R148" s="33">
        <f t="shared" si="87"/>
        <v>429.78000000000014</v>
      </c>
      <c r="S148" s="33">
        <f t="shared" si="88"/>
        <v>249.27240000000006</v>
      </c>
      <c r="T148" s="33">
        <f t="shared" si="74"/>
        <v>60.430109843567763</v>
      </c>
      <c r="U148" s="33">
        <f t="shared" si="82"/>
        <v>70</v>
      </c>
      <c r="V148" s="33">
        <f t="shared" si="75"/>
        <v>10</v>
      </c>
      <c r="W148" s="33">
        <v>0</v>
      </c>
      <c r="X148" s="33">
        <f t="shared" si="76"/>
        <v>832.73187131088071</v>
      </c>
      <c r="Y148" s="38">
        <f t="shared" si="77"/>
        <v>418.1708293468605</v>
      </c>
      <c r="AA148" s="71">
        <v>143</v>
      </c>
      <c r="AB148" s="33">
        <f t="shared" si="78"/>
        <v>0</v>
      </c>
      <c r="AC148" s="304">
        <f t="shared" si="71"/>
        <v>0</v>
      </c>
      <c r="AD148" s="100">
        <f t="shared" si="79"/>
        <v>0</v>
      </c>
      <c r="AE148" s="100">
        <f t="shared" si="80"/>
        <v>0</v>
      </c>
      <c r="AF148" s="193">
        <f t="shared" si="67"/>
        <v>7.9692966773325811</v>
      </c>
      <c r="AG148" s="193">
        <f t="shared" si="68"/>
        <v>0</v>
      </c>
      <c r="AH148" s="193">
        <f t="shared" si="69"/>
        <v>0</v>
      </c>
      <c r="AI148" s="198">
        <f t="shared" si="70"/>
        <v>7.9692966773325811</v>
      </c>
      <c r="AK148" s="71">
        <v>143</v>
      </c>
      <c r="AL148" s="33"/>
      <c r="AM148" s="33"/>
      <c r="AN148" s="33"/>
      <c r="AO148" s="33"/>
      <c r="AP148" s="33"/>
      <c r="AQ148" s="193"/>
      <c r="AR148" s="193"/>
      <c r="AS148" s="193"/>
      <c r="AT148" s="193"/>
      <c r="AU148" s="33"/>
      <c r="AV148" s="33"/>
      <c r="AW148" s="33"/>
      <c r="AX148" s="33"/>
      <c r="AY148" s="76"/>
    </row>
    <row r="149" spans="3:51">
      <c r="C149" s="165" t="s">
        <v>24</v>
      </c>
      <c r="D149" s="4">
        <v>0.74</v>
      </c>
      <c r="E149" s="187" t="s">
        <v>228</v>
      </c>
      <c r="F149" s="342">
        <f>IF(OR(Tableau145[[#This Row],[Type]]="Feuillus",Tableau145[[#This Row],[Type]]="Peupliers"),1.56,1.3)</f>
        <v>1.56</v>
      </c>
      <c r="I149" s="55">
        <v>144</v>
      </c>
      <c r="J149" s="33">
        <f t="shared" si="83"/>
        <v>54.39000000000015</v>
      </c>
      <c r="K149" s="33">
        <f t="shared" si="84"/>
        <v>15.741883906811246</v>
      </c>
      <c r="L149" s="33">
        <f t="shared" si="85"/>
        <v>70</v>
      </c>
      <c r="M149" s="33">
        <f t="shared" si="86"/>
        <v>10</v>
      </c>
      <c r="N149" s="33">
        <f t="shared" si="72"/>
        <v>0</v>
      </c>
      <c r="O149" s="34">
        <f t="shared" si="73"/>
        <v>415.47969780436318</v>
      </c>
      <c r="P149" s="55">
        <v>144</v>
      </c>
      <c r="Q149" s="33">
        <f t="shared" si="81"/>
        <v>5.0700000000000074</v>
      </c>
      <c r="R149" s="33">
        <f t="shared" si="87"/>
        <v>434.85000000000014</v>
      </c>
      <c r="S149" s="33">
        <f t="shared" si="88"/>
        <v>252.21300000000005</v>
      </c>
      <c r="T149" s="33">
        <f t="shared" si="74"/>
        <v>61.059578158861783</v>
      </c>
      <c r="U149" s="33">
        <f t="shared" si="82"/>
        <v>70</v>
      </c>
      <c r="V149" s="33">
        <f t="shared" si="75"/>
        <v>10</v>
      </c>
      <c r="W149" s="33">
        <v>0</v>
      </c>
      <c r="X149" s="33">
        <f t="shared" si="76"/>
        <v>838.94974029335106</v>
      </c>
      <c r="Y149" s="38">
        <f t="shared" si="77"/>
        <v>423.47004248898787</v>
      </c>
      <c r="AA149" s="71">
        <v>144</v>
      </c>
      <c r="AB149" s="33">
        <f t="shared" si="78"/>
        <v>0</v>
      </c>
      <c r="AC149" s="304">
        <f t="shared" si="71"/>
        <v>0</v>
      </c>
      <c r="AD149" s="100">
        <f t="shared" si="79"/>
        <v>0</v>
      </c>
      <c r="AE149" s="100">
        <f t="shared" si="80"/>
        <v>0</v>
      </c>
      <c r="AF149" s="193">
        <f t="shared" si="67"/>
        <v>7.8130236302810987</v>
      </c>
      <c r="AG149" s="193">
        <f t="shared" si="68"/>
        <v>0</v>
      </c>
      <c r="AH149" s="193">
        <f t="shared" si="69"/>
        <v>0</v>
      </c>
      <c r="AI149" s="198">
        <f t="shared" si="70"/>
        <v>7.8130236302810987</v>
      </c>
      <c r="AK149" s="71">
        <v>144</v>
      </c>
      <c r="AL149" s="33"/>
      <c r="AM149" s="33"/>
      <c r="AN149" s="33"/>
      <c r="AO149" s="33"/>
      <c r="AP149" s="33"/>
      <c r="AQ149" s="193"/>
      <c r="AR149" s="193"/>
      <c r="AS149" s="193"/>
      <c r="AT149" s="193"/>
      <c r="AU149" s="33"/>
      <c r="AV149" s="33"/>
      <c r="AW149" s="33"/>
      <c r="AX149" s="33"/>
      <c r="AY149" s="76"/>
    </row>
    <row r="150" spans="3:51">
      <c r="C150" s="165" t="s">
        <v>25</v>
      </c>
      <c r="D150" s="4">
        <v>0.4</v>
      </c>
      <c r="E150" s="187" t="s">
        <v>229</v>
      </c>
      <c r="F150" s="342">
        <f>IF(OR(Tableau145[[#This Row],[Type]]="Feuillus",Tableau145[[#This Row],[Type]]="Peupliers"),1.56,1.3)</f>
        <v>1.3</v>
      </c>
      <c r="I150" s="55">
        <v>145</v>
      </c>
      <c r="J150" s="33">
        <f t="shared" si="83"/>
        <v>54.810000000000151</v>
      </c>
      <c r="K150" s="33">
        <f t="shared" si="84"/>
        <v>15.84924526031312</v>
      </c>
      <c r="L150" s="33">
        <f t="shared" si="85"/>
        <v>70</v>
      </c>
      <c r="M150" s="33">
        <f t="shared" si="86"/>
        <v>10</v>
      </c>
      <c r="N150" s="33">
        <f t="shared" si="72"/>
        <v>0</v>
      </c>
      <c r="O150" s="34">
        <f t="shared" si="73"/>
        <v>416.39818549504565</v>
      </c>
      <c r="P150" s="55">
        <v>145</v>
      </c>
      <c r="Q150" s="33">
        <f t="shared" si="81"/>
        <v>5.0700000000000074</v>
      </c>
      <c r="R150" s="33">
        <f t="shared" si="87"/>
        <v>439.92000000000013</v>
      </c>
      <c r="S150" s="33">
        <f t="shared" si="88"/>
        <v>255.15360000000007</v>
      </c>
      <c r="T150" s="33">
        <f t="shared" si="74"/>
        <v>61.688192762754426</v>
      </c>
      <c r="U150" s="33">
        <f t="shared" si="82"/>
        <v>70</v>
      </c>
      <c r="V150" s="33">
        <f t="shared" si="75"/>
        <v>10</v>
      </c>
      <c r="W150" s="33">
        <v>0</v>
      </c>
      <c r="X150" s="33">
        <f t="shared" si="76"/>
        <v>845.16612239513063</v>
      </c>
      <c r="Y150" s="38">
        <f t="shared" si="77"/>
        <v>428.76793690008498</v>
      </c>
      <c r="AA150" s="71">
        <v>145</v>
      </c>
      <c r="AB150" s="33">
        <f t="shared" si="78"/>
        <v>0</v>
      </c>
      <c r="AC150" s="304">
        <f t="shared" si="71"/>
        <v>0</v>
      </c>
      <c r="AD150" s="100">
        <f t="shared" si="79"/>
        <v>0</v>
      </c>
      <c r="AE150" s="100">
        <f t="shared" si="80"/>
        <v>0</v>
      </c>
      <c r="AF150" s="193">
        <f t="shared" si="67"/>
        <v>7.659815002365149</v>
      </c>
      <c r="AG150" s="193">
        <f t="shared" si="68"/>
        <v>0</v>
      </c>
      <c r="AH150" s="193">
        <f t="shared" si="69"/>
        <v>0</v>
      </c>
      <c r="AI150" s="198">
        <f t="shared" si="70"/>
        <v>7.659815002365149</v>
      </c>
      <c r="AK150" s="71">
        <v>145</v>
      </c>
      <c r="AL150" s="33"/>
      <c r="AM150" s="33"/>
      <c r="AN150" s="33"/>
      <c r="AO150" s="33"/>
      <c r="AP150" s="33"/>
      <c r="AQ150" s="193"/>
      <c r="AR150" s="193"/>
      <c r="AS150" s="193"/>
      <c r="AT150" s="193"/>
      <c r="AU150" s="33"/>
      <c r="AV150" s="33"/>
      <c r="AW150" s="33"/>
      <c r="AX150" s="33"/>
      <c r="AY150" s="76"/>
    </row>
    <row r="151" spans="3:51">
      <c r="C151" s="165" t="s">
        <v>26</v>
      </c>
      <c r="D151" s="4">
        <v>0.6</v>
      </c>
      <c r="E151" s="187" t="s">
        <v>228</v>
      </c>
      <c r="F151" s="342">
        <f>IF(OR(Tableau145[[#This Row],[Type]]="Feuillus",Tableau145[[#This Row],[Type]]="Peupliers"),1.56,1.3)</f>
        <v>1.56</v>
      </c>
      <c r="I151" s="55">
        <v>146</v>
      </c>
      <c r="J151" s="33">
        <f t="shared" si="83"/>
        <v>55.230000000000153</v>
      </c>
      <c r="K151" s="33">
        <f t="shared" si="84"/>
        <v>15.956510894127646</v>
      </c>
      <c r="L151" s="33">
        <f t="shared" si="85"/>
        <v>70</v>
      </c>
      <c r="M151" s="33">
        <f t="shared" si="86"/>
        <v>10</v>
      </c>
      <c r="N151" s="33">
        <f t="shared" si="72"/>
        <v>0</v>
      </c>
      <c r="O151" s="34">
        <f t="shared" si="73"/>
        <v>417.31650647393917</v>
      </c>
      <c r="P151" s="55">
        <v>146</v>
      </c>
      <c r="Q151" s="33">
        <f t="shared" si="81"/>
        <v>-20.28000000000003</v>
      </c>
      <c r="R151" s="33">
        <f t="shared" si="87"/>
        <v>419.6400000000001</v>
      </c>
      <c r="S151" s="33">
        <f t="shared" si="88"/>
        <v>243.39120000000005</v>
      </c>
      <c r="T151" s="33">
        <f t="shared" si="74"/>
        <v>59.168566788241527</v>
      </c>
      <c r="U151" s="33">
        <f t="shared" si="82"/>
        <v>70</v>
      </c>
      <c r="V151" s="33">
        <f t="shared" si="75"/>
        <v>10</v>
      </c>
      <c r="W151" s="33">
        <v>0</v>
      </c>
      <c r="X151" s="33">
        <f t="shared" si="76"/>
        <v>820.291593822854</v>
      </c>
      <c r="Y151" s="38">
        <f t="shared" si="77"/>
        <v>402.97508734891483</v>
      </c>
      <c r="AA151" s="71">
        <v>146</v>
      </c>
      <c r="AB151" s="33">
        <f t="shared" si="78"/>
        <v>0</v>
      </c>
      <c r="AC151" s="304">
        <f t="shared" si="71"/>
        <v>0</v>
      </c>
      <c r="AD151" s="100">
        <f t="shared" si="79"/>
        <v>0</v>
      </c>
      <c r="AE151" s="100">
        <f t="shared" si="80"/>
        <v>0</v>
      </c>
      <c r="AF151" s="193">
        <f t="shared" si="67"/>
        <v>7.5096107021945953</v>
      </c>
      <c r="AG151" s="193">
        <f t="shared" si="68"/>
        <v>0</v>
      </c>
      <c r="AH151" s="193">
        <f t="shared" si="69"/>
        <v>0</v>
      </c>
      <c r="AI151" s="198">
        <f t="shared" si="70"/>
        <v>7.5096107021945953</v>
      </c>
      <c r="AK151" s="71">
        <v>146</v>
      </c>
      <c r="AL151" s="33"/>
      <c r="AM151" s="33"/>
      <c r="AN151" s="33"/>
      <c r="AO151" s="33"/>
      <c r="AP151" s="33"/>
      <c r="AQ151" s="193"/>
      <c r="AR151" s="193"/>
      <c r="AS151" s="193"/>
      <c r="AT151" s="193"/>
      <c r="AU151" s="33"/>
      <c r="AV151" s="33"/>
      <c r="AW151" s="33"/>
      <c r="AX151" s="33"/>
      <c r="AY151" s="76"/>
    </row>
    <row r="152" spans="3:51">
      <c r="C152" s="165" t="s">
        <v>27</v>
      </c>
      <c r="D152" s="4">
        <v>0.43</v>
      </c>
      <c r="E152" s="187" t="s">
        <v>229</v>
      </c>
      <c r="F152" s="342">
        <f>IF(OR(Tableau145[[#This Row],[Type]]="Feuillus",Tableau145[[#This Row],[Type]]="Peupliers"),1.56,1.3)</f>
        <v>1.3</v>
      </c>
      <c r="I152" s="55">
        <v>147</v>
      </c>
      <c r="J152" s="33">
        <f t="shared" si="83"/>
        <v>55.650000000000155</v>
      </c>
      <c r="K152" s="33">
        <f t="shared" si="84"/>
        <v>16.063681620545658</v>
      </c>
      <c r="L152" s="33">
        <f t="shared" si="85"/>
        <v>70</v>
      </c>
      <c r="M152" s="33">
        <f t="shared" si="86"/>
        <v>10</v>
      </c>
      <c r="N152" s="33">
        <f t="shared" si="72"/>
        <v>0</v>
      </c>
      <c r="O152" s="34">
        <f t="shared" si="73"/>
        <v>418.23466215578395</v>
      </c>
      <c r="P152" s="55">
        <v>147</v>
      </c>
      <c r="Q152" s="33">
        <f t="shared" si="81"/>
        <v>4.2900000000000063</v>
      </c>
      <c r="R152" s="33">
        <f t="shared" si="87"/>
        <v>423.93000000000012</v>
      </c>
      <c r="S152" s="33">
        <f t="shared" si="88"/>
        <v>245.87940000000006</v>
      </c>
      <c r="T152" s="33">
        <f t="shared" si="74"/>
        <v>59.702724711823016</v>
      </c>
      <c r="U152" s="33">
        <f t="shared" si="82"/>
        <v>70</v>
      </c>
      <c r="V152" s="33">
        <f t="shared" si="75"/>
        <v>10</v>
      </c>
      <c r="W152" s="33">
        <v>0</v>
      </c>
      <c r="X152" s="33">
        <f t="shared" si="76"/>
        <v>825.55553387309192</v>
      </c>
      <c r="Y152" s="38">
        <f t="shared" si="77"/>
        <v>407.32087171730797</v>
      </c>
      <c r="AA152" s="71">
        <v>147</v>
      </c>
      <c r="AB152" s="33">
        <f t="shared" si="78"/>
        <v>0</v>
      </c>
      <c r="AC152" s="304">
        <f t="shared" si="71"/>
        <v>0</v>
      </c>
      <c r="AD152" s="100">
        <f t="shared" si="79"/>
        <v>0</v>
      </c>
      <c r="AE152" s="100">
        <f t="shared" si="80"/>
        <v>0</v>
      </c>
      <c r="AF152" s="193">
        <f t="shared" si="67"/>
        <v>7.3623518167348099</v>
      </c>
      <c r="AG152" s="193">
        <f t="shared" si="68"/>
        <v>0</v>
      </c>
      <c r="AH152" s="193">
        <f t="shared" si="69"/>
        <v>0</v>
      </c>
      <c r="AI152" s="198">
        <f t="shared" si="70"/>
        <v>7.3623518167348099</v>
      </c>
      <c r="AK152" s="71">
        <v>147</v>
      </c>
      <c r="AL152" s="33"/>
      <c r="AM152" s="33"/>
      <c r="AN152" s="33"/>
      <c r="AO152" s="33"/>
      <c r="AP152" s="33"/>
      <c r="AQ152" s="193"/>
      <c r="AR152" s="193"/>
      <c r="AS152" s="193"/>
      <c r="AT152" s="193"/>
      <c r="AU152" s="33"/>
      <c r="AV152" s="33"/>
      <c r="AW152" s="33"/>
      <c r="AX152" s="33"/>
      <c r="AY152" s="76"/>
    </row>
    <row r="153" spans="3:51">
      <c r="C153" s="165" t="s">
        <v>28</v>
      </c>
      <c r="D153" s="4">
        <v>0.37</v>
      </c>
      <c r="E153" s="187" t="s">
        <v>229</v>
      </c>
      <c r="F153" s="342">
        <f>IF(OR(Tableau145[[#This Row],[Type]]="Feuillus",Tableau145[[#This Row],[Type]]="Peupliers"),1.56,1.3)</f>
        <v>1.3</v>
      </c>
      <c r="I153" s="55">
        <v>148</v>
      </c>
      <c r="J153" s="33">
        <f t="shared" si="83"/>
        <v>56.070000000000157</v>
      </c>
      <c r="K153" s="33">
        <f t="shared" si="84"/>
        <v>16.170758238888741</v>
      </c>
      <c r="L153" s="33">
        <f t="shared" si="85"/>
        <v>70</v>
      </c>
      <c r="M153" s="33">
        <f t="shared" si="86"/>
        <v>10</v>
      </c>
      <c r="N153" s="33">
        <f t="shared" si="72"/>
        <v>0</v>
      </c>
      <c r="O153" s="34">
        <f t="shared" si="73"/>
        <v>419.15265393273148</v>
      </c>
      <c r="P153" s="55">
        <v>148</v>
      </c>
      <c r="Q153" s="33">
        <f t="shared" si="81"/>
        <v>4.2900000000000063</v>
      </c>
      <c r="R153" s="33">
        <f t="shared" si="87"/>
        <v>428.22000000000014</v>
      </c>
      <c r="S153" s="33">
        <f t="shared" si="88"/>
        <v>248.36760000000007</v>
      </c>
      <c r="T153" s="33">
        <f t="shared" si="74"/>
        <v>60.236253798706343</v>
      </c>
      <c r="U153" s="33">
        <f t="shared" si="82"/>
        <v>70</v>
      </c>
      <c r="V153" s="33">
        <f t="shared" si="75"/>
        <v>10</v>
      </c>
      <c r="W153" s="33">
        <v>0</v>
      </c>
      <c r="X153" s="33">
        <f t="shared" si="76"/>
        <v>830.81837869941364</v>
      </c>
      <c r="Y153" s="38">
        <f t="shared" si="77"/>
        <v>411.66572476668216</v>
      </c>
      <c r="AA153" s="71">
        <v>148</v>
      </c>
      <c r="AB153" s="33">
        <f t="shared" si="78"/>
        <v>0</v>
      </c>
      <c r="AC153" s="304">
        <f t="shared" si="71"/>
        <v>0</v>
      </c>
      <c r="AD153" s="100">
        <f t="shared" si="79"/>
        <v>0</v>
      </c>
      <c r="AE153" s="100">
        <f t="shared" si="80"/>
        <v>0</v>
      </c>
      <c r="AF153" s="193">
        <f t="shared" si="67"/>
        <v>7.2179805881998398</v>
      </c>
      <c r="AG153" s="193">
        <f t="shared" si="68"/>
        <v>0</v>
      </c>
      <c r="AH153" s="193">
        <f t="shared" si="69"/>
        <v>0</v>
      </c>
      <c r="AI153" s="198">
        <f t="shared" si="70"/>
        <v>7.2179805881998398</v>
      </c>
      <c r="AK153" s="71">
        <v>148</v>
      </c>
      <c r="AL153" s="33"/>
      <c r="AM153" s="33"/>
      <c r="AN153" s="33"/>
      <c r="AO153" s="33"/>
      <c r="AP153" s="33"/>
      <c r="AQ153" s="193"/>
      <c r="AR153" s="193"/>
      <c r="AS153" s="193"/>
      <c r="AT153" s="193"/>
      <c r="AU153" s="33"/>
      <c r="AV153" s="33"/>
      <c r="AW153" s="33"/>
      <c r="AX153" s="33"/>
      <c r="AY153" s="76"/>
    </row>
    <row r="154" spans="3:51">
      <c r="C154" s="165" t="s">
        <v>29</v>
      </c>
      <c r="D154" s="4">
        <v>0.36</v>
      </c>
      <c r="E154" s="187" t="s">
        <v>229</v>
      </c>
      <c r="F154" s="342">
        <f>IF(OR(Tableau145[[#This Row],[Type]]="Feuillus",Tableau145[[#This Row],[Type]]="Peupliers"),1.56,1.3)</f>
        <v>1.3</v>
      </c>
      <c r="I154" s="55">
        <v>149</v>
      </c>
      <c r="J154" s="33">
        <f t="shared" si="83"/>
        <v>56.490000000000158</v>
      </c>
      <c r="K154" s="33">
        <f t="shared" si="84"/>
        <v>16.277741535811835</v>
      </c>
      <c r="L154" s="33">
        <f t="shared" si="85"/>
        <v>70</v>
      </c>
      <c r="M154" s="33">
        <f t="shared" si="86"/>
        <v>10</v>
      </c>
      <c r="N154" s="33">
        <f t="shared" si="72"/>
        <v>0</v>
      </c>
      <c r="O154" s="34">
        <f t="shared" si="73"/>
        <v>420.07048317487255</v>
      </c>
      <c r="P154" s="55">
        <v>149</v>
      </c>
      <c r="Q154" s="33">
        <f t="shared" si="81"/>
        <v>4.2900000000000063</v>
      </c>
      <c r="R154" s="33">
        <f t="shared" si="87"/>
        <v>432.51000000000016</v>
      </c>
      <c r="S154" s="33">
        <f t="shared" si="88"/>
        <v>250.85580000000007</v>
      </c>
      <c r="T154" s="33">
        <f t="shared" si="74"/>
        <v>60.769161078148855</v>
      </c>
      <c r="U154" s="33">
        <f t="shared" si="82"/>
        <v>70</v>
      </c>
      <c r="V154" s="33">
        <f t="shared" si="75"/>
        <v>10</v>
      </c>
      <c r="W154" s="33">
        <v>0</v>
      </c>
      <c r="X154" s="33">
        <f t="shared" si="76"/>
        <v>836.08014054444266</v>
      </c>
      <c r="Y154" s="38">
        <f t="shared" si="77"/>
        <v>416.00965736957011</v>
      </c>
      <c r="AA154" s="71">
        <v>149</v>
      </c>
      <c r="AB154" s="33">
        <f t="shared" si="78"/>
        <v>0</v>
      </c>
      <c r="AC154" s="304">
        <f t="shared" si="71"/>
        <v>0</v>
      </c>
      <c r="AD154" s="100">
        <f t="shared" si="79"/>
        <v>0</v>
      </c>
      <c r="AE154" s="100">
        <f t="shared" si="80"/>
        <v>0</v>
      </c>
      <c r="AF154" s="193">
        <f t="shared" si="67"/>
        <v>7.0764403913986857</v>
      </c>
      <c r="AG154" s="193">
        <f t="shared" si="68"/>
        <v>0</v>
      </c>
      <c r="AH154" s="193">
        <f t="shared" si="69"/>
        <v>0</v>
      </c>
      <c r="AI154" s="198">
        <f t="shared" si="70"/>
        <v>7.0764403913986857</v>
      </c>
      <c r="AK154" s="71">
        <v>149</v>
      </c>
      <c r="AL154" s="33"/>
      <c r="AM154" s="33"/>
      <c r="AN154" s="33"/>
      <c r="AO154" s="33"/>
      <c r="AP154" s="33"/>
      <c r="AQ154" s="193"/>
      <c r="AR154" s="193"/>
      <c r="AS154" s="193"/>
      <c r="AT154" s="193"/>
      <c r="AU154" s="33"/>
      <c r="AV154" s="33"/>
      <c r="AW154" s="33"/>
      <c r="AX154" s="33"/>
      <c r="AY154" s="76"/>
    </row>
    <row r="155" spans="3:51">
      <c r="C155" s="165" t="s">
        <v>30</v>
      </c>
      <c r="D155" s="4">
        <v>0.51</v>
      </c>
      <c r="E155" s="187" t="s">
        <v>228</v>
      </c>
      <c r="F155" s="342">
        <f>IF(OR(Tableau145[[#This Row],[Type]]="Feuillus",Tableau145[[#This Row],[Type]]="Peupliers"),1.56,1.3)</f>
        <v>1.56</v>
      </c>
      <c r="I155" s="55">
        <v>150</v>
      </c>
      <c r="J155" s="33">
        <f t="shared" si="83"/>
        <v>56.91000000000016</v>
      </c>
      <c r="K155" s="33">
        <f t="shared" si="84"/>
        <v>16.384632285596659</v>
      </c>
      <c r="L155" s="33">
        <f t="shared" si="85"/>
        <v>70</v>
      </c>
      <c r="M155" s="33">
        <f t="shared" si="86"/>
        <v>10</v>
      </c>
      <c r="N155" s="33">
        <f t="shared" si="72"/>
        <v>0</v>
      </c>
      <c r="O155" s="34">
        <f t="shared" si="73"/>
        <v>420.98815123074786</v>
      </c>
      <c r="P155" s="55">
        <v>150</v>
      </c>
      <c r="Q155" s="33">
        <f t="shared" si="81"/>
        <v>4.2900000000000063</v>
      </c>
      <c r="R155" s="33">
        <f t="shared" si="87"/>
        <v>436.80000000000018</v>
      </c>
      <c r="S155" s="33">
        <f t="shared" si="88"/>
        <v>253.34400000000008</v>
      </c>
      <c r="T155" s="33">
        <f t="shared" si="74"/>
        <v>61.301453431926305</v>
      </c>
      <c r="U155" s="33">
        <f t="shared" si="82"/>
        <v>70</v>
      </c>
      <c r="V155" s="33">
        <f t="shared" si="75"/>
        <v>10</v>
      </c>
      <c r="W155" s="33">
        <v>0</v>
      </c>
      <c r="X155" s="33">
        <f t="shared" si="76"/>
        <v>841.34083139393852</v>
      </c>
      <c r="Y155" s="38">
        <f t="shared" si="77"/>
        <v>420.35268016319066</v>
      </c>
      <c r="AA155" s="71">
        <v>150</v>
      </c>
      <c r="AB155" s="33">
        <f t="shared" si="78"/>
        <v>280</v>
      </c>
      <c r="AC155" s="304">
        <f t="shared" si="71"/>
        <v>0.47499999999999998</v>
      </c>
      <c r="AD155" s="100">
        <f t="shared" si="79"/>
        <v>0</v>
      </c>
      <c r="AE155" s="100">
        <f t="shared" si="80"/>
        <v>0</v>
      </c>
      <c r="AF155" s="193">
        <f t="shared" ref="AF155:AF205" si="89">IF(OR(AA155&lt;=$F$18,AA155&lt;=30),EXP(-LN(2)/$D$104)*AF154+((1-EXP(-LN(2)/$D$104))/(LN(2)/$D$104))*$AB155*AC155*0.475*$F$19*44/12,)</f>
        <v>139.96821243191377</v>
      </c>
      <c r="AG155" s="193">
        <f t="shared" ref="AG155:AG205" si="90">IF(OR(AA155&lt;=$F$18,AA155&lt;=30),EXP(-LN(2)/$D$106)*AG154+((1-EXP(-LN(2)/$D$106))/(LN(2)/$D$106))*$AB155*AD155*0.475*$F$19*44/12,)</f>
        <v>0</v>
      </c>
      <c r="AH155" s="193">
        <f t="shared" ref="AH155:AH205" si="91">IF(OR(AA155&lt;=$F$18,AA155&lt;=30),EXP(-LN(2)/$D$105)*AH154+((1-EXP(-LN(2)/$D$105))/(LN(2)/$D$105))*$AB155*AE155*0.475*$F$19*44/12,)</f>
        <v>0</v>
      </c>
      <c r="AI155" s="198">
        <f t="shared" ref="AI155:AI205" si="92">IF(OR(AA155&lt;=$F$18,AA155&lt;=30),SUM(AF155:AH155),)</f>
        <v>139.96821243191377</v>
      </c>
      <c r="AK155" s="71">
        <v>150</v>
      </c>
      <c r="AL155" s="33"/>
      <c r="AM155" s="33"/>
      <c r="AN155" s="33"/>
      <c r="AO155" s="33"/>
      <c r="AP155" s="33"/>
      <c r="AQ155" s="193"/>
      <c r="AR155" s="193"/>
      <c r="AS155" s="193"/>
      <c r="AT155" s="193"/>
      <c r="AU155" s="33"/>
      <c r="AV155" s="33"/>
      <c r="AW155" s="33"/>
      <c r="AX155" s="33"/>
      <c r="AY155" s="76"/>
    </row>
    <row r="156" spans="3:51">
      <c r="C156" s="165" t="s">
        <v>31</v>
      </c>
      <c r="D156" s="4">
        <v>0.56000000000000005</v>
      </c>
      <c r="E156" s="187" t="s">
        <v>228</v>
      </c>
      <c r="F156" s="342">
        <f>IF(OR(Tableau145[[#This Row],[Type]]="Feuillus",Tableau145[[#This Row],[Type]]="Peupliers"),1.56,1.3)</f>
        <v>1.56</v>
      </c>
      <c r="I156" s="55">
        <v>151</v>
      </c>
      <c r="J156" s="33">
        <f t="shared" si="83"/>
        <v>0</v>
      </c>
      <c r="K156" s="33">
        <f t="shared" si="84"/>
        <v>0</v>
      </c>
      <c r="L156" s="33">
        <f t="shared" si="85"/>
        <v>0</v>
      </c>
      <c r="M156" s="33">
        <f t="shared" si="86"/>
        <v>0</v>
      </c>
      <c r="N156" s="33">
        <f t="shared" si="72"/>
        <v>0</v>
      </c>
      <c r="O156" s="34">
        <f t="shared" si="73"/>
        <v>0</v>
      </c>
      <c r="P156" s="55">
        <v>151</v>
      </c>
      <c r="Q156" s="33">
        <f t="shared" si="81"/>
        <v>0</v>
      </c>
      <c r="R156" s="33">
        <f t="shared" si="87"/>
        <v>0</v>
      </c>
      <c r="S156" s="33">
        <f t="shared" si="88"/>
        <v>0</v>
      </c>
      <c r="T156" s="33">
        <f t="shared" si="74"/>
        <v>0</v>
      </c>
      <c r="U156" s="33">
        <f t="shared" si="82"/>
        <v>0</v>
      </c>
      <c r="V156" s="33">
        <f t="shared" si="75"/>
        <v>0</v>
      </c>
      <c r="W156" s="33">
        <v>0</v>
      </c>
      <c r="X156" s="33">
        <f t="shared" si="76"/>
        <v>0</v>
      </c>
      <c r="Y156" s="38">
        <f t="shared" si="77"/>
        <v>0</v>
      </c>
      <c r="AA156" s="71">
        <v>151</v>
      </c>
      <c r="AB156" s="33">
        <f t="shared" si="78"/>
        <v>0</v>
      </c>
      <c r="AC156" s="304">
        <f t="shared" si="71"/>
        <v>0</v>
      </c>
      <c r="AD156" s="100">
        <f t="shared" si="79"/>
        <v>0</v>
      </c>
      <c r="AE156" s="100">
        <f t="shared" si="80"/>
        <v>0</v>
      </c>
      <c r="AF156" s="193">
        <f t="shared" si="89"/>
        <v>0</v>
      </c>
      <c r="AG156" s="193">
        <f t="shared" si="90"/>
        <v>0</v>
      </c>
      <c r="AH156" s="193">
        <f t="shared" si="91"/>
        <v>0</v>
      </c>
      <c r="AI156" s="198">
        <f t="shared" si="92"/>
        <v>0</v>
      </c>
      <c r="AK156" s="71">
        <v>151</v>
      </c>
      <c r="AL156" s="33"/>
      <c r="AM156" s="33"/>
      <c r="AN156" s="33"/>
      <c r="AO156" s="33"/>
      <c r="AP156" s="33"/>
      <c r="AQ156" s="193"/>
      <c r="AR156" s="193"/>
      <c r="AS156" s="193"/>
      <c r="AT156" s="193"/>
      <c r="AU156" s="33"/>
      <c r="AV156" s="33"/>
      <c r="AW156" s="33"/>
      <c r="AX156" s="33"/>
      <c r="AY156" s="76"/>
    </row>
    <row r="157" spans="3:51">
      <c r="C157" s="165" t="s">
        <v>32</v>
      </c>
      <c r="D157" s="4">
        <v>0.56000000000000005</v>
      </c>
      <c r="E157" s="187" t="s">
        <v>228</v>
      </c>
      <c r="F157" s="342">
        <f>IF(OR(Tableau145[[#This Row],[Type]]="Feuillus",Tableau145[[#This Row],[Type]]="Peupliers"),1.56,1.3)</f>
        <v>1.56</v>
      </c>
      <c r="I157" s="55">
        <v>152</v>
      </c>
      <c r="J157" s="33">
        <f t="shared" si="83"/>
        <v>0</v>
      </c>
      <c r="K157" s="33">
        <f t="shared" si="84"/>
        <v>0</v>
      </c>
      <c r="L157" s="33">
        <f t="shared" si="85"/>
        <v>0</v>
      </c>
      <c r="M157" s="33">
        <f t="shared" si="86"/>
        <v>0</v>
      </c>
      <c r="N157" s="33">
        <f t="shared" si="72"/>
        <v>0</v>
      </c>
      <c r="O157" s="34">
        <f t="shared" si="73"/>
        <v>0</v>
      </c>
      <c r="P157" s="55">
        <v>152</v>
      </c>
      <c r="Q157" s="33">
        <f t="shared" si="81"/>
        <v>0</v>
      </c>
      <c r="R157" s="33">
        <f t="shared" si="87"/>
        <v>0</v>
      </c>
      <c r="S157" s="33">
        <f t="shared" si="88"/>
        <v>0</v>
      </c>
      <c r="T157" s="33">
        <f t="shared" si="74"/>
        <v>0</v>
      </c>
      <c r="U157" s="33">
        <f t="shared" si="82"/>
        <v>0</v>
      </c>
      <c r="V157" s="33">
        <f t="shared" si="75"/>
        <v>0</v>
      </c>
      <c r="W157" s="33">
        <v>0</v>
      </c>
      <c r="X157" s="33">
        <f t="shared" si="76"/>
        <v>0</v>
      </c>
      <c r="Y157" s="38">
        <f t="shared" si="77"/>
        <v>0</v>
      </c>
      <c r="AA157" s="71">
        <v>152</v>
      </c>
      <c r="AB157" s="33">
        <f t="shared" si="78"/>
        <v>0</v>
      </c>
      <c r="AC157" s="304">
        <f t="shared" si="71"/>
        <v>0</v>
      </c>
      <c r="AD157" s="100">
        <f t="shared" si="79"/>
        <v>0</v>
      </c>
      <c r="AE157" s="100">
        <f t="shared" si="80"/>
        <v>0</v>
      </c>
      <c r="AF157" s="193">
        <f t="shared" si="89"/>
        <v>0</v>
      </c>
      <c r="AG157" s="193">
        <f t="shared" si="90"/>
        <v>0</v>
      </c>
      <c r="AH157" s="193">
        <f t="shared" si="91"/>
        <v>0</v>
      </c>
      <c r="AI157" s="198">
        <f t="shared" si="92"/>
        <v>0</v>
      </c>
      <c r="AK157" s="71">
        <v>152</v>
      </c>
      <c r="AL157" s="33"/>
      <c r="AM157" s="33"/>
      <c r="AN157" s="33"/>
      <c r="AO157" s="33"/>
      <c r="AP157" s="33"/>
      <c r="AQ157" s="193"/>
      <c r="AR157" s="193"/>
      <c r="AS157" s="193"/>
      <c r="AT157" s="193"/>
      <c r="AU157" s="33"/>
      <c r="AV157" s="33"/>
      <c r="AW157" s="33"/>
      <c r="AX157" s="33"/>
      <c r="AY157" s="76"/>
    </row>
    <row r="158" spans="3:51">
      <c r="C158" s="165" t="s">
        <v>33</v>
      </c>
      <c r="D158" s="4">
        <v>0.48</v>
      </c>
      <c r="E158" s="187" t="s">
        <v>228</v>
      </c>
      <c r="F158" s="342">
        <f>IF(OR(Tableau145[[#This Row],[Type]]="Feuillus",Tableau145[[#This Row],[Type]]="Peupliers"),1.56,1.3)</f>
        <v>1.56</v>
      </c>
      <c r="I158" s="55">
        <v>153</v>
      </c>
      <c r="J158" s="33">
        <f t="shared" si="83"/>
        <v>0</v>
      </c>
      <c r="K158" s="33">
        <f t="shared" si="84"/>
        <v>0</v>
      </c>
      <c r="L158" s="33">
        <f t="shared" si="85"/>
        <v>0</v>
      </c>
      <c r="M158" s="33">
        <f t="shared" si="86"/>
        <v>0</v>
      </c>
      <c r="N158" s="33">
        <f t="shared" si="72"/>
        <v>0</v>
      </c>
      <c r="O158" s="34">
        <f t="shared" si="73"/>
        <v>0</v>
      </c>
      <c r="P158" s="55">
        <v>153</v>
      </c>
      <c r="Q158" s="33">
        <f t="shared" si="81"/>
        <v>0</v>
      </c>
      <c r="R158" s="33">
        <f t="shared" si="87"/>
        <v>0</v>
      </c>
      <c r="S158" s="33">
        <f t="shared" si="88"/>
        <v>0</v>
      </c>
      <c r="T158" s="33">
        <f t="shared" si="74"/>
        <v>0</v>
      </c>
      <c r="U158" s="33">
        <f t="shared" si="82"/>
        <v>0</v>
      </c>
      <c r="V158" s="33">
        <f t="shared" si="75"/>
        <v>0</v>
      </c>
      <c r="W158" s="33">
        <v>0</v>
      </c>
      <c r="X158" s="33">
        <f t="shared" si="76"/>
        <v>0</v>
      </c>
      <c r="Y158" s="38">
        <f t="shared" si="77"/>
        <v>0</v>
      </c>
      <c r="AA158" s="71">
        <v>153</v>
      </c>
      <c r="AB158" s="33">
        <f t="shared" si="78"/>
        <v>0</v>
      </c>
      <c r="AC158" s="304">
        <f t="shared" si="71"/>
        <v>0</v>
      </c>
      <c r="AD158" s="100">
        <f t="shared" si="79"/>
        <v>0</v>
      </c>
      <c r="AE158" s="100">
        <f t="shared" si="80"/>
        <v>0</v>
      </c>
      <c r="AF158" s="193">
        <f t="shared" si="89"/>
        <v>0</v>
      </c>
      <c r="AG158" s="193">
        <f t="shared" si="90"/>
        <v>0</v>
      </c>
      <c r="AH158" s="193">
        <f t="shared" si="91"/>
        <v>0</v>
      </c>
      <c r="AI158" s="198">
        <f t="shared" si="92"/>
        <v>0</v>
      </c>
      <c r="AK158" s="71">
        <v>153</v>
      </c>
      <c r="AL158" s="33"/>
      <c r="AM158" s="33"/>
      <c r="AN158" s="33"/>
      <c r="AO158" s="33"/>
      <c r="AP158" s="33"/>
      <c r="AQ158" s="193"/>
      <c r="AR158" s="193"/>
      <c r="AS158" s="193"/>
      <c r="AT158" s="193"/>
      <c r="AU158" s="33"/>
      <c r="AV158" s="33"/>
      <c r="AW158" s="33"/>
      <c r="AX158" s="33"/>
      <c r="AY158" s="76"/>
    </row>
    <row r="159" spans="3:51">
      <c r="C159" s="165" t="s">
        <v>34</v>
      </c>
      <c r="D159" s="4">
        <v>0.55000000000000004</v>
      </c>
      <c r="E159" s="187" t="s">
        <v>228</v>
      </c>
      <c r="F159" s="342">
        <f>IF(OR(Tableau145[[#This Row],[Type]]="Feuillus",Tableau145[[#This Row],[Type]]="Peupliers"),1.56,1.3)</f>
        <v>1.56</v>
      </c>
      <c r="I159" s="55">
        <v>154</v>
      </c>
      <c r="J159" s="33">
        <f t="shared" si="83"/>
        <v>0</v>
      </c>
      <c r="K159" s="33">
        <f t="shared" si="84"/>
        <v>0</v>
      </c>
      <c r="L159" s="33">
        <f t="shared" si="85"/>
        <v>0</v>
      </c>
      <c r="M159" s="33">
        <f t="shared" si="86"/>
        <v>0</v>
      </c>
      <c r="N159" s="33">
        <f t="shared" si="72"/>
        <v>0</v>
      </c>
      <c r="O159" s="34">
        <f t="shared" si="73"/>
        <v>0</v>
      </c>
      <c r="P159" s="55">
        <v>154</v>
      </c>
      <c r="Q159" s="33">
        <f t="shared" si="81"/>
        <v>0</v>
      </c>
      <c r="R159" s="33">
        <f t="shared" si="87"/>
        <v>0</v>
      </c>
      <c r="S159" s="33">
        <f t="shared" si="88"/>
        <v>0</v>
      </c>
      <c r="T159" s="33">
        <f t="shared" si="74"/>
        <v>0</v>
      </c>
      <c r="U159" s="33">
        <f t="shared" si="82"/>
        <v>0</v>
      </c>
      <c r="V159" s="33">
        <f t="shared" si="75"/>
        <v>0</v>
      </c>
      <c r="W159" s="33">
        <v>0</v>
      </c>
      <c r="X159" s="33">
        <f t="shared" si="76"/>
        <v>0</v>
      </c>
      <c r="Y159" s="38">
        <f t="shared" si="77"/>
        <v>0</v>
      </c>
      <c r="AA159" s="71">
        <v>154</v>
      </c>
      <c r="AB159" s="33">
        <f t="shared" si="78"/>
        <v>0</v>
      </c>
      <c r="AC159" s="304">
        <f t="shared" ref="AC159:AC205" si="93">IF(AA159&lt;=$F$18,IFERROR(VLOOKUP($AA159,$B$82:$G$94,3,FALSE),0),)*50%</f>
        <v>0</v>
      </c>
      <c r="AD159" s="100">
        <f t="shared" si="79"/>
        <v>0</v>
      </c>
      <c r="AE159" s="100">
        <f t="shared" si="80"/>
        <v>0</v>
      </c>
      <c r="AF159" s="193">
        <f t="shared" si="89"/>
        <v>0</v>
      </c>
      <c r="AG159" s="193">
        <f t="shared" si="90"/>
        <v>0</v>
      </c>
      <c r="AH159" s="193">
        <f t="shared" si="91"/>
        <v>0</v>
      </c>
      <c r="AI159" s="198">
        <f t="shared" si="92"/>
        <v>0</v>
      </c>
      <c r="AK159" s="71">
        <v>154</v>
      </c>
      <c r="AL159" s="33"/>
      <c r="AM159" s="33"/>
      <c r="AN159" s="33"/>
      <c r="AO159" s="33"/>
      <c r="AP159" s="33"/>
      <c r="AQ159" s="193"/>
      <c r="AR159" s="193"/>
      <c r="AS159" s="193"/>
      <c r="AT159" s="193"/>
      <c r="AU159" s="33"/>
      <c r="AV159" s="33"/>
      <c r="AW159" s="33"/>
      <c r="AX159" s="33"/>
      <c r="AY159" s="76"/>
    </row>
    <row r="160" spans="3:51">
      <c r="C160" s="165" t="s">
        <v>35</v>
      </c>
      <c r="D160" s="4">
        <v>0.56000000000000005</v>
      </c>
      <c r="E160" s="187" t="s">
        <v>228</v>
      </c>
      <c r="F160" s="342">
        <f>IF(OR(Tableau145[[#This Row],[Type]]="Feuillus",Tableau145[[#This Row],[Type]]="Peupliers"),1.56,1.3)</f>
        <v>1.56</v>
      </c>
      <c r="I160" s="55">
        <v>155</v>
      </c>
      <c r="J160" s="33">
        <f t="shared" si="83"/>
        <v>0</v>
      </c>
      <c r="K160" s="33">
        <f t="shared" si="84"/>
        <v>0</v>
      </c>
      <c r="L160" s="33">
        <f t="shared" si="85"/>
        <v>0</v>
      </c>
      <c r="M160" s="33">
        <f t="shared" si="86"/>
        <v>0</v>
      </c>
      <c r="N160" s="33">
        <f t="shared" si="72"/>
        <v>0</v>
      </c>
      <c r="O160" s="34">
        <f t="shared" si="73"/>
        <v>0</v>
      </c>
      <c r="P160" s="55">
        <v>155</v>
      </c>
      <c r="Q160" s="33">
        <f t="shared" si="81"/>
        <v>0</v>
      </c>
      <c r="R160" s="33">
        <f t="shared" si="87"/>
        <v>0</v>
      </c>
      <c r="S160" s="33">
        <f t="shared" si="88"/>
        <v>0</v>
      </c>
      <c r="T160" s="33">
        <f t="shared" si="74"/>
        <v>0</v>
      </c>
      <c r="U160" s="33">
        <f t="shared" si="82"/>
        <v>0</v>
      </c>
      <c r="V160" s="33">
        <f t="shared" si="75"/>
        <v>0</v>
      </c>
      <c r="W160" s="33">
        <v>0</v>
      </c>
      <c r="X160" s="33">
        <f t="shared" si="76"/>
        <v>0</v>
      </c>
      <c r="Y160" s="38">
        <f t="shared" si="77"/>
        <v>0</v>
      </c>
      <c r="AA160" s="71">
        <v>155</v>
      </c>
      <c r="AB160" s="33">
        <f t="shared" si="78"/>
        <v>0</v>
      </c>
      <c r="AC160" s="304">
        <f t="shared" si="93"/>
        <v>0</v>
      </c>
      <c r="AD160" s="100">
        <f t="shared" si="79"/>
        <v>0</v>
      </c>
      <c r="AE160" s="100">
        <f t="shared" si="80"/>
        <v>0</v>
      </c>
      <c r="AF160" s="193">
        <f t="shared" si="89"/>
        <v>0</v>
      </c>
      <c r="AG160" s="193">
        <f t="shared" si="90"/>
        <v>0</v>
      </c>
      <c r="AH160" s="193">
        <f t="shared" si="91"/>
        <v>0</v>
      </c>
      <c r="AI160" s="198">
        <f t="shared" si="92"/>
        <v>0</v>
      </c>
      <c r="AK160" s="71">
        <v>155</v>
      </c>
      <c r="AL160" s="33"/>
      <c r="AM160" s="33"/>
      <c r="AN160" s="33"/>
      <c r="AO160" s="33"/>
      <c r="AP160" s="33"/>
      <c r="AQ160" s="193"/>
      <c r="AR160" s="193"/>
      <c r="AS160" s="193"/>
      <c r="AT160" s="193"/>
      <c r="AU160" s="33"/>
      <c r="AV160" s="33"/>
      <c r="AW160" s="33"/>
      <c r="AX160" s="33"/>
      <c r="AY160" s="76"/>
    </row>
    <row r="161" spans="3:51">
      <c r="C161" s="165" t="s">
        <v>36</v>
      </c>
      <c r="D161" s="4">
        <v>0.57999999999999996</v>
      </c>
      <c r="E161" s="187" t="s">
        <v>228</v>
      </c>
      <c r="F161" s="342">
        <f>IF(OR(Tableau145[[#This Row],[Type]]="Feuillus",Tableau145[[#This Row],[Type]]="Peupliers"),1.56,1.3)</f>
        <v>1.56</v>
      </c>
      <c r="I161" s="55">
        <v>156</v>
      </c>
      <c r="J161" s="33">
        <f t="shared" si="83"/>
        <v>0</v>
      </c>
      <c r="K161" s="33">
        <f t="shared" si="84"/>
        <v>0</v>
      </c>
      <c r="L161" s="33">
        <f t="shared" si="85"/>
        <v>0</v>
      </c>
      <c r="M161" s="33">
        <f t="shared" si="86"/>
        <v>0</v>
      </c>
      <c r="N161" s="33">
        <f t="shared" si="72"/>
        <v>0</v>
      </c>
      <c r="O161" s="34">
        <f t="shared" si="73"/>
        <v>0</v>
      </c>
      <c r="P161" s="55">
        <v>156</v>
      </c>
      <c r="Q161" s="33">
        <f t="shared" si="81"/>
        <v>0</v>
      </c>
      <c r="R161" s="33">
        <f t="shared" si="87"/>
        <v>0</v>
      </c>
      <c r="S161" s="33">
        <f t="shared" si="88"/>
        <v>0</v>
      </c>
      <c r="T161" s="33">
        <f t="shared" si="74"/>
        <v>0</v>
      </c>
      <c r="U161" s="33">
        <f t="shared" si="82"/>
        <v>0</v>
      </c>
      <c r="V161" s="33">
        <f t="shared" si="75"/>
        <v>0</v>
      </c>
      <c r="W161" s="33">
        <v>0</v>
      </c>
      <c r="X161" s="33">
        <f t="shared" si="76"/>
        <v>0</v>
      </c>
      <c r="Y161" s="38">
        <f t="shared" si="77"/>
        <v>0</v>
      </c>
      <c r="AA161" s="71">
        <v>156</v>
      </c>
      <c r="AB161" s="33">
        <f t="shared" si="78"/>
        <v>0</v>
      </c>
      <c r="AC161" s="304">
        <f t="shared" si="93"/>
        <v>0</v>
      </c>
      <c r="AD161" s="100">
        <f t="shared" si="79"/>
        <v>0</v>
      </c>
      <c r="AE161" s="100">
        <f t="shared" si="80"/>
        <v>0</v>
      </c>
      <c r="AF161" s="193">
        <f t="shared" si="89"/>
        <v>0</v>
      </c>
      <c r="AG161" s="193">
        <f t="shared" si="90"/>
        <v>0</v>
      </c>
      <c r="AH161" s="193">
        <f t="shared" si="91"/>
        <v>0</v>
      </c>
      <c r="AI161" s="198">
        <f t="shared" si="92"/>
        <v>0</v>
      </c>
      <c r="AK161" s="71">
        <v>156</v>
      </c>
      <c r="AL161" s="33"/>
      <c r="AM161" s="33"/>
      <c r="AN161" s="33"/>
      <c r="AO161" s="33"/>
      <c r="AP161" s="33"/>
      <c r="AQ161" s="193"/>
      <c r="AR161" s="193"/>
      <c r="AS161" s="193"/>
      <c r="AT161" s="193"/>
      <c r="AU161" s="33"/>
      <c r="AV161" s="33"/>
      <c r="AW161" s="33"/>
      <c r="AX161" s="33"/>
      <c r="AY161" s="76"/>
    </row>
    <row r="162" spans="3:51">
      <c r="C162" s="165" t="s">
        <v>37</v>
      </c>
      <c r="D162" s="4">
        <v>0.57999999999999996</v>
      </c>
      <c r="E162" s="187" t="s">
        <v>229</v>
      </c>
      <c r="F162" s="342">
        <f>IF(OR(Tableau145[[#This Row],[Type]]="Feuillus",Tableau145[[#This Row],[Type]]="Peupliers"),1.56,1.3)</f>
        <v>1.3</v>
      </c>
      <c r="I162" s="55">
        <v>157</v>
      </c>
      <c r="J162" s="33">
        <f t="shared" si="83"/>
        <v>0</v>
      </c>
      <c r="K162" s="33">
        <f t="shared" si="84"/>
        <v>0</v>
      </c>
      <c r="L162" s="33">
        <f t="shared" si="85"/>
        <v>0</v>
      </c>
      <c r="M162" s="33">
        <f t="shared" si="86"/>
        <v>0</v>
      </c>
      <c r="N162" s="33">
        <f t="shared" si="72"/>
        <v>0</v>
      </c>
      <c r="O162" s="34">
        <f t="shared" si="73"/>
        <v>0</v>
      </c>
      <c r="P162" s="55">
        <v>157</v>
      </c>
      <c r="Q162" s="33">
        <f t="shared" si="81"/>
        <v>0</v>
      </c>
      <c r="R162" s="33">
        <f t="shared" si="87"/>
        <v>0</v>
      </c>
      <c r="S162" s="33">
        <f t="shared" si="88"/>
        <v>0</v>
      </c>
      <c r="T162" s="33">
        <f t="shared" si="74"/>
        <v>0</v>
      </c>
      <c r="U162" s="33">
        <f t="shared" si="82"/>
        <v>0</v>
      </c>
      <c r="V162" s="33">
        <f t="shared" si="75"/>
        <v>0</v>
      </c>
      <c r="W162" s="33">
        <v>0</v>
      </c>
      <c r="X162" s="33">
        <f t="shared" si="76"/>
        <v>0</v>
      </c>
      <c r="Y162" s="38">
        <f t="shared" si="77"/>
        <v>0</v>
      </c>
      <c r="AA162" s="71">
        <v>157</v>
      </c>
      <c r="AB162" s="33">
        <f t="shared" si="78"/>
        <v>0</v>
      </c>
      <c r="AC162" s="304">
        <f t="shared" si="93"/>
        <v>0</v>
      </c>
      <c r="AD162" s="100">
        <f t="shared" si="79"/>
        <v>0</v>
      </c>
      <c r="AE162" s="100">
        <f t="shared" si="80"/>
        <v>0</v>
      </c>
      <c r="AF162" s="193">
        <f t="shared" si="89"/>
        <v>0</v>
      </c>
      <c r="AG162" s="193">
        <f t="shared" si="90"/>
        <v>0</v>
      </c>
      <c r="AH162" s="193">
        <f t="shared" si="91"/>
        <v>0</v>
      </c>
      <c r="AI162" s="198">
        <f t="shared" si="92"/>
        <v>0</v>
      </c>
      <c r="AK162" s="71">
        <v>157</v>
      </c>
      <c r="AL162" s="33"/>
      <c r="AM162" s="33"/>
      <c r="AN162" s="33"/>
      <c r="AO162" s="33"/>
      <c r="AP162" s="33"/>
      <c r="AQ162" s="193"/>
      <c r="AR162" s="193"/>
      <c r="AS162" s="193"/>
      <c r="AT162" s="193"/>
      <c r="AU162" s="33"/>
      <c r="AV162" s="33"/>
      <c r="AW162" s="33"/>
      <c r="AX162" s="33"/>
      <c r="AY162" s="76"/>
    </row>
    <row r="163" spans="3:51">
      <c r="C163" s="165" t="s">
        <v>38</v>
      </c>
      <c r="D163" s="4">
        <v>0.48</v>
      </c>
      <c r="E163" s="187" t="s">
        <v>229</v>
      </c>
      <c r="F163" s="342">
        <f>IF(OR(Tableau145[[#This Row],[Type]]="Feuillus",Tableau145[[#This Row],[Type]]="Peupliers"),1.56,1.3)</f>
        <v>1.3</v>
      </c>
      <c r="I163" s="55">
        <v>158</v>
      </c>
      <c r="J163" s="33">
        <f t="shared" si="83"/>
        <v>0</v>
      </c>
      <c r="K163" s="33">
        <f t="shared" si="84"/>
        <v>0</v>
      </c>
      <c r="L163" s="33">
        <f t="shared" si="85"/>
        <v>0</v>
      </c>
      <c r="M163" s="33">
        <f t="shared" si="86"/>
        <v>0</v>
      </c>
      <c r="N163" s="33">
        <f t="shared" si="72"/>
        <v>0</v>
      </c>
      <c r="O163" s="34">
        <f t="shared" si="73"/>
        <v>0</v>
      </c>
      <c r="P163" s="55">
        <v>158</v>
      </c>
      <c r="Q163" s="33">
        <f t="shared" si="81"/>
        <v>0</v>
      </c>
      <c r="R163" s="33">
        <f t="shared" si="87"/>
        <v>0</v>
      </c>
      <c r="S163" s="33">
        <f t="shared" si="88"/>
        <v>0</v>
      </c>
      <c r="T163" s="33">
        <f t="shared" si="74"/>
        <v>0</v>
      </c>
      <c r="U163" s="33">
        <f t="shared" si="82"/>
        <v>0</v>
      </c>
      <c r="V163" s="33">
        <f t="shared" si="75"/>
        <v>0</v>
      </c>
      <c r="W163" s="33">
        <v>0</v>
      </c>
      <c r="X163" s="33">
        <f t="shared" si="76"/>
        <v>0</v>
      </c>
      <c r="Y163" s="38">
        <f t="shared" si="77"/>
        <v>0</v>
      </c>
      <c r="AA163" s="71">
        <v>158</v>
      </c>
      <c r="AB163" s="33">
        <f t="shared" si="78"/>
        <v>0</v>
      </c>
      <c r="AC163" s="304">
        <f t="shared" si="93"/>
        <v>0</v>
      </c>
      <c r="AD163" s="100">
        <f t="shared" si="79"/>
        <v>0</v>
      </c>
      <c r="AE163" s="100">
        <f t="shared" si="80"/>
        <v>0</v>
      </c>
      <c r="AF163" s="193">
        <f t="shared" si="89"/>
        <v>0</v>
      </c>
      <c r="AG163" s="193">
        <f t="shared" si="90"/>
        <v>0</v>
      </c>
      <c r="AH163" s="193">
        <f t="shared" si="91"/>
        <v>0</v>
      </c>
      <c r="AI163" s="198">
        <f t="shared" si="92"/>
        <v>0</v>
      </c>
      <c r="AK163" s="71">
        <v>158</v>
      </c>
      <c r="AL163" s="33"/>
      <c r="AM163" s="33"/>
      <c r="AN163" s="33"/>
      <c r="AO163" s="33"/>
      <c r="AP163" s="33"/>
      <c r="AQ163" s="193"/>
      <c r="AR163" s="193"/>
      <c r="AS163" s="193"/>
      <c r="AT163" s="193"/>
      <c r="AU163" s="33"/>
      <c r="AV163" s="33"/>
      <c r="AW163" s="33"/>
      <c r="AX163" s="33"/>
      <c r="AY163" s="76"/>
    </row>
    <row r="164" spans="3:51">
      <c r="C164" s="165" t="s">
        <v>39</v>
      </c>
      <c r="D164" s="4">
        <v>0.42</v>
      </c>
      <c r="E164" s="187" t="s">
        <v>229</v>
      </c>
      <c r="F164" s="342">
        <f>IF(OR(Tableau145[[#This Row],[Type]]="Feuillus",Tableau145[[#This Row],[Type]]="Peupliers"),1.56,1.3)</f>
        <v>1.3</v>
      </c>
      <c r="I164" s="55">
        <v>159</v>
      </c>
      <c r="J164" s="33">
        <f t="shared" si="83"/>
        <v>0</v>
      </c>
      <c r="K164" s="33">
        <f t="shared" si="84"/>
        <v>0</v>
      </c>
      <c r="L164" s="33">
        <f t="shared" si="85"/>
        <v>0</v>
      </c>
      <c r="M164" s="33">
        <f t="shared" si="86"/>
        <v>0</v>
      </c>
      <c r="N164" s="33">
        <f t="shared" si="72"/>
        <v>0</v>
      </c>
      <c r="O164" s="34">
        <f t="shared" si="73"/>
        <v>0</v>
      </c>
      <c r="P164" s="55">
        <v>159</v>
      </c>
      <c r="Q164" s="33">
        <f t="shared" si="81"/>
        <v>0</v>
      </c>
      <c r="R164" s="33">
        <f t="shared" si="87"/>
        <v>0</v>
      </c>
      <c r="S164" s="33">
        <f t="shared" si="88"/>
        <v>0</v>
      </c>
      <c r="T164" s="33">
        <f t="shared" si="74"/>
        <v>0</v>
      </c>
      <c r="U164" s="33">
        <f t="shared" si="82"/>
        <v>0</v>
      </c>
      <c r="V164" s="33">
        <f t="shared" si="75"/>
        <v>0</v>
      </c>
      <c r="W164" s="33">
        <v>0</v>
      </c>
      <c r="X164" s="33">
        <f t="shared" si="76"/>
        <v>0</v>
      </c>
      <c r="Y164" s="38">
        <f t="shared" si="77"/>
        <v>0</v>
      </c>
      <c r="AA164" s="71">
        <v>159</v>
      </c>
      <c r="AB164" s="33">
        <f t="shared" si="78"/>
        <v>0</v>
      </c>
      <c r="AC164" s="304">
        <f t="shared" si="93"/>
        <v>0</v>
      </c>
      <c r="AD164" s="100">
        <f t="shared" si="79"/>
        <v>0</v>
      </c>
      <c r="AE164" s="100">
        <f t="shared" si="80"/>
        <v>0</v>
      </c>
      <c r="AF164" s="193">
        <f t="shared" si="89"/>
        <v>0</v>
      </c>
      <c r="AG164" s="193">
        <f t="shared" si="90"/>
        <v>0</v>
      </c>
      <c r="AH164" s="193">
        <f t="shared" si="91"/>
        <v>0</v>
      </c>
      <c r="AI164" s="198">
        <f t="shared" si="92"/>
        <v>0</v>
      </c>
      <c r="AK164" s="71">
        <v>159</v>
      </c>
      <c r="AL164" s="33"/>
      <c r="AM164" s="33"/>
      <c r="AN164" s="33"/>
      <c r="AO164" s="33"/>
      <c r="AP164" s="33"/>
      <c r="AQ164" s="193"/>
      <c r="AR164" s="193"/>
      <c r="AS164" s="193"/>
      <c r="AT164" s="193"/>
      <c r="AU164" s="33"/>
      <c r="AV164" s="33"/>
      <c r="AW164" s="33"/>
      <c r="AX164" s="33"/>
      <c r="AY164" s="76"/>
    </row>
    <row r="165" spans="3:51">
      <c r="C165" s="165" t="s">
        <v>40</v>
      </c>
      <c r="D165" s="4">
        <v>0.5</v>
      </c>
      <c r="E165" s="187" t="s">
        <v>228</v>
      </c>
      <c r="F165" s="342">
        <f>IF(OR(Tableau145[[#This Row],[Type]]="Feuillus",Tableau145[[#This Row],[Type]]="Peupliers"),1.56,1.3)</f>
        <v>1.56</v>
      </c>
      <c r="I165" s="55">
        <v>160</v>
      </c>
      <c r="J165" s="33">
        <f t="shared" si="83"/>
        <v>0</v>
      </c>
      <c r="K165" s="33">
        <f t="shared" si="84"/>
        <v>0</v>
      </c>
      <c r="L165" s="33">
        <f t="shared" si="85"/>
        <v>0</v>
      </c>
      <c r="M165" s="33">
        <f t="shared" si="86"/>
        <v>0</v>
      </c>
      <c r="N165" s="33">
        <f t="shared" si="72"/>
        <v>0</v>
      </c>
      <c r="O165" s="34">
        <f t="shared" si="73"/>
        <v>0</v>
      </c>
      <c r="P165" s="55">
        <v>160</v>
      </c>
      <c r="Q165" s="33">
        <f t="shared" si="81"/>
        <v>0</v>
      </c>
      <c r="R165" s="33">
        <f t="shared" si="87"/>
        <v>0</v>
      </c>
      <c r="S165" s="33">
        <f t="shared" si="88"/>
        <v>0</v>
      </c>
      <c r="T165" s="33">
        <f t="shared" si="74"/>
        <v>0</v>
      </c>
      <c r="U165" s="33">
        <f t="shared" si="82"/>
        <v>0</v>
      </c>
      <c r="V165" s="33">
        <f t="shared" si="75"/>
        <v>0</v>
      </c>
      <c r="W165" s="33">
        <v>0</v>
      </c>
      <c r="X165" s="33">
        <f t="shared" si="76"/>
        <v>0</v>
      </c>
      <c r="Y165" s="38">
        <f t="shared" si="77"/>
        <v>0</v>
      </c>
      <c r="AA165" s="71">
        <v>160</v>
      </c>
      <c r="AB165" s="33">
        <f t="shared" si="78"/>
        <v>0</v>
      </c>
      <c r="AC165" s="304">
        <f t="shared" si="93"/>
        <v>0</v>
      </c>
      <c r="AD165" s="100">
        <f t="shared" si="79"/>
        <v>0</v>
      </c>
      <c r="AE165" s="100">
        <f t="shared" si="80"/>
        <v>0</v>
      </c>
      <c r="AF165" s="193">
        <f t="shared" si="89"/>
        <v>0</v>
      </c>
      <c r="AG165" s="193">
        <f t="shared" si="90"/>
        <v>0</v>
      </c>
      <c r="AH165" s="193">
        <f t="shared" si="91"/>
        <v>0</v>
      </c>
      <c r="AI165" s="198">
        <f t="shared" si="92"/>
        <v>0</v>
      </c>
      <c r="AK165" s="71">
        <v>160</v>
      </c>
      <c r="AL165" s="33"/>
      <c r="AM165" s="33"/>
      <c r="AN165" s="33"/>
      <c r="AO165" s="33"/>
      <c r="AP165" s="33"/>
      <c r="AQ165" s="193"/>
      <c r="AR165" s="193"/>
      <c r="AS165" s="193"/>
      <c r="AT165" s="193"/>
      <c r="AU165" s="33"/>
      <c r="AV165" s="33"/>
      <c r="AW165" s="33"/>
      <c r="AX165" s="33"/>
      <c r="AY165" s="76"/>
    </row>
    <row r="166" spans="3:51">
      <c r="C166" s="165" t="s">
        <v>41</v>
      </c>
      <c r="D166" s="4">
        <v>0.55000000000000004</v>
      </c>
      <c r="E166" s="187" t="s">
        <v>228</v>
      </c>
      <c r="F166" s="342">
        <f>IF(OR(Tableau145[[#This Row],[Type]]="Feuillus",Tableau145[[#This Row],[Type]]="Peupliers"),1.56,1.3)</f>
        <v>1.56</v>
      </c>
      <c r="I166" s="55">
        <v>161</v>
      </c>
      <c r="J166" s="33">
        <f t="shared" si="83"/>
        <v>0</v>
      </c>
      <c r="K166" s="33">
        <f t="shared" si="84"/>
        <v>0</v>
      </c>
      <c r="L166" s="33">
        <f t="shared" si="85"/>
        <v>0</v>
      </c>
      <c r="M166" s="33">
        <f t="shared" si="86"/>
        <v>0</v>
      </c>
      <c r="N166" s="33">
        <f t="shared" si="72"/>
        <v>0</v>
      </c>
      <c r="O166" s="34">
        <f t="shared" si="73"/>
        <v>0</v>
      </c>
      <c r="P166" s="55">
        <v>161</v>
      </c>
      <c r="Q166" s="33">
        <f t="shared" si="81"/>
        <v>0</v>
      </c>
      <c r="R166" s="33">
        <f t="shared" si="87"/>
        <v>0</v>
      </c>
      <c r="S166" s="33">
        <f t="shared" si="88"/>
        <v>0</v>
      </c>
      <c r="T166" s="33">
        <f t="shared" si="74"/>
        <v>0</v>
      </c>
      <c r="U166" s="33">
        <f t="shared" si="82"/>
        <v>0</v>
      </c>
      <c r="V166" s="33">
        <f t="shared" si="75"/>
        <v>0</v>
      </c>
      <c r="W166" s="33">
        <v>0</v>
      </c>
      <c r="X166" s="33">
        <f t="shared" si="76"/>
        <v>0</v>
      </c>
      <c r="Y166" s="38">
        <f t="shared" si="77"/>
        <v>0</v>
      </c>
      <c r="AA166" s="71">
        <v>161</v>
      </c>
      <c r="AB166" s="33">
        <f t="shared" si="78"/>
        <v>0</v>
      </c>
      <c r="AC166" s="304">
        <f t="shared" si="93"/>
        <v>0</v>
      </c>
      <c r="AD166" s="100">
        <f t="shared" si="79"/>
        <v>0</v>
      </c>
      <c r="AE166" s="100">
        <f t="shared" si="80"/>
        <v>0</v>
      </c>
      <c r="AF166" s="193">
        <f t="shared" si="89"/>
        <v>0</v>
      </c>
      <c r="AG166" s="193">
        <f t="shared" si="90"/>
        <v>0</v>
      </c>
      <c r="AH166" s="193">
        <f t="shared" si="91"/>
        <v>0</v>
      </c>
      <c r="AI166" s="198">
        <f t="shared" si="92"/>
        <v>0</v>
      </c>
      <c r="AK166" s="71">
        <v>161</v>
      </c>
      <c r="AL166" s="33"/>
      <c r="AM166" s="33"/>
      <c r="AN166" s="33"/>
      <c r="AO166" s="33"/>
      <c r="AP166" s="33"/>
      <c r="AQ166" s="193"/>
      <c r="AR166" s="193"/>
      <c r="AS166" s="193"/>
      <c r="AT166" s="193"/>
      <c r="AU166" s="33"/>
      <c r="AV166" s="33"/>
      <c r="AW166" s="33"/>
      <c r="AX166" s="33"/>
      <c r="AY166" s="76"/>
    </row>
    <row r="167" spans="3:51">
      <c r="C167" s="165" t="s">
        <v>42</v>
      </c>
      <c r="D167" s="4">
        <v>0.53</v>
      </c>
      <c r="E167" s="187" t="s">
        <v>228</v>
      </c>
      <c r="F167" s="342">
        <f>IF(OR(Tableau145[[#This Row],[Type]]="Feuillus",Tableau145[[#This Row],[Type]]="Peupliers"),1.56,1.3)</f>
        <v>1.56</v>
      </c>
      <c r="I167" s="55">
        <v>162</v>
      </c>
      <c r="J167" s="33">
        <f t="shared" si="83"/>
        <v>0</v>
      </c>
      <c r="K167" s="33">
        <f t="shared" si="84"/>
        <v>0</v>
      </c>
      <c r="L167" s="33">
        <f t="shared" si="85"/>
        <v>0</v>
      </c>
      <c r="M167" s="33">
        <f t="shared" si="86"/>
        <v>0</v>
      </c>
      <c r="N167" s="33">
        <f t="shared" si="72"/>
        <v>0</v>
      </c>
      <c r="O167" s="34">
        <f t="shared" si="73"/>
        <v>0</v>
      </c>
      <c r="P167" s="55">
        <v>162</v>
      </c>
      <c r="Q167" s="33">
        <f t="shared" si="81"/>
        <v>0</v>
      </c>
      <c r="R167" s="33">
        <f t="shared" si="87"/>
        <v>0</v>
      </c>
      <c r="S167" s="33">
        <f t="shared" si="88"/>
        <v>0</v>
      </c>
      <c r="T167" s="33">
        <f t="shared" si="74"/>
        <v>0</v>
      </c>
      <c r="U167" s="33">
        <f t="shared" si="82"/>
        <v>0</v>
      </c>
      <c r="V167" s="33">
        <f t="shared" si="75"/>
        <v>0</v>
      </c>
      <c r="W167" s="33">
        <v>0</v>
      </c>
      <c r="X167" s="33">
        <f t="shared" si="76"/>
        <v>0</v>
      </c>
      <c r="Y167" s="38">
        <f t="shared" si="77"/>
        <v>0</v>
      </c>
      <c r="AA167" s="71">
        <v>162</v>
      </c>
      <c r="AB167" s="33">
        <f t="shared" si="78"/>
        <v>0</v>
      </c>
      <c r="AC167" s="304">
        <f t="shared" si="93"/>
        <v>0</v>
      </c>
      <c r="AD167" s="100">
        <f t="shared" si="79"/>
        <v>0</v>
      </c>
      <c r="AE167" s="100">
        <f t="shared" si="80"/>
        <v>0</v>
      </c>
      <c r="AF167" s="193">
        <f t="shared" si="89"/>
        <v>0</v>
      </c>
      <c r="AG167" s="193">
        <f t="shared" si="90"/>
        <v>0</v>
      </c>
      <c r="AH167" s="193">
        <f t="shared" si="91"/>
        <v>0</v>
      </c>
      <c r="AI167" s="198">
        <f t="shared" si="92"/>
        <v>0</v>
      </c>
      <c r="AK167" s="71">
        <v>162</v>
      </c>
      <c r="AL167" s="33"/>
      <c r="AM167" s="33"/>
      <c r="AN167" s="33"/>
      <c r="AO167" s="33"/>
      <c r="AP167" s="33"/>
      <c r="AQ167" s="193"/>
      <c r="AR167" s="193"/>
      <c r="AS167" s="193"/>
      <c r="AT167" s="193"/>
      <c r="AU167" s="33"/>
      <c r="AV167" s="33"/>
      <c r="AW167" s="33"/>
      <c r="AX167" s="33"/>
      <c r="AY167" s="76"/>
    </row>
    <row r="168" spans="3:51">
      <c r="C168" s="165" t="s">
        <v>43</v>
      </c>
      <c r="D168" s="4">
        <v>0.52</v>
      </c>
      <c r="E168" s="187" t="s">
        <v>228</v>
      </c>
      <c r="F168" s="342">
        <f>IF(OR(Tableau145[[#This Row],[Type]]="Feuillus",Tableau145[[#This Row],[Type]]="Peupliers"),1.56,1.3)</f>
        <v>1.56</v>
      </c>
      <c r="I168" s="55">
        <v>163</v>
      </c>
      <c r="J168" s="33">
        <f t="shared" si="83"/>
        <v>0</v>
      </c>
      <c r="K168" s="33">
        <f t="shared" si="84"/>
        <v>0</v>
      </c>
      <c r="L168" s="33">
        <f t="shared" si="85"/>
        <v>0</v>
      </c>
      <c r="M168" s="33">
        <f t="shared" si="86"/>
        <v>0</v>
      </c>
      <c r="N168" s="33">
        <f t="shared" si="72"/>
        <v>0</v>
      </c>
      <c r="O168" s="34">
        <f t="shared" si="73"/>
        <v>0</v>
      </c>
      <c r="P168" s="55">
        <v>163</v>
      </c>
      <c r="Q168" s="33">
        <f t="shared" si="81"/>
        <v>0</v>
      </c>
      <c r="R168" s="33">
        <f t="shared" si="87"/>
        <v>0</v>
      </c>
      <c r="S168" s="33">
        <f t="shared" si="88"/>
        <v>0</v>
      </c>
      <c r="T168" s="33">
        <f t="shared" si="74"/>
        <v>0</v>
      </c>
      <c r="U168" s="33">
        <f t="shared" si="82"/>
        <v>0</v>
      </c>
      <c r="V168" s="33">
        <f t="shared" si="75"/>
        <v>0</v>
      </c>
      <c r="W168" s="33">
        <v>0</v>
      </c>
      <c r="X168" s="33">
        <f t="shared" si="76"/>
        <v>0</v>
      </c>
      <c r="Y168" s="38">
        <f t="shared" si="77"/>
        <v>0</v>
      </c>
      <c r="AA168" s="71">
        <v>163</v>
      </c>
      <c r="AB168" s="33">
        <f t="shared" si="78"/>
        <v>0</v>
      </c>
      <c r="AC168" s="304">
        <f t="shared" si="93"/>
        <v>0</v>
      </c>
      <c r="AD168" s="100">
        <f t="shared" si="79"/>
        <v>0</v>
      </c>
      <c r="AE168" s="100">
        <f t="shared" si="80"/>
        <v>0</v>
      </c>
      <c r="AF168" s="193">
        <f t="shared" si="89"/>
        <v>0</v>
      </c>
      <c r="AG168" s="193">
        <f t="shared" si="90"/>
        <v>0</v>
      </c>
      <c r="AH168" s="193">
        <f t="shared" si="91"/>
        <v>0</v>
      </c>
      <c r="AI168" s="198">
        <f t="shared" si="92"/>
        <v>0</v>
      </c>
      <c r="AK168" s="71">
        <v>163</v>
      </c>
      <c r="AL168" s="33"/>
      <c r="AM168" s="33"/>
      <c r="AN168" s="33"/>
      <c r="AO168" s="33"/>
      <c r="AP168" s="33"/>
      <c r="AQ168" s="193"/>
      <c r="AR168" s="193"/>
      <c r="AS168" s="193"/>
      <c r="AT168" s="193"/>
      <c r="AU168" s="33"/>
      <c r="AV168" s="33"/>
      <c r="AW168" s="33"/>
      <c r="AX168" s="33"/>
      <c r="AY168" s="76"/>
    </row>
    <row r="169" spans="3:51">
      <c r="C169" s="165" t="s">
        <v>44</v>
      </c>
      <c r="D169" s="4">
        <v>0.52</v>
      </c>
      <c r="E169" s="187" t="s">
        <v>228</v>
      </c>
      <c r="F169" s="342">
        <f>IF(OR(Tableau145[[#This Row],[Type]]="Feuillus",Tableau145[[#This Row],[Type]]="Peupliers"),1.56,1.3)</f>
        <v>1.56</v>
      </c>
      <c r="I169" s="55">
        <v>164</v>
      </c>
      <c r="J169" s="33">
        <f t="shared" si="83"/>
        <v>0</v>
      </c>
      <c r="K169" s="33">
        <f t="shared" si="84"/>
        <v>0</v>
      </c>
      <c r="L169" s="33">
        <f t="shared" si="85"/>
        <v>0</v>
      </c>
      <c r="M169" s="33">
        <f t="shared" si="86"/>
        <v>0</v>
      </c>
      <c r="N169" s="33">
        <f t="shared" si="72"/>
        <v>0</v>
      </c>
      <c r="O169" s="34">
        <f t="shared" si="73"/>
        <v>0</v>
      </c>
      <c r="P169" s="55">
        <v>164</v>
      </c>
      <c r="Q169" s="33">
        <f t="shared" si="81"/>
        <v>0</v>
      </c>
      <c r="R169" s="33">
        <f t="shared" si="87"/>
        <v>0</v>
      </c>
      <c r="S169" s="33">
        <f t="shared" si="88"/>
        <v>0</v>
      </c>
      <c r="T169" s="33">
        <f t="shared" si="74"/>
        <v>0</v>
      </c>
      <c r="U169" s="33">
        <f t="shared" si="82"/>
        <v>0</v>
      </c>
      <c r="V169" s="33">
        <f t="shared" si="75"/>
        <v>0</v>
      </c>
      <c r="W169" s="33">
        <v>0</v>
      </c>
      <c r="X169" s="33">
        <f t="shared" si="76"/>
        <v>0</v>
      </c>
      <c r="Y169" s="38">
        <f t="shared" si="77"/>
        <v>0</v>
      </c>
      <c r="AA169" s="71">
        <v>164</v>
      </c>
      <c r="AB169" s="33">
        <f t="shared" si="78"/>
        <v>0</v>
      </c>
      <c r="AC169" s="304">
        <f t="shared" si="93"/>
        <v>0</v>
      </c>
      <c r="AD169" s="100">
        <f t="shared" si="79"/>
        <v>0</v>
      </c>
      <c r="AE169" s="100">
        <f t="shared" si="80"/>
        <v>0</v>
      </c>
      <c r="AF169" s="193">
        <f t="shared" si="89"/>
        <v>0</v>
      </c>
      <c r="AG169" s="193">
        <f t="shared" si="90"/>
        <v>0</v>
      </c>
      <c r="AH169" s="193">
        <f t="shared" si="91"/>
        <v>0</v>
      </c>
      <c r="AI169" s="198">
        <f t="shared" si="92"/>
        <v>0</v>
      </c>
      <c r="AK169" s="71">
        <v>164</v>
      </c>
      <c r="AL169" s="33"/>
      <c r="AM169" s="33"/>
      <c r="AN169" s="33"/>
      <c r="AO169" s="33"/>
      <c r="AP169" s="33"/>
      <c r="AQ169" s="193"/>
      <c r="AR169" s="193"/>
      <c r="AS169" s="193"/>
      <c r="AT169" s="193"/>
      <c r="AU169" s="33"/>
      <c r="AV169" s="33"/>
      <c r="AW169" s="33"/>
      <c r="AX169" s="33"/>
      <c r="AY169" s="76"/>
    </row>
    <row r="170" spans="3:51">
      <c r="C170" s="165" t="s">
        <v>45</v>
      </c>
      <c r="D170" s="4">
        <v>0.75</v>
      </c>
      <c r="E170" s="187" t="s">
        <v>228</v>
      </c>
      <c r="F170" s="342">
        <f>IF(OR(Tableau145[[#This Row],[Type]]="Feuillus",Tableau145[[#This Row],[Type]]="Peupliers"),1.56,1.3)</f>
        <v>1.56</v>
      </c>
      <c r="I170" s="55">
        <v>165</v>
      </c>
      <c r="J170" s="33">
        <f t="shared" si="83"/>
        <v>0</v>
      </c>
      <c r="K170" s="33">
        <f t="shared" si="84"/>
        <v>0</v>
      </c>
      <c r="L170" s="33">
        <f t="shared" si="85"/>
        <v>0</v>
      </c>
      <c r="M170" s="33">
        <f t="shared" si="86"/>
        <v>0</v>
      </c>
      <c r="N170" s="33">
        <f t="shared" si="72"/>
        <v>0</v>
      </c>
      <c r="O170" s="34">
        <f t="shared" si="73"/>
        <v>0</v>
      </c>
      <c r="P170" s="55">
        <v>165</v>
      </c>
      <c r="Q170" s="33">
        <f t="shared" si="81"/>
        <v>0</v>
      </c>
      <c r="R170" s="33">
        <f t="shared" si="87"/>
        <v>0</v>
      </c>
      <c r="S170" s="33">
        <f t="shared" si="88"/>
        <v>0</v>
      </c>
      <c r="T170" s="33">
        <f t="shared" si="74"/>
        <v>0</v>
      </c>
      <c r="U170" s="33">
        <f t="shared" si="82"/>
        <v>0</v>
      </c>
      <c r="V170" s="33">
        <f t="shared" si="75"/>
        <v>0</v>
      </c>
      <c r="W170" s="33">
        <v>0</v>
      </c>
      <c r="X170" s="33">
        <f t="shared" si="76"/>
        <v>0</v>
      </c>
      <c r="Y170" s="38">
        <f t="shared" si="77"/>
        <v>0</v>
      </c>
      <c r="AA170" s="71">
        <v>165</v>
      </c>
      <c r="AB170" s="33">
        <f t="shared" si="78"/>
        <v>0</v>
      </c>
      <c r="AC170" s="304">
        <f t="shared" si="93"/>
        <v>0</v>
      </c>
      <c r="AD170" s="100">
        <f t="shared" si="79"/>
        <v>0</v>
      </c>
      <c r="AE170" s="100">
        <f t="shared" si="80"/>
        <v>0</v>
      </c>
      <c r="AF170" s="193">
        <f t="shared" si="89"/>
        <v>0</v>
      </c>
      <c r="AG170" s="193">
        <f t="shared" si="90"/>
        <v>0</v>
      </c>
      <c r="AH170" s="193">
        <f t="shared" si="91"/>
        <v>0</v>
      </c>
      <c r="AI170" s="198">
        <f t="shared" si="92"/>
        <v>0</v>
      </c>
      <c r="AK170" s="71">
        <v>165</v>
      </c>
      <c r="AL170" s="33"/>
      <c r="AM170" s="33"/>
      <c r="AN170" s="33"/>
      <c r="AO170" s="33"/>
      <c r="AP170" s="33"/>
      <c r="AQ170" s="193"/>
      <c r="AR170" s="193"/>
      <c r="AS170" s="193"/>
      <c r="AT170" s="193"/>
      <c r="AU170" s="33"/>
      <c r="AV170" s="33"/>
      <c r="AW170" s="33"/>
      <c r="AX170" s="33"/>
      <c r="AY170" s="76"/>
    </row>
    <row r="171" spans="3:51">
      <c r="C171" s="165" t="s">
        <v>46</v>
      </c>
      <c r="D171" s="4">
        <v>0.52</v>
      </c>
      <c r="E171" s="187" t="s">
        <v>228</v>
      </c>
      <c r="F171" s="342">
        <f>IF(OR(Tableau145[[#This Row],[Type]]="Feuillus",Tableau145[[#This Row],[Type]]="Peupliers"),1.56,1.3)</f>
        <v>1.56</v>
      </c>
      <c r="I171" s="55">
        <v>166</v>
      </c>
      <c r="J171" s="33">
        <f t="shared" si="83"/>
        <v>0</v>
      </c>
      <c r="K171" s="33">
        <f t="shared" si="84"/>
        <v>0</v>
      </c>
      <c r="L171" s="33">
        <f t="shared" si="85"/>
        <v>0</v>
      </c>
      <c r="M171" s="33">
        <f t="shared" si="86"/>
        <v>0</v>
      </c>
      <c r="N171" s="33">
        <f t="shared" si="72"/>
        <v>0</v>
      </c>
      <c r="O171" s="34">
        <f t="shared" si="73"/>
        <v>0</v>
      </c>
      <c r="P171" s="55">
        <v>166</v>
      </c>
      <c r="Q171" s="33">
        <f t="shared" si="81"/>
        <v>0</v>
      </c>
      <c r="R171" s="33">
        <f t="shared" si="87"/>
        <v>0</v>
      </c>
      <c r="S171" s="33">
        <f t="shared" si="88"/>
        <v>0</v>
      </c>
      <c r="T171" s="33">
        <f t="shared" si="74"/>
        <v>0</v>
      </c>
      <c r="U171" s="33">
        <f t="shared" si="82"/>
        <v>0</v>
      </c>
      <c r="V171" s="33">
        <f t="shared" si="75"/>
        <v>0</v>
      </c>
      <c r="W171" s="33">
        <v>0</v>
      </c>
      <c r="X171" s="33">
        <f t="shared" si="76"/>
        <v>0</v>
      </c>
      <c r="Y171" s="38">
        <f t="shared" si="77"/>
        <v>0</v>
      </c>
      <c r="AA171" s="71">
        <v>166</v>
      </c>
      <c r="AB171" s="33">
        <f t="shared" si="78"/>
        <v>0</v>
      </c>
      <c r="AC171" s="304">
        <f t="shared" si="93"/>
        <v>0</v>
      </c>
      <c r="AD171" s="100">
        <f t="shared" si="79"/>
        <v>0</v>
      </c>
      <c r="AE171" s="100">
        <f t="shared" si="80"/>
        <v>0</v>
      </c>
      <c r="AF171" s="193">
        <f t="shared" si="89"/>
        <v>0</v>
      </c>
      <c r="AG171" s="193">
        <f t="shared" si="90"/>
        <v>0</v>
      </c>
      <c r="AH171" s="193">
        <f t="shared" si="91"/>
        <v>0</v>
      </c>
      <c r="AI171" s="198">
        <f t="shared" si="92"/>
        <v>0</v>
      </c>
      <c r="AK171" s="71">
        <v>166</v>
      </c>
      <c r="AL171" s="33"/>
      <c r="AM171" s="33"/>
      <c r="AN171" s="33"/>
      <c r="AO171" s="33"/>
      <c r="AP171" s="33"/>
      <c r="AQ171" s="193"/>
      <c r="AR171" s="193"/>
      <c r="AS171" s="193"/>
      <c r="AT171" s="193"/>
      <c r="AU171" s="33"/>
      <c r="AV171" s="33"/>
      <c r="AW171" s="33"/>
      <c r="AX171" s="33"/>
      <c r="AY171" s="76"/>
    </row>
    <row r="172" spans="3:51">
      <c r="C172" s="165" t="s">
        <v>47</v>
      </c>
      <c r="D172" s="4">
        <v>0.35</v>
      </c>
      <c r="E172" s="187" t="s">
        <v>230</v>
      </c>
      <c r="F172" s="342">
        <f>IF(OR(Tableau145[[#This Row],[Type]]="Feuillus",Tableau145[[#This Row],[Type]]="Peupliers"),1.56,1.3)</f>
        <v>1.56</v>
      </c>
      <c r="I172" s="55">
        <v>167</v>
      </c>
      <c r="J172" s="33">
        <f t="shared" si="83"/>
        <v>0</v>
      </c>
      <c r="K172" s="33">
        <f t="shared" si="84"/>
        <v>0</v>
      </c>
      <c r="L172" s="33">
        <f t="shared" si="85"/>
        <v>0</v>
      </c>
      <c r="M172" s="33">
        <f t="shared" si="86"/>
        <v>0</v>
      </c>
      <c r="N172" s="33">
        <f t="shared" si="72"/>
        <v>0</v>
      </c>
      <c r="O172" s="34">
        <f t="shared" si="73"/>
        <v>0</v>
      </c>
      <c r="P172" s="55">
        <v>167</v>
      </c>
      <c r="Q172" s="33">
        <f t="shared" si="81"/>
        <v>0</v>
      </c>
      <c r="R172" s="33">
        <f t="shared" si="87"/>
        <v>0</v>
      </c>
      <c r="S172" s="33">
        <f t="shared" si="88"/>
        <v>0</v>
      </c>
      <c r="T172" s="33">
        <f t="shared" si="74"/>
        <v>0</v>
      </c>
      <c r="U172" s="33">
        <f t="shared" si="82"/>
        <v>0</v>
      </c>
      <c r="V172" s="33">
        <f t="shared" si="75"/>
        <v>0</v>
      </c>
      <c r="W172" s="33">
        <v>0</v>
      </c>
      <c r="X172" s="33">
        <f t="shared" si="76"/>
        <v>0</v>
      </c>
      <c r="Y172" s="38">
        <f t="shared" si="77"/>
        <v>0</v>
      </c>
      <c r="AA172" s="71">
        <v>167</v>
      </c>
      <c r="AB172" s="33">
        <f t="shared" si="78"/>
        <v>0</v>
      </c>
      <c r="AC172" s="304">
        <f t="shared" si="93"/>
        <v>0</v>
      </c>
      <c r="AD172" s="100">
        <f t="shared" si="79"/>
        <v>0</v>
      </c>
      <c r="AE172" s="100">
        <f t="shared" si="80"/>
        <v>0</v>
      </c>
      <c r="AF172" s="193">
        <f t="shared" si="89"/>
        <v>0</v>
      </c>
      <c r="AG172" s="193">
        <f t="shared" si="90"/>
        <v>0</v>
      </c>
      <c r="AH172" s="193">
        <f t="shared" si="91"/>
        <v>0</v>
      </c>
      <c r="AI172" s="198">
        <f t="shared" si="92"/>
        <v>0</v>
      </c>
      <c r="AK172" s="71">
        <v>167</v>
      </c>
      <c r="AL172" s="33"/>
      <c r="AM172" s="33"/>
      <c r="AN172" s="33"/>
      <c r="AO172" s="33"/>
      <c r="AP172" s="33"/>
      <c r="AQ172" s="193"/>
      <c r="AR172" s="193"/>
      <c r="AS172" s="193"/>
      <c r="AT172" s="193"/>
      <c r="AU172" s="33"/>
      <c r="AV172" s="33"/>
      <c r="AW172" s="33"/>
      <c r="AX172" s="33"/>
      <c r="AY172" s="76"/>
    </row>
    <row r="173" spans="3:51">
      <c r="C173" s="165" t="s">
        <v>48</v>
      </c>
      <c r="D173" s="4">
        <v>0.37</v>
      </c>
      <c r="E173" s="187" t="s">
        <v>228</v>
      </c>
      <c r="F173" s="342">
        <f>IF(OR(Tableau145[[#This Row],[Type]]="Feuillus",Tableau145[[#This Row],[Type]]="Peupliers"),1.56,1.3)</f>
        <v>1.56</v>
      </c>
      <c r="I173" s="55">
        <v>168</v>
      </c>
      <c r="J173" s="33">
        <f t="shared" si="83"/>
        <v>0</v>
      </c>
      <c r="K173" s="33">
        <f t="shared" si="84"/>
        <v>0</v>
      </c>
      <c r="L173" s="33">
        <f t="shared" si="85"/>
        <v>0</v>
      </c>
      <c r="M173" s="33">
        <f t="shared" si="86"/>
        <v>0</v>
      </c>
      <c r="N173" s="33">
        <f t="shared" si="72"/>
        <v>0</v>
      </c>
      <c r="O173" s="34">
        <f t="shared" si="73"/>
        <v>0</v>
      </c>
      <c r="P173" s="55">
        <v>168</v>
      </c>
      <c r="Q173" s="33">
        <f t="shared" si="81"/>
        <v>0</v>
      </c>
      <c r="R173" s="33">
        <f t="shared" si="87"/>
        <v>0</v>
      </c>
      <c r="S173" s="33">
        <f t="shared" si="88"/>
        <v>0</v>
      </c>
      <c r="T173" s="33">
        <f t="shared" si="74"/>
        <v>0</v>
      </c>
      <c r="U173" s="33">
        <f t="shared" si="82"/>
        <v>0</v>
      </c>
      <c r="V173" s="33">
        <f t="shared" si="75"/>
        <v>0</v>
      </c>
      <c r="W173" s="33">
        <v>0</v>
      </c>
      <c r="X173" s="33">
        <f t="shared" si="76"/>
        <v>0</v>
      </c>
      <c r="Y173" s="38">
        <f t="shared" si="77"/>
        <v>0</v>
      </c>
      <c r="AA173" s="71">
        <v>168</v>
      </c>
      <c r="AB173" s="33">
        <f t="shared" si="78"/>
        <v>0</v>
      </c>
      <c r="AC173" s="304">
        <f t="shared" si="93"/>
        <v>0</v>
      </c>
      <c r="AD173" s="100">
        <f t="shared" si="79"/>
        <v>0</v>
      </c>
      <c r="AE173" s="100">
        <f t="shared" si="80"/>
        <v>0</v>
      </c>
      <c r="AF173" s="193">
        <f t="shared" si="89"/>
        <v>0</v>
      </c>
      <c r="AG173" s="193">
        <f t="shared" si="90"/>
        <v>0</v>
      </c>
      <c r="AH173" s="193">
        <f t="shared" si="91"/>
        <v>0</v>
      </c>
      <c r="AI173" s="198">
        <f t="shared" si="92"/>
        <v>0</v>
      </c>
      <c r="AK173" s="71">
        <v>168</v>
      </c>
      <c r="AL173" s="33"/>
      <c r="AM173" s="33"/>
      <c r="AN173" s="33"/>
      <c r="AO173" s="33"/>
      <c r="AP173" s="33"/>
      <c r="AQ173" s="193"/>
      <c r="AR173" s="193"/>
      <c r="AS173" s="193"/>
      <c r="AT173" s="193"/>
      <c r="AU173" s="33"/>
      <c r="AV173" s="33"/>
      <c r="AW173" s="33"/>
      <c r="AX173" s="33"/>
      <c r="AY173" s="76"/>
    </row>
    <row r="174" spans="3:51">
      <c r="C174" s="165" t="s">
        <v>49</v>
      </c>
      <c r="D174" s="4">
        <v>0.45</v>
      </c>
      <c r="E174" s="187" t="s">
        <v>229</v>
      </c>
      <c r="F174" s="342">
        <f>IF(OR(Tableau145[[#This Row],[Type]]="Feuillus",Tableau145[[#This Row],[Type]]="Peupliers"),1.56,1.3)</f>
        <v>1.3</v>
      </c>
      <c r="I174" s="55">
        <v>169</v>
      </c>
      <c r="J174" s="33">
        <f t="shared" si="83"/>
        <v>0</v>
      </c>
      <c r="K174" s="33">
        <f t="shared" si="84"/>
        <v>0</v>
      </c>
      <c r="L174" s="33">
        <f t="shared" si="85"/>
        <v>0</v>
      </c>
      <c r="M174" s="33">
        <f t="shared" si="86"/>
        <v>0</v>
      </c>
      <c r="N174" s="33">
        <f t="shared" si="72"/>
        <v>0</v>
      </c>
      <c r="O174" s="34">
        <f t="shared" si="73"/>
        <v>0</v>
      </c>
      <c r="P174" s="55">
        <v>169</v>
      </c>
      <c r="Q174" s="33">
        <f t="shared" si="81"/>
        <v>0</v>
      </c>
      <c r="R174" s="33">
        <f t="shared" si="87"/>
        <v>0</v>
      </c>
      <c r="S174" s="33">
        <f t="shared" si="88"/>
        <v>0</v>
      </c>
      <c r="T174" s="33">
        <f t="shared" si="74"/>
        <v>0</v>
      </c>
      <c r="U174" s="33">
        <f t="shared" si="82"/>
        <v>0</v>
      </c>
      <c r="V174" s="33">
        <f t="shared" si="75"/>
        <v>0</v>
      </c>
      <c r="W174" s="33">
        <v>0</v>
      </c>
      <c r="X174" s="33">
        <f t="shared" si="76"/>
        <v>0</v>
      </c>
      <c r="Y174" s="38">
        <f t="shared" si="77"/>
        <v>0</v>
      </c>
      <c r="AA174" s="71">
        <v>169</v>
      </c>
      <c r="AB174" s="33">
        <f t="shared" si="78"/>
        <v>0</v>
      </c>
      <c r="AC174" s="304">
        <f t="shared" si="93"/>
        <v>0</v>
      </c>
      <c r="AD174" s="100">
        <f t="shared" si="79"/>
        <v>0</v>
      </c>
      <c r="AE174" s="100">
        <f t="shared" si="80"/>
        <v>0</v>
      </c>
      <c r="AF174" s="193">
        <f t="shared" si="89"/>
        <v>0</v>
      </c>
      <c r="AG174" s="193">
        <f t="shared" si="90"/>
        <v>0</v>
      </c>
      <c r="AH174" s="193">
        <f t="shared" si="91"/>
        <v>0</v>
      </c>
      <c r="AI174" s="198">
        <f t="shared" si="92"/>
        <v>0</v>
      </c>
      <c r="AK174" s="71">
        <v>169</v>
      </c>
      <c r="AL174" s="33"/>
      <c r="AM174" s="33"/>
      <c r="AN174" s="33"/>
      <c r="AO174" s="33"/>
      <c r="AP174" s="33"/>
      <c r="AQ174" s="193"/>
      <c r="AR174" s="193"/>
      <c r="AS174" s="193"/>
      <c r="AT174" s="193"/>
      <c r="AU174" s="33"/>
      <c r="AV174" s="33"/>
      <c r="AW174" s="33"/>
      <c r="AX174" s="33"/>
      <c r="AY174" s="76"/>
    </row>
    <row r="175" spans="3:51">
      <c r="C175" s="165" t="s">
        <v>50</v>
      </c>
      <c r="D175" s="4">
        <v>0.39</v>
      </c>
      <c r="E175" s="187" t="s">
        <v>229</v>
      </c>
      <c r="F175" s="342">
        <f>IF(OR(Tableau145[[#This Row],[Type]]="Feuillus",Tableau145[[#This Row],[Type]]="Peupliers"),1.56,1.3)</f>
        <v>1.3</v>
      </c>
      <c r="I175" s="55">
        <v>170</v>
      </c>
      <c r="J175" s="33">
        <f t="shared" si="83"/>
        <v>0</v>
      </c>
      <c r="K175" s="33">
        <f t="shared" si="84"/>
        <v>0</v>
      </c>
      <c r="L175" s="33">
        <f t="shared" si="85"/>
        <v>0</v>
      </c>
      <c r="M175" s="33">
        <f t="shared" si="86"/>
        <v>0</v>
      </c>
      <c r="N175" s="33">
        <f t="shared" si="72"/>
        <v>0</v>
      </c>
      <c r="O175" s="34">
        <f t="shared" si="73"/>
        <v>0</v>
      </c>
      <c r="P175" s="55">
        <v>170</v>
      </c>
      <c r="Q175" s="33">
        <f t="shared" si="81"/>
        <v>0</v>
      </c>
      <c r="R175" s="33">
        <f t="shared" si="87"/>
        <v>0</v>
      </c>
      <c r="S175" s="33">
        <f t="shared" si="88"/>
        <v>0</v>
      </c>
      <c r="T175" s="33">
        <f t="shared" si="74"/>
        <v>0</v>
      </c>
      <c r="U175" s="33">
        <f t="shared" si="82"/>
        <v>0</v>
      </c>
      <c r="V175" s="33">
        <f t="shared" si="75"/>
        <v>0</v>
      </c>
      <c r="W175" s="33">
        <v>0</v>
      </c>
      <c r="X175" s="33">
        <f t="shared" si="76"/>
        <v>0</v>
      </c>
      <c r="Y175" s="38">
        <f t="shared" si="77"/>
        <v>0</v>
      </c>
      <c r="AA175" s="71">
        <v>170</v>
      </c>
      <c r="AB175" s="33">
        <f t="shared" si="78"/>
        <v>0</v>
      </c>
      <c r="AC175" s="304">
        <f t="shared" si="93"/>
        <v>0</v>
      </c>
      <c r="AD175" s="100">
        <f t="shared" si="79"/>
        <v>0</v>
      </c>
      <c r="AE175" s="100">
        <f t="shared" si="80"/>
        <v>0</v>
      </c>
      <c r="AF175" s="193">
        <f t="shared" si="89"/>
        <v>0</v>
      </c>
      <c r="AG175" s="193">
        <f t="shared" si="90"/>
        <v>0</v>
      </c>
      <c r="AH175" s="193">
        <f t="shared" si="91"/>
        <v>0</v>
      </c>
      <c r="AI175" s="198">
        <f t="shared" si="92"/>
        <v>0</v>
      </c>
      <c r="AK175" s="71">
        <v>170</v>
      </c>
      <c r="AL175" s="33"/>
      <c r="AM175" s="33"/>
      <c r="AN175" s="33"/>
      <c r="AO175" s="33"/>
      <c r="AP175" s="33"/>
      <c r="AQ175" s="193"/>
      <c r="AR175" s="193"/>
      <c r="AS175" s="193"/>
      <c r="AT175" s="193"/>
      <c r="AU175" s="33"/>
      <c r="AV175" s="33"/>
      <c r="AW175" s="33"/>
      <c r="AX175" s="33"/>
      <c r="AY175" s="76"/>
    </row>
    <row r="176" spans="3:51">
      <c r="C176" s="165" t="s">
        <v>51</v>
      </c>
      <c r="D176" s="4">
        <v>0.44</v>
      </c>
      <c r="E176" s="187" t="s">
        <v>229</v>
      </c>
      <c r="F176" s="342">
        <f>IF(OR(Tableau145[[#This Row],[Type]]="Feuillus",Tableau145[[#This Row],[Type]]="Peupliers"),1.56,1.3)</f>
        <v>1.3</v>
      </c>
      <c r="I176" s="55">
        <v>171</v>
      </c>
      <c r="J176" s="33">
        <f t="shared" si="83"/>
        <v>0</v>
      </c>
      <c r="K176" s="33">
        <f t="shared" si="84"/>
        <v>0</v>
      </c>
      <c r="L176" s="33">
        <f t="shared" si="85"/>
        <v>0</v>
      </c>
      <c r="M176" s="33">
        <f t="shared" si="86"/>
        <v>0</v>
      </c>
      <c r="N176" s="33">
        <f t="shared" si="72"/>
        <v>0</v>
      </c>
      <c r="O176" s="34">
        <f t="shared" si="73"/>
        <v>0</v>
      </c>
      <c r="P176" s="55">
        <v>171</v>
      </c>
      <c r="Q176" s="33">
        <f t="shared" si="81"/>
        <v>0</v>
      </c>
      <c r="R176" s="33">
        <f t="shared" si="87"/>
        <v>0</v>
      </c>
      <c r="S176" s="33">
        <f t="shared" si="88"/>
        <v>0</v>
      </c>
      <c r="T176" s="33">
        <f t="shared" si="74"/>
        <v>0</v>
      </c>
      <c r="U176" s="33">
        <f t="shared" si="82"/>
        <v>0</v>
      </c>
      <c r="V176" s="33">
        <f t="shared" si="75"/>
        <v>0</v>
      </c>
      <c r="W176" s="33">
        <v>0</v>
      </c>
      <c r="X176" s="33">
        <f t="shared" si="76"/>
        <v>0</v>
      </c>
      <c r="Y176" s="38">
        <f t="shared" si="77"/>
        <v>0</v>
      </c>
      <c r="AA176" s="71">
        <v>171</v>
      </c>
      <c r="AB176" s="33">
        <f t="shared" si="78"/>
        <v>0</v>
      </c>
      <c r="AC176" s="304">
        <f t="shared" si="93"/>
        <v>0</v>
      </c>
      <c r="AD176" s="100">
        <f t="shared" si="79"/>
        <v>0</v>
      </c>
      <c r="AE176" s="100">
        <f t="shared" si="80"/>
        <v>0</v>
      </c>
      <c r="AF176" s="193">
        <f t="shared" si="89"/>
        <v>0</v>
      </c>
      <c r="AG176" s="193">
        <f t="shared" si="90"/>
        <v>0</v>
      </c>
      <c r="AH176" s="193">
        <f t="shared" si="91"/>
        <v>0</v>
      </c>
      <c r="AI176" s="198">
        <f t="shared" si="92"/>
        <v>0</v>
      </c>
      <c r="AK176" s="71">
        <v>171</v>
      </c>
      <c r="AL176" s="33"/>
      <c r="AM176" s="33"/>
      <c r="AN176" s="33"/>
      <c r="AO176" s="33"/>
      <c r="AP176" s="33"/>
      <c r="AQ176" s="193"/>
      <c r="AR176" s="193"/>
      <c r="AS176" s="193"/>
      <c r="AT176" s="193"/>
      <c r="AU176" s="33"/>
      <c r="AV176" s="33"/>
      <c r="AW176" s="33"/>
      <c r="AX176" s="33"/>
      <c r="AY176" s="76"/>
    </row>
    <row r="177" spans="3:51">
      <c r="C177" s="165" t="s">
        <v>52</v>
      </c>
      <c r="D177" s="4">
        <v>0.46</v>
      </c>
      <c r="E177" s="187" t="s">
        <v>229</v>
      </c>
      <c r="F177" s="342">
        <f>IF(OR(Tableau145[[#This Row],[Type]]="Feuillus",Tableau145[[#This Row],[Type]]="Peupliers"),1.56,1.3)</f>
        <v>1.3</v>
      </c>
      <c r="I177" s="55">
        <v>172</v>
      </c>
      <c r="J177" s="33">
        <f t="shared" si="83"/>
        <v>0</v>
      </c>
      <c r="K177" s="33">
        <f t="shared" si="84"/>
        <v>0</v>
      </c>
      <c r="L177" s="33">
        <f t="shared" si="85"/>
        <v>0</v>
      </c>
      <c r="M177" s="33">
        <f t="shared" si="86"/>
        <v>0</v>
      </c>
      <c r="N177" s="33">
        <f t="shared" si="72"/>
        <v>0</v>
      </c>
      <c r="O177" s="34">
        <f t="shared" si="73"/>
        <v>0</v>
      </c>
      <c r="P177" s="55">
        <v>172</v>
      </c>
      <c r="Q177" s="33">
        <f t="shared" si="81"/>
        <v>0</v>
      </c>
      <c r="R177" s="33">
        <f t="shared" si="87"/>
        <v>0</v>
      </c>
      <c r="S177" s="33">
        <f t="shared" si="88"/>
        <v>0</v>
      </c>
      <c r="T177" s="33">
        <f t="shared" si="74"/>
        <v>0</v>
      </c>
      <c r="U177" s="33">
        <f t="shared" si="82"/>
        <v>0</v>
      </c>
      <c r="V177" s="33">
        <f t="shared" si="75"/>
        <v>0</v>
      </c>
      <c r="W177" s="33">
        <v>0</v>
      </c>
      <c r="X177" s="33">
        <f t="shared" si="76"/>
        <v>0</v>
      </c>
      <c r="Y177" s="38">
        <f t="shared" si="77"/>
        <v>0</v>
      </c>
      <c r="AA177" s="71">
        <v>172</v>
      </c>
      <c r="AB177" s="33">
        <f t="shared" si="78"/>
        <v>0</v>
      </c>
      <c r="AC177" s="304">
        <f t="shared" si="93"/>
        <v>0</v>
      </c>
      <c r="AD177" s="100">
        <f t="shared" si="79"/>
        <v>0</v>
      </c>
      <c r="AE177" s="100">
        <f t="shared" si="80"/>
        <v>0</v>
      </c>
      <c r="AF177" s="193">
        <f t="shared" si="89"/>
        <v>0</v>
      </c>
      <c r="AG177" s="193">
        <f t="shared" si="90"/>
        <v>0</v>
      </c>
      <c r="AH177" s="193">
        <f t="shared" si="91"/>
        <v>0</v>
      </c>
      <c r="AI177" s="198">
        <f t="shared" si="92"/>
        <v>0</v>
      </c>
      <c r="AK177" s="71">
        <v>172</v>
      </c>
      <c r="AL177" s="33"/>
      <c r="AM177" s="33"/>
      <c r="AN177" s="33"/>
      <c r="AO177" s="33"/>
      <c r="AP177" s="33"/>
      <c r="AQ177" s="193"/>
      <c r="AR177" s="193"/>
      <c r="AS177" s="193"/>
      <c r="AT177" s="193"/>
      <c r="AU177" s="33"/>
      <c r="AV177" s="33"/>
      <c r="AW177" s="33"/>
      <c r="AX177" s="33"/>
      <c r="AY177" s="76"/>
    </row>
    <row r="178" spans="3:51" ht="30">
      <c r="C178" s="165" t="s">
        <v>53</v>
      </c>
      <c r="D178" s="4">
        <v>0.46</v>
      </c>
      <c r="E178" s="187" t="s">
        <v>231</v>
      </c>
      <c r="F178" s="342">
        <f>IF(OR(Tableau145[[#This Row],[Type]]="Feuillus",Tableau145[[#This Row],[Type]]="Peupliers"),1.56,1.3)</f>
        <v>1.3</v>
      </c>
      <c r="I178" s="55">
        <v>173</v>
      </c>
      <c r="J178" s="33">
        <f t="shared" si="83"/>
        <v>0</v>
      </c>
      <c r="K178" s="33">
        <f t="shared" si="84"/>
        <v>0</v>
      </c>
      <c r="L178" s="33">
        <f t="shared" si="85"/>
        <v>0</v>
      </c>
      <c r="M178" s="33">
        <f t="shared" si="86"/>
        <v>0</v>
      </c>
      <c r="N178" s="33">
        <f t="shared" si="72"/>
        <v>0</v>
      </c>
      <c r="O178" s="34">
        <f t="shared" si="73"/>
        <v>0</v>
      </c>
      <c r="P178" s="55">
        <v>173</v>
      </c>
      <c r="Q178" s="33">
        <f t="shared" si="81"/>
        <v>0</v>
      </c>
      <c r="R178" s="33">
        <f t="shared" si="87"/>
        <v>0</v>
      </c>
      <c r="S178" s="33">
        <f t="shared" si="88"/>
        <v>0</v>
      </c>
      <c r="T178" s="33">
        <f t="shared" si="74"/>
        <v>0</v>
      </c>
      <c r="U178" s="33">
        <f t="shared" si="82"/>
        <v>0</v>
      </c>
      <c r="V178" s="33">
        <f t="shared" si="75"/>
        <v>0</v>
      </c>
      <c r="W178" s="33">
        <v>0</v>
      </c>
      <c r="X178" s="33">
        <f t="shared" si="76"/>
        <v>0</v>
      </c>
      <c r="Y178" s="38">
        <f t="shared" si="77"/>
        <v>0</v>
      </c>
      <c r="AA178" s="71">
        <v>173</v>
      </c>
      <c r="AB178" s="33">
        <f t="shared" si="78"/>
        <v>0</v>
      </c>
      <c r="AC178" s="304">
        <f t="shared" si="93"/>
        <v>0</v>
      </c>
      <c r="AD178" s="100">
        <f t="shared" si="79"/>
        <v>0</v>
      </c>
      <c r="AE178" s="100">
        <f t="shared" si="80"/>
        <v>0</v>
      </c>
      <c r="AF178" s="193">
        <f t="shared" si="89"/>
        <v>0</v>
      </c>
      <c r="AG178" s="193">
        <f t="shared" si="90"/>
        <v>0</v>
      </c>
      <c r="AH178" s="193">
        <f t="shared" si="91"/>
        <v>0</v>
      </c>
      <c r="AI178" s="198">
        <f t="shared" si="92"/>
        <v>0</v>
      </c>
      <c r="AK178" s="71">
        <v>173</v>
      </c>
      <c r="AL178" s="33"/>
      <c r="AM178" s="33"/>
      <c r="AN178" s="33"/>
      <c r="AO178" s="33"/>
      <c r="AP178" s="33"/>
      <c r="AQ178" s="193"/>
      <c r="AR178" s="193"/>
      <c r="AS178" s="193"/>
      <c r="AT178" s="193"/>
      <c r="AU178" s="33"/>
      <c r="AV178" s="33"/>
      <c r="AW178" s="33"/>
      <c r="AX178" s="33"/>
      <c r="AY178" s="76"/>
    </row>
    <row r="179" spans="3:51">
      <c r="C179" s="165" t="s">
        <v>54</v>
      </c>
      <c r="D179" s="4">
        <v>0.44</v>
      </c>
      <c r="E179" s="187" t="s">
        <v>229</v>
      </c>
      <c r="F179" s="342">
        <f>IF(OR(Tableau145[[#This Row],[Type]]="Feuillus",Tableau145[[#This Row],[Type]]="Peupliers"),1.56,1.3)</f>
        <v>1.3</v>
      </c>
      <c r="I179" s="55">
        <v>174</v>
      </c>
      <c r="J179" s="33">
        <f t="shared" si="83"/>
        <v>0</v>
      </c>
      <c r="K179" s="33">
        <f t="shared" si="84"/>
        <v>0</v>
      </c>
      <c r="L179" s="33">
        <f t="shared" si="85"/>
        <v>0</v>
      </c>
      <c r="M179" s="33">
        <f t="shared" si="86"/>
        <v>0</v>
      </c>
      <c r="N179" s="33">
        <f t="shared" si="72"/>
        <v>0</v>
      </c>
      <c r="O179" s="34">
        <f t="shared" si="73"/>
        <v>0</v>
      </c>
      <c r="P179" s="55">
        <v>174</v>
      </c>
      <c r="Q179" s="33">
        <f t="shared" si="81"/>
        <v>0</v>
      </c>
      <c r="R179" s="33">
        <f t="shared" si="87"/>
        <v>0</v>
      </c>
      <c r="S179" s="33">
        <f t="shared" si="88"/>
        <v>0</v>
      </c>
      <c r="T179" s="33">
        <f t="shared" si="74"/>
        <v>0</v>
      </c>
      <c r="U179" s="33">
        <f t="shared" si="82"/>
        <v>0</v>
      </c>
      <c r="V179" s="33">
        <f t="shared" si="75"/>
        <v>0</v>
      </c>
      <c r="W179" s="33">
        <v>0</v>
      </c>
      <c r="X179" s="33">
        <f t="shared" si="76"/>
        <v>0</v>
      </c>
      <c r="Y179" s="38">
        <f t="shared" si="77"/>
        <v>0</v>
      </c>
      <c r="AA179" s="71">
        <v>174</v>
      </c>
      <c r="AB179" s="33">
        <f t="shared" si="78"/>
        <v>0</v>
      </c>
      <c r="AC179" s="304">
        <f t="shared" si="93"/>
        <v>0</v>
      </c>
      <c r="AD179" s="100">
        <f t="shared" si="79"/>
        <v>0</v>
      </c>
      <c r="AE179" s="100">
        <f t="shared" si="80"/>
        <v>0</v>
      </c>
      <c r="AF179" s="193">
        <f t="shared" si="89"/>
        <v>0</v>
      </c>
      <c r="AG179" s="193">
        <f t="shared" si="90"/>
        <v>0</v>
      </c>
      <c r="AH179" s="193">
        <f t="shared" si="91"/>
        <v>0</v>
      </c>
      <c r="AI179" s="198">
        <f t="shared" si="92"/>
        <v>0</v>
      </c>
      <c r="AK179" s="71">
        <v>174</v>
      </c>
      <c r="AL179" s="33"/>
      <c r="AM179" s="33"/>
      <c r="AN179" s="33"/>
      <c r="AO179" s="33"/>
      <c r="AP179" s="33"/>
      <c r="AQ179" s="193"/>
      <c r="AR179" s="193"/>
      <c r="AS179" s="193"/>
      <c r="AT179" s="193"/>
      <c r="AU179" s="33"/>
      <c r="AV179" s="33"/>
      <c r="AW179" s="33"/>
      <c r="AX179" s="33"/>
      <c r="AY179" s="76"/>
    </row>
    <row r="180" spans="3:51">
      <c r="C180" s="165" t="s">
        <v>55</v>
      </c>
      <c r="D180" s="4">
        <v>0.46</v>
      </c>
      <c r="E180" s="187" t="s">
        <v>229</v>
      </c>
      <c r="F180" s="342">
        <f>IF(OR(Tableau145[[#This Row],[Type]]="Feuillus",Tableau145[[#This Row],[Type]]="Peupliers"),1.56,1.3)</f>
        <v>1.3</v>
      </c>
      <c r="I180" s="55">
        <v>175</v>
      </c>
      <c r="J180" s="33">
        <f t="shared" si="83"/>
        <v>0</v>
      </c>
      <c r="K180" s="33">
        <f t="shared" si="84"/>
        <v>0</v>
      </c>
      <c r="L180" s="33">
        <f t="shared" si="85"/>
        <v>0</v>
      </c>
      <c r="M180" s="33">
        <f t="shared" si="86"/>
        <v>0</v>
      </c>
      <c r="N180" s="33">
        <f t="shared" si="72"/>
        <v>0</v>
      </c>
      <c r="O180" s="34">
        <f t="shared" si="73"/>
        <v>0</v>
      </c>
      <c r="P180" s="55">
        <v>175</v>
      </c>
      <c r="Q180" s="33">
        <f t="shared" si="81"/>
        <v>0</v>
      </c>
      <c r="R180" s="33">
        <f t="shared" si="87"/>
        <v>0</v>
      </c>
      <c r="S180" s="33">
        <f t="shared" si="88"/>
        <v>0</v>
      </c>
      <c r="T180" s="33">
        <f t="shared" si="74"/>
        <v>0</v>
      </c>
      <c r="U180" s="33">
        <f t="shared" si="82"/>
        <v>0</v>
      </c>
      <c r="V180" s="33">
        <f t="shared" si="75"/>
        <v>0</v>
      </c>
      <c r="W180" s="33">
        <v>0</v>
      </c>
      <c r="X180" s="33">
        <f t="shared" si="76"/>
        <v>0</v>
      </c>
      <c r="Y180" s="38">
        <f t="shared" si="77"/>
        <v>0</v>
      </c>
      <c r="AA180" s="71">
        <v>175</v>
      </c>
      <c r="AB180" s="33">
        <f t="shared" si="78"/>
        <v>0</v>
      </c>
      <c r="AC180" s="304">
        <f t="shared" si="93"/>
        <v>0</v>
      </c>
      <c r="AD180" s="100">
        <f t="shared" si="79"/>
        <v>0</v>
      </c>
      <c r="AE180" s="100">
        <f t="shared" si="80"/>
        <v>0</v>
      </c>
      <c r="AF180" s="193">
        <f t="shared" si="89"/>
        <v>0</v>
      </c>
      <c r="AG180" s="193">
        <f t="shared" si="90"/>
        <v>0</v>
      </c>
      <c r="AH180" s="193">
        <f t="shared" si="91"/>
        <v>0</v>
      </c>
      <c r="AI180" s="198">
        <f t="shared" si="92"/>
        <v>0</v>
      </c>
      <c r="AK180" s="71">
        <v>175</v>
      </c>
      <c r="AL180" s="33"/>
      <c r="AM180" s="33"/>
      <c r="AN180" s="33"/>
      <c r="AO180" s="33"/>
      <c r="AP180" s="33"/>
      <c r="AQ180" s="193"/>
      <c r="AR180" s="193"/>
      <c r="AS180" s="193"/>
      <c r="AT180" s="193"/>
      <c r="AU180" s="33"/>
      <c r="AV180" s="33"/>
      <c r="AW180" s="33"/>
      <c r="AX180" s="33"/>
      <c r="AY180" s="76"/>
    </row>
    <row r="181" spans="3:51">
      <c r="C181" s="165" t="s">
        <v>56</v>
      </c>
      <c r="D181" s="4">
        <v>0.48</v>
      </c>
      <c r="E181" s="187" t="s">
        <v>229</v>
      </c>
      <c r="F181" s="342">
        <f>IF(OR(Tableau145[[#This Row],[Type]]="Feuillus",Tableau145[[#This Row],[Type]]="Peupliers"),1.56,1.3)</f>
        <v>1.3</v>
      </c>
      <c r="I181" s="55">
        <v>176</v>
      </c>
      <c r="J181" s="33">
        <f t="shared" si="83"/>
        <v>0</v>
      </c>
      <c r="K181" s="33">
        <f t="shared" si="84"/>
        <v>0</v>
      </c>
      <c r="L181" s="33">
        <f t="shared" si="85"/>
        <v>0</v>
      </c>
      <c r="M181" s="33">
        <f t="shared" si="86"/>
        <v>0</v>
      </c>
      <c r="N181" s="33">
        <f t="shared" si="72"/>
        <v>0</v>
      </c>
      <c r="O181" s="34">
        <f t="shared" si="73"/>
        <v>0</v>
      </c>
      <c r="P181" s="55">
        <v>176</v>
      </c>
      <c r="Q181" s="33">
        <f t="shared" si="81"/>
        <v>0</v>
      </c>
      <c r="R181" s="33">
        <f t="shared" si="87"/>
        <v>0</v>
      </c>
      <c r="S181" s="33">
        <f t="shared" si="88"/>
        <v>0</v>
      </c>
      <c r="T181" s="33">
        <f t="shared" si="74"/>
        <v>0</v>
      </c>
      <c r="U181" s="33">
        <f t="shared" si="82"/>
        <v>0</v>
      </c>
      <c r="V181" s="33">
        <f t="shared" si="75"/>
        <v>0</v>
      </c>
      <c r="W181" s="33">
        <v>0</v>
      </c>
      <c r="X181" s="33">
        <f t="shared" si="76"/>
        <v>0</v>
      </c>
      <c r="Y181" s="38">
        <f t="shared" si="77"/>
        <v>0</v>
      </c>
      <c r="AA181" s="71">
        <v>176</v>
      </c>
      <c r="AB181" s="33">
        <f t="shared" si="78"/>
        <v>0</v>
      </c>
      <c r="AC181" s="304">
        <f t="shared" si="93"/>
        <v>0</v>
      </c>
      <c r="AD181" s="100">
        <f t="shared" si="79"/>
        <v>0</v>
      </c>
      <c r="AE181" s="100">
        <f t="shared" si="80"/>
        <v>0</v>
      </c>
      <c r="AF181" s="193">
        <f t="shared" si="89"/>
        <v>0</v>
      </c>
      <c r="AG181" s="193">
        <f t="shared" si="90"/>
        <v>0</v>
      </c>
      <c r="AH181" s="193">
        <f t="shared" si="91"/>
        <v>0</v>
      </c>
      <c r="AI181" s="198">
        <f t="shared" si="92"/>
        <v>0</v>
      </c>
      <c r="AK181" s="71">
        <v>176</v>
      </c>
      <c r="AL181" s="33"/>
      <c r="AM181" s="33"/>
      <c r="AN181" s="33"/>
      <c r="AO181" s="33"/>
      <c r="AP181" s="33"/>
      <c r="AQ181" s="193"/>
      <c r="AR181" s="193"/>
      <c r="AS181" s="193"/>
      <c r="AT181" s="193"/>
      <c r="AU181" s="33"/>
      <c r="AV181" s="33"/>
      <c r="AW181" s="33"/>
      <c r="AX181" s="33"/>
      <c r="AY181" s="76"/>
    </row>
    <row r="182" spans="3:51">
      <c r="C182" s="165" t="s">
        <v>57</v>
      </c>
      <c r="D182" s="4">
        <v>0.44</v>
      </c>
      <c r="E182" s="187" t="s">
        <v>229</v>
      </c>
      <c r="F182" s="342">
        <f>IF(OR(Tableau145[[#This Row],[Type]]="Feuillus",Tableau145[[#This Row],[Type]]="Peupliers"),1.56,1.3)</f>
        <v>1.3</v>
      </c>
      <c r="I182" s="55">
        <v>177</v>
      </c>
      <c r="J182" s="33">
        <f t="shared" si="83"/>
        <v>0</v>
      </c>
      <c r="K182" s="33">
        <f t="shared" si="84"/>
        <v>0</v>
      </c>
      <c r="L182" s="33">
        <f t="shared" si="85"/>
        <v>0</v>
      </c>
      <c r="M182" s="33">
        <f t="shared" si="86"/>
        <v>0</v>
      </c>
      <c r="N182" s="33">
        <f t="shared" si="72"/>
        <v>0</v>
      </c>
      <c r="O182" s="34">
        <f t="shared" si="73"/>
        <v>0</v>
      </c>
      <c r="P182" s="55">
        <v>177</v>
      </c>
      <c r="Q182" s="33">
        <f t="shared" si="81"/>
        <v>0</v>
      </c>
      <c r="R182" s="33">
        <f t="shared" si="87"/>
        <v>0</v>
      </c>
      <c r="S182" s="33">
        <f t="shared" si="88"/>
        <v>0</v>
      </c>
      <c r="T182" s="33">
        <f t="shared" si="74"/>
        <v>0</v>
      </c>
      <c r="U182" s="33">
        <f t="shared" si="82"/>
        <v>0</v>
      </c>
      <c r="V182" s="33">
        <f t="shared" si="75"/>
        <v>0</v>
      </c>
      <c r="W182" s="33">
        <v>0</v>
      </c>
      <c r="X182" s="33">
        <f t="shared" si="76"/>
        <v>0</v>
      </c>
      <c r="Y182" s="38">
        <f t="shared" si="77"/>
        <v>0</v>
      </c>
      <c r="AA182" s="71">
        <v>177</v>
      </c>
      <c r="AB182" s="33">
        <f t="shared" si="78"/>
        <v>0</v>
      </c>
      <c r="AC182" s="304">
        <f t="shared" si="93"/>
        <v>0</v>
      </c>
      <c r="AD182" s="100">
        <f t="shared" si="79"/>
        <v>0</v>
      </c>
      <c r="AE182" s="100">
        <f t="shared" si="80"/>
        <v>0</v>
      </c>
      <c r="AF182" s="193">
        <f t="shared" si="89"/>
        <v>0</v>
      </c>
      <c r="AG182" s="193">
        <f t="shared" si="90"/>
        <v>0</v>
      </c>
      <c r="AH182" s="193">
        <f t="shared" si="91"/>
        <v>0</v>
      </c>
      <c r="AI182" s="198">
        <f t="shared" si="92"/>
        <v>0</v>
      </c>
      <c r="AK182" s="71">
        <v>177</v>
      </c>
      <c r="AL182" s="33"/>
      <c r="AM182" s="33"/>
      <c r="AN182" s="33"/>
      <c r="AO182" s="33"/>
      <c r="AP182" s="33"/>
      <c r="AQ182" s="193"/>
      <c r="AR182" s="193"/>
      <c r="AS182" s="193"/>
      <c r="AT182" s="193"/>
      <c r="AU182" s="33"/>
      <c r="AV182" s="33"/>
      <c r="AW182" s="33"/>
      <c r="AX182" s="33"/>
      <c r="AY182" s="76"/>
    </row>
    <row r="183" spans="3:51">
      <c r="C183" s="165" t="s">
        <v>58</v>
      </c>
      <c r="D183" s="4">
        <v>0.34</v>
      </c>
      <c r="E183" s="187" t="s">
        <v>229</v>
      </c>
      <c r="F183" s="342">
        <f>IF(OR(Tableau145[[#This Row],[Type]]="Feuillus",Tableau145[[#This Row],[Type]]="Peupliers"),1.56,1.3)</f>
        <v>1.3</v>
      </c>
      <c r="I183" s="55">
        <v>178</v>
      </c>
      <c r="J183" s="33">
        <f t="shared" si="83"/>
        <v>0</v>
      </c>
      <c r="K183" s="33">
        <f t="shared" si="84"/>
        <v>0</v>
      </c>
      <c r="L183" s="33">
        <f t="shared" si="85"/>
        <v>0</v>
      </c>
      <c r="M183" s="33">
        <f t="shared" si="86"/>
        <v>0</v>
      </c>
      <c r="N183" s="33">
        <f t="shared" si="72"/>
        <v>0</v>
      </c>
      <c r="O183" s="34">
        <f t="shared" si="73"/>
        <v>0</v>
      </c>
      <c r="P183" s="55">
        <v>178</v>
      </c>
      <c r="Q183" s="33">
        <f t="shared" si="81"/>
        <v>0</v>
      </c>
      <c r="R183" s="33">
        <f t="shared" si="87"/>
        <v>0</v>
      </c>
      <c r="S183" s="33">
        <f t="shared" si="88"/>
        <v>0</v>
      </c>
      <c r="T183" s="33">
        <f t="shared" si="74"/>
        <v>0</v>
      </c>
      <c r="U183" s="33">
        <f t="shared" si="82"/>
        <v>0</v>
      </c>
      <c r="V183" s="33">
        <f t="shared" si="75"/>
        <v>0</v>
      </c>
      <c r="W183" s="33">
        <v>0</v>
      </c>
      <c r="X183" s="33">
        <f t="shared" si="76"/>
        <v>0</v>
      </c>
      <c r="Y183" s="38">
        <f t="shared" si="77"/>
        <v>0</v>
      </c>
      <c r="AA183" s="71">
        <v>178</v>
      </c>
      <c r="AB183" s="33">
        <f t="shared" si="78"/>
        <v>0</v>
      </c>
      <c r="AC183" s="304">
        <f t="shared" si="93"/>
        <v>0</v>
      </c>
      <c r="AD183" s="100">
        <f t="shared" si="79"/>
        <v>0</v>
      </c>
      <c r="AE183" s="100">
        <f t="shared" si="80"/>
        <v>0</v>
      </c>
      <c r="AF183" s="193">
        <f t="shared" si="89"/>
        <v>0</v>
      </c>
      <c r="AG183" s="193">
        <f t="shared" si="90"/>
        <v>0</v>
      </c>
      <c r="AH183" s="193">
        <f t="shared" si="91"/>
        <v>0</v>
      </c>
      <c r="AI183" s="198">
        <f t="shared" si="92"/>
        <v>0</v>
      </c>
      <c r="AK183" s="71">
        <v>178</v>
      </c>
      <c r="AL183" s="33"/>
      <c r="AM183" s="33"/>
      <c r="AN183" s="33"/>
      <c r="AO183" s="33"/>
      <c r="AP183" s="33"/>
      <c r="AQ183" s="193"/>
      <c r="AR183" s="193"/>
      <c r="AS183" s="193"/>
      <c r="AT183" s="193"/>
      <c r="AU183" s="33"/>
      <c r="AV183" s="33"/>
      <c r="AW183" s="33"/>
      <c r="AX183" s="33"/>
      <c r="AY183" s="76"/>
    </row>
    <row r="184" spans="3:51">
      <c r="C184" s="165" t="s">
        <v>59</v>
      </c>
      <c r="D184" s="4">
        <v>0.5</v>
      </c>
      <c r="E184" s="187" t="s">
        <v>228</v>
      </c>
      <c r="F184" s="342">
        <f>IF(OR(Tableau145[[#This Row],[Type]]="Feuillus",Tableau145[[#This Row],[Type]]="Peupliers"),1.56,1.3)</f>
        <v>1.56</v>
      </c>
      <c r="I184" s="55">
        <v>179</v>
      </c>
      <c r="J184" s="33">
        <f t="shared" si="83"/>
        <v>0</v>
      </c>
      <c r="K184" s="33">
        <f t="shared" si="84"/>
        <v>0</v>
      </c>
      <c r="L184" s="33">
        <f t="shared" si="85"/>
        <v>0</v>
      </c>
      <c r="M184" s="33">
        <f t="shared" si="86"/>
        <v>0</v>
      </c>
      <c r="N184" s="33">
        <f t="shared" si="72"/>
        <v>0</v>
      </c>
      <c r="O184" s="34">
        <f t="shared" si="73"/>
        <v>0</v>
      </c>
      <c r="P184" s="55">
        <v>179</v>
      </c>
      <c r="Q184" s="33">
        <f t="shared" si="81"/>
        <v>0</v>
      </c>
      <c r="R184" s="33">
        <f t="shared" si="87"/>
        <v>0</v>
      </c>
      <c r="S184" s="33">
        <f t="shared" si="88"/>
        <v>0</v>
      </c>
      <c r="T184" s="33">
        <f t="shared" si="74"/>
        <v>0</v>
      </c>
      <c r="U184" s="33">
        <f t="shared" si="82"/>
        <v>0</v>
      </c>
      <c r="V184" s="33">
        <f t="shared" si="75"/>
        <v>0</v>
      </c>
      <c r="W184" s="33">
        <v>0</v>
      </c>
      <c r="X184" s="33">
        <f t="shared" si="76"/>
        <v>0</v>
      </c>
      <c r="Y184" s="38">
        <f t="shared" si="77"/>
        <v>0</v>
      </c>
      <c r="AA184" s="71">
        <v>179</v>
      </c>
      <c r="AB184" s="33">
        <f t="shared" si="78"/>
        <v>0</v>
      </c>
      <c r="AC184" s="304">
        <f t="shared" si="93"/>
        <v>0</v>
      </c>
      <c r="AD184" s="100">
        <f t="shared" si="79"/>
        <v>0</v>
      </c>
      <c r="AE184" s="100">
        <f t="shared" si="80"/>
        <v>0</v>
      </c>
      <c r="AF184" s="193">
        <f t="shared" si="89"/>
        <v>0</v>
      </c>
      <c r="AG184" s="193">
        <f t="shared" si="90"/>
        <v>0</v>
      </c>
      <c r="AH184" s="193">
        <f t="shared" si="91"/>
        <v>0</v>
      </c>
      <c r="AI184" s="198">
        <f t="shared" si="92"/>
        <v>0</v>
      </c>
      <c r="AK184" s="71">
        <v>179</v>
      </c>
      <c r="AL184" s="33"/>
      <c r="AM184" s="33"/>
      <c r="AN184" s="33"/>
      <c r="AO184" s="33"/>
      <c r="AP184" s="33"/>
      <c r="AQ184" s="193"/>
      <c r="AR184" s="193"/>
      <c r="AS184" s="193"/>
      <c r="AT184" s="193"/>
      <c r="AU184" s="33"/>
      <c r="AV184" s="33"/>
      <c r="AW184" s="33"/>
      <c r="AX184" s="33"/>
      <c r="AY184" s="76"/>
    </row>
    <row r="185" spans="3:51">
      <c r="C185" s="165" t="s">
        <v>60</v>
      </c>
      <c r="D185" s="4">
        <v>0.57999999999999996</v>
      </c>
      <c r="E185" s="187" t="s">
        <v>228</v>
      </c>
      <c r="F185" s="342">
        <f>IF(OR(Tableau145[[#This Row],[Type]]="Feuillus",Tableau145[[#This Row],[Type]]="Peupliers"),1.56,1.3)</f>
        <v>1.56</v>
      </c>
      <c r="I185" s="55">
        <v>180</v>
      </c>
      <c r="J185" s="33">
        <f t="shared" si="83"/>
        <v>0</v>
      </c>
      <c r="K185" s="33">
        <f t="shared" si="84"/>
        <v>0</v>
      </c>
      <c r="L185" s="33">
        <f t="shared" si="85"/>
        <v>0</v>
      </c>
      <c r="M185" s="33">
        <f t="shared" si="86"/>
        <v>0</v>
      </c>
      <c r="N185" s="33">
        <f t="shared" si="72"/>
        <v>0</v>
      </c>
      <c r="O185" s="34">
        <f t="shared" si="73"/>
        <v>0</v>
      </c>
      <c r="P185" s="55">
        <v>180</v>
      </c>
      <c r="Q185" s="33">
        <f t="shared" si="81"/>
        <v>0</v>
      </c>
      <c r="R185" s="33">
        <f t="shared" si="87"/>
        <v>0</v>
      </c>
      <c r="S185" s="33">
        <f t="shared" si="88"/>
        <v>0</v>
      </c>
      <c r="T185" s="33">
        <f t="shared" si="74"/>
        <v>0</v>
      </c>
      <c r="U185" s="33">
        <f t="shared" si="82"/>
        <v>0</v>
      </c>
      <c r="V185" s="33">
        <f t="shared" si="75"/>
        <v>0</v>
      </c>
      <c r="W185" s="33">
        <v>0</v>
      </c>
      <c r="X185" s="33">
        <f t="shared" si="76"/>
        <v>0</v>
      </c>
      <c r="Y185" s="38">
        <f t="shared" si="77"/>
        <v>0</v>
      </c>
      <c r="AA185" s="71">
        <v>180</v>
      </c>
      <c r="AB185" s="33">
        <f t="shared" si="78"/>
        <v>0</v>
      </c>
      <c r="AC185" s="304">
        <f t="shared" si="93"/>
        <v>0</v>
      </c>
      <c r="AD185" s="100">
        <f t="shared" si="79"/>
        <v>0</v>
      </c>
      <c r="AE185" s="100">
        <f t="shared" si="80"/>
        <v>0</v>
      </c>
      <c r="AF185" s="193">
        <f t="shared" si="89"/>
        <v>0</v>
      </c>
      <c r="AG185" s="193">
        <f t="shared" si="90"/>
        <v>0</v>
      </c>
      <c r="AH185" s="193">
        <f t="shared" si="91"/>
        <v>0</v>
      </c>
      <c r="AI185" s="198">
        <f t="shared" si="92"/>
        <v>0</v>
      </c>
      <c r="AK185" s="71">
        <v>180</v>
      </c>
      <c r="AL185" s="33"/>
      <c r="AM185" s="33"/>
      <c r="AN185" s="33"/>
      <c r="AO185" s="33"/>
      <c r="AP185" s="33"/>
      <c r="AQ185" s="193"/>
      <c r="AR185" s="193"/>
      <c r="AS185" s="193"/>
      <c r="AT185" s="193"/>
      <c r="AU185" s="33"/>
      <c r="AV185" s="33"/>
      <c r="AW185" s="33"/>
      <c r="AX185" s="33"/>
      <c r="AY185" s="76"/>
    </row>
    <row r="186" spans="3:51">
      <c r="C186" s="165" t="s">
        <v>61</v>
      </c>
      <c r="D186" s="4">
        <v>0.37</v>
      </c>
      <c r="E186" s="187" t="s">
        <v>229</v>
      </c>
      <c r="F186" s="342">
        <f>IF(OR(Tableau145[[#This Row],[Type]]="Feuillus",Tableau145[[#This Row],[Type]]="Peupliers"),1.56,1.3)</f>
        <v>1.3</v>
      </c>
      <c r="I186" s="55">
        <v>181</v>
      </c>
      <c r="J186" s="33">
        <f t="shared" si="83"/>
        <v>0</v>
      </c>
      <c r="K186" s="33">
        <f t="shared" si="84"/>
        <v>0</v>
      </c>
      <c r="L186" s="33">
        <f t="shared" si="85"/>
        <v>0</v>
      </c>
      <c r="M186" s="33">
        <f t="shared" si="86"/>
        <v>0</v>
      </c>
      <c r="N186" s="33">
        <f t="shared" si="72"/>
        <v>0</v>
      </c>
      <c r="O186" s="34">
        <f t="shared" si="73"/>
        <v>0</v>
      </c>
      <c r="P186" s="55">
        <v>181</v>
      </c>
      <c r="Q186" s="33">
        <f t="shared" si="81"/>
        <v>0</v>
      </c>
      <c r="R186" s="33">
        <f t="shared" si="87"/>
        <v>0</v>
      </c>
      <c r="S186" s="33">
        <f t="shared" si="88"/>
        <v>0</v>
      </c>
      <c r="T186" s="33">
        <f t="shared" si="74"/>
        <v>0</v>
      </c>
      <c r="U186" s="33">
        <f t="shared" si="82"/>
        <v>0</v>
      </c>
      <c r="V186" s="33">
        <f t="shared" si="75"/>
        <v>0</v>
      </c>
      <c r="W186" s="33">
        <v>0</v>
      </c>
      <c r="X186" s="33">
        <f t="shared" si="76"/>
        <v>0</v>
      </c>
      <c r="Y186" s="38">
        <f t="shared" si="77"/>
        <v>0</v>
      </c>
      <c r="AA186" s="71">
        <v>181</v>
      </c>
      <c r="AB186" s="33">
        <f t="shared" si="78"/>
        <v>0</v>
      </c>
      <c r="AC186" s="304">
        <f t="shared" si="93"/>
        <v>0</v>
      </c>
      <c r="AD186" s="100">
        <f t="shared" si="79"/>
        <v>0</v>
      </c>
      <c r="AE186" s="100">
        <f t="shared" si="80"/>
        <v>0</v>
      </c>
      <c r="AF186" s="193">
        <f t="shared" si="89"/>
        <v>0</v>
      </c>
      <c r="AG186" s="193">
        <f t="shared" si="90"/>
        <v>0</v>
      </c>
      <c r="AH186" s="193">
        <f t="shared" si="91"/>
        <v>0</v>
      </c>
      <c r="AI186" s="198">
        <f t="shared" si="92"/>
        <v>0</v>
      </c>
      <c r="AK186" s="71">
        <v>181</v>
      </c>
      <c r="AL186" s="33"/>
      <c r="AM186" s="33"/>
      <c r="AN186" s="33"/>
      <c r="AO186" s="33"/>
      <c r="AP186" s="33"/>
      <c r="AQ186" s="193"/>
      <c r="AR186" s="193"/>
      <c r="AS186" s="193"/>
      <c r="AT186" s="193"/>
      <c r="AU186" s="33"/>
      <c r="AV186" s="33"/>
      <c r="AW186" s="33"/>
      <c r="AX186" s="33"/>
      <c r="AY186" s="76"/>
    </row>
    <row r="187" spans="3:51">
      <c r="C187" s="165" t="s">
        <v>62</v>
      </c>
      <c r="D187" s="4">
        <v>0.37</v>
      </c>
      <c r="E187" s="187" t="s">
        <v>229</v>
      </c>
      <c r="F187" s="342">
        <f>IF(OR(Tableau145[[#This Row],[Type]]="Feuillus",Tableau145[[#This Row],[Type]]="Peupliers"),1.56,1.3)</f>
        <v>1.3</v>
      </c>
      <c r="I187" s="55">
        <v>182</v>
      </c>
      <c r="J187" s="33">
        <f t="shared" si="83"/>
        <v>0</v>
      </c>
      <c r="K187" s="33">
        <f t="shared" si="84"/>
        <v>0</v>
      </c>
      <c r="L187" s="33">
        <f t="shared" si="85"/>
        <v>0</v>
      </c>
      <c r="M187" s="33">
        <f t="shared" si="86"/>
        <v>0</v>
      </c>
      <c r="N187" s="33">
        <f t="shared" si="72"/>
        <v>0</v>
      </c>
      <c r="O187" s="34">
        <f t="shared" si="73"/>
        <v>0</v>
      </c>
      <c r="P187" s="55">
        <v>182</v>
      </c>
      <c r="Q187" s="33">
        <f t="shared" si="81"/>
        <v>0</v>
      </c>
      <c r="R187" s="33">
        <f t="shared" si="87"/>
        <v>0</v>
      </c>
      <c r="S187" s="33">
        <f t="shared" si="88"/>
        <v>0</v>
      </c>
      <c r="T187" s="33">
        <f t="shared" si="74"/>
        <v>0</v>
      </c>
      <c r="U187" s="33">
        <f t="shared" si="82"/>
        <v>0</v>
      </c>
      <c r="V187" s="33">
        <f t="shared" si="75"/>
        <v>0</v>
      </c>
      <c r="W187" s="33">
        <v>0</v>
      </c>
      <c r="X187" s="33">
        <f t="shared" si="76"/>
        <v>0</v>
      </c>
      <c r="Y187" s="38">
        <f t="shared" si="77"/>
        <v>0</v>
      </c>
      <c r="AA187" s="71">
        <v>182</v>
      </c>
      <c r="AB187" s="33">
        <f t="shared" si="78"/>
        <v>0</v>
      </c>
      <c r="AC187" s="304">
        <f t="shared" si="93"/>
        <v>0</v>
      </c>
      <c r="AD187" s="100">
        <f t="shared" si="79"/>
        <v>0</v>
      </c>
      <c r="AE187" s="100">
        <f t="shared" si="80"/>
        <v>0</v>
      </c>
      <c r="AF187" s="193">
        <f t="shared" si="89"/>
        <v>0</v>
      </c>
      <c r="AG187" s="193">
        <f t="shared" si="90"/>
        <v>0</v>
      </c>
      <c r="AH187" s="193">
        <f t="shared" si="91"/>
        <v>0</v>
      </c>
      <c r="AI187" s="198">
        <f t="shared" si="92"/>
        <v>0</v>
      </c>
      <c r="AK187" s="71">
        <v>182</v>
      </c>
      <c r="AL187" s="33"/>
      <c r="AM187" s="33"/>
      <c r="AN187" s="33"/>
      <c r="AO187" s="33"/>
      <c r="AP187" s="33"/>
      <c r="AQ187" s="193"/>
      <c r="AR187" s="193"/>
      <c r="AS187" s="193"/>
      <c r="AT187" s="193"/>
      <c r="AU187" s="33"/>
      <c r="AV187" s="33"/>
      <c r="AW187" s="33"/>
      <c r="AX187" s="33"/>
      <c r="AY187" s="76"/>
    </row>
    <row r="188" spans="3:51">
      <c r="C188" s="165" t="s">
        <v>63</v>
      </c>
      <c r="D188" s="4">
        <v>0.38</v>
      </c>
      <c r="E188" s="187" t="s">
        <v>229</v>
      </c>
      <c r="F188" s="342">
        <f>IF(OR(Tableau145[[#This Row],[Type]]="Feuillus",Tableau145[[#This Row],[Type]]="Peupliers"),1.56,1.3)</f>
        <v>1.3</v>
      </c>
      <c r="I188" s="55">
        <v>183</v>
      </c>
      <c r="J188" s="33">
        <f t="shared" si="83"/>
        <v>0</v>
      </c>
      <c r="K188" s="33">
        <f t="shared" si="84"/>
        <v>0</v>
      </c>
      <c r="L188" s="33">
        <f t="shared" si="85"/>
        <v>0</v>
      </c>
      <c r="M188" s="33">
        <f t="shared" si="86"/>
        <v>0</v>
      </c>
      <c r="N188" s="33">
        <f t="shared" si="72"/>
        <v>0</v>
      </c>
      <c r="O188" s="34">
        <f t="shared" si="73"/>
        <v>0</v>
      </c>
      <c r="P188" s="55">
        <v>183</v>
      </c>
      <c r="Q188" s="33">
        <f t="shared" si="81"/>
        <v>0</v>
      </c>
      <c r="R188" s="33">
        <f t="shared" si="87"/>
        <v>0</v>
      </c>
      <c r="S188" s="33">
        <f t="shared" si="88"/>
        <v>0</v>
      </c>
      <c r="T188" s="33">
        <f t="shared" si="74"/>
        <v>0</v>
      </c>
      <c r="U188" s="33">
        <f t="shared" si="82"/>
        <v>0</v>
      </c>
      <c r="V188" s="33">
        <f t="shared" si="75"/>
        <v>0</v>
      </c>
      <c r="W188" s="33">
        <v>0</v>
      </c>
      <c r="X188" s="33">
        <f t="shared" si="76"/>
        <v>0</v>
      </c>
      <c r="Y188" s="38">
        <f t="shared" si="77"/>
        <v>0</v>
      </c>
      <c r="AA188" s="71">
        <v>183</v>
      </c>
      <c r="AB188" s="33">
        <f t="shared" si="78"/>
        <v>0</v>
      </c>
      <c r="AC188" s="304">
        <f t="shared" si="93"/>
        <v>0</v>
      </c>
      <c r="AD188" s="100">
        <f t="shared" si="79"/>
        <v>0</v>
      </c>
      <c r="AE188" s="100">
        <f t="shared" si="80"/>
        <v>0</v>
      </c>
      <c r="AF188" s="193">
        <f t="shared" si="89"/>
        <v>0</v>
      </c>
      <c r="AG188" s="193">
        <f t="shared" si="90"/>
        <v>0</v>
      </c>
      <c r="AH188" s="193">
        <f t="shared" si="91"/>
        <v>0</v>
      </c>
      <c r="AI188" s="198">
        <f t="shared" si="92"/>
        <v>0</v>
      </c>
      <c r="AK188" s="71">
        <v>183</v>
      </c>
      <c r="AL188" s="33"/>
      <c r="AM188" s="33"/>
      <c r="AN188" s="33"/>
      <c r="AO188" s="33"/>
      <c r="AP188" s="33"/>
      <c r="AQ188" s="193"/>
      <c r="AR188" s="193"/>
      <c r="AS188" s="193"/>
      <c r="AT188" s="193"/>
      <c r="AU188" s="33"/>
      <c r="AV188" s="33"/>
      <c r="AW188" s="33"/>
      <c r="AX188" s="33"/>
      <c r="AY188" s="76"/>
    </row>
    <row r="189" spans="3:51">
      <c r="C189" s="165" t="s">
        <v>64</v>
      </c>
      <c r="D189" s="4">
        <v>0.36</v>
      </c>
      <c r="E189" s="187" t="s">
        <v>229</v>
      </c>
      <c r="F189" s="342">
        <f>IF(OR(Tableau145[[#This Row],[Type]]="Feuillus",Tableau145[[#This Row],[Type]]="Peupliers"),1.56,1.3)</f>
        <v>1.3</v>
      </c>
      <c r="I189" s="55">
        <v>184</v>
      </c>
      <c r="J189" s="33">
        <f t="shared" si="83"/>
        <v>0</v>
      </c>
      <c r="K189" s="33">
        <f t="shared" si="84"/>
        <v>0</v>
      </c>
      <c r="L189" s="33">
        <f t="shared" si="85"/>
        <v>0</v>
      </c>
      <c r="M189" s="33">
        <f t="shared" si="86"/>
        <v>0</v>
      </c>
      <c r="N189" s="33">
        <f t="shared" si="72"/>
        <v>0</v>
      </c>
      <c r="O189" s="34">
        <f t="shared" si="73"/>
        <v>0</v>
      </c>
      <c r="P189" s="55">
        <v>184</v>
      </c>
      <c r="Q189" s="33">
        <f t="shared" si="81"/>
        <v>0</v>
      </c>
      <c r="R189" s="33">
        <f t="shared" si="87"/>
        <v>0</v>
      </c>
      <c r="S189" s="33">
        <f t="shared" si="88"/>
        <v>0</v>
      </c>
      <c r="T189" s="33">
        <f t="shared" si="74"/>
        <v>0</v>
      </c>
      <c r="U189" s="33">
        <f t="shared" si="82"/>
        <v>0</v>
      </c>
      <c r="V189" s="33">
        <f t="shared" si="75"/>
        <v>0</v>
      </c>
      <c r="W189" s="33">
        <v>0</v>
      </c>
      <c r="X189" s="33">
        <f t="shared" si="76"/>
        <v>0</v>
      </c>
      <c r="Y189" s="38">
        <f t="shared" si="77"/>
        <v>0</v>
      </c>
      <c r="AA189" s="71">
        <v>184</v>
      </c>
      <c r="AB189" s="33">
        <f t="shared" si="78"/>
        <v>0</v>
      </c>
      <c r="AC189" s="304">
        <f t="shared" si="93"/>
        <v>0</v>
      </c>
      <c r="AD189" s="100">
        <f t="shared" si="79"/>
        <v>0</v>
      </c>
      <c r="AE189" s="100">
        <f t="shared" si="80"/>
        <v>0</v>
      </c>
      <c r="AF189" s="193">
        <f t="shared" si="89"/>
        <v>0</v>
      </c>
      <c r="AG189" s="193">
        <f t="shared" si="90"/>
        <v>0</v>
      </c>
      <c r="AH189" s="193">
        <f t="shared" si="91"/>
        <v>0</v>
      </c>
      <c r="AI189" s="198">
        <f t="shared" si="92"/>
        <v>0</v>
      </c>
      <c r="AK189" s="71">
        <v>184</v>
      </c>
      <c r="AL189" s="33"/>
      <c r="AM189" s="33"/>
      <c r="AN189" s="33"/>
      <c r="AO189" s="33"/>
      <c r="AP189" s="33"/>
      <c r="AQ189" s="193"/>
      <c r="AR189" s="193"/>
      <c r="AS189" s="193"/>
      <c r="AT189" s="193"/>
      <c r="AU189" s="33"/>
      <c r="AV189" s="33"/>
      <c r="AW189" s="33"/>
      <c r="AX189" s="33"/>
      <c r="AY189" s="76"/>
    </row>
    <row r="190" spans="3:51">
      <c r="C190" s="165" t="s">
        <v>65</v>
      </c>
      <c r="D190" s="4">
        <v>0.37</v>
      </c>
      <c r="E190" s="187" t="s">
        <v>228</v>
      </c>
      <c r="F190" s="342">
        <f>IF(OR(Tableau145[[#This Row],[Type]]="Feuillus",Tableau145[[#This Row],[Type]]="Peupliers"),1.56,1.3)</f>
        <v>1.56</v>
      </c>
      <c r="I190" s="55">
        <v>185</v>
      </c>
      <c r="J190" s="33">
        <f t="shared" si="83"/>
        <v>0</v>
      </c>
      <c r="K190" s="33">
        <f t="shared" si="84"/>
        <v>0</v>
      </c>
      <c r="L190" s="33">
        <f t="shared" si="85"/>
        <v>0</v>
      </c>
      <c r="M190" s="33">
        <f t="shared" si="86"/>
        <v>0</v>
      </c>
      <c r="N190" s="33">
        <f t="shared" si="72"/>
        <v>0</v>
      </c>
      <c r="O190" s="34">
        <f t="shared" si="73"/>
        <v>0</v>
      </c>
      <c r="P190" s="55">
        <v>185</v>
      </c>
      <c r="Q190" s="33">
        <f t="shared" si="81"/>
        <v>0</v>
      </c>
      <c r="R190" s="33">
        <f t="shared" si="87"/>
        <v>0</v>
      </c>
      <c r="S190" s="33">
        <f t="shared" si="88"/>
        <v>0</v>
      </c>
      <c r="T190" s="33">
        <f t="shared" si="74"/>
        <v>0</v>
      </c>
      <c r="U190" s="33">
        <f t="shared" si="82"/>
        <v>0</v>
      </c>
      <c r="V190" s="33">
        <f t="shared" si="75"/>
        <v>0</v>
      </c>
      <c r="W190" s="33">
        <v>0</v>
      </c>
      <c r="X190" s="33">
        <f t="shared" si="76"/>
        <v>0</v>
      </c>
      <c r="Y190" s="38">
        <f t="shared" si="77"/>
        <v>0</v>
      </c>
      <c r="AA190" s="71">
        <v>185</v>
      </c>
      <c r="AB190" s="33">
        <f t="shared" si="78"/>
        <v>0</v>
      </c>
      <c r="AC190" s="304">
        <f t="shared" si="93"/>
        <v>0</v>
      </c>
      <c r="AD190" s="100">
        <f t="shared" si="79"/>
        <v>0</v>
      </c>
      <c r="AE190" s="100">
        <f t="shared" si="80"/>
        <v>0</v>
      </c>
      <c r="AF190" s="193">
        <f t="shared" si="89"/>
        <v>0</v>
      </c>
      <c r="AG190" s="193">
        <f t="shared" si="90"/>
        <v>0</v>
      </c>
      <c r="AH190" s="193">
        <f t="shared" si="91"/>
        <v>0</v>
      </c>
      <c r="AI190" s="198">
        <f t="shared" si="92"/>
        <v>0</v>
      </c>
      <c r="AK190" s="71">
        <v>185</v>
      </c>
      <c r="AL190" s="33"/>
      <c r="AM190" s="33"/>
      <c r="AN190" s="33"/>
      <c r="AO190" s="33"/>
      <c r="AP190" s="33"/>
      <c r="AQ190" s="193"/>
      <c r="AR190" s="193"/>
      <c r="AS190" s="193"/>
      <c r="AT190" s="193"/>
      <c r="AU190" s="33"/>
      <c r="AV190" s="33"/>
      <c r="AW190" s="33"/>
      <c r="AX190" s="33"/>
      <c r="AY190" s="76"/>
    </row>
    <row r="191" spans="3:51">
      <c r="C191" s="165" t="s">
        <v>66</v>
      </c>
      <c r="D191" s="4">
        <v>0.53</v>
      </c>
      <c r="E191" s="187" t="s">
        <v>228</v>
      </c>
      <c r="F191" s="342">
        <f>IF(OR(Tableau145[[#This Row],[Type]]="Feuillus",Tableau145[[#This Row],[Type]]="Peupliers"),1.56,1.3)</f>
        <v>1.56</v>
      </c>
      <c r="I191" s="55">
        <v>186</v>
      </c>
      <c r="J191" s="33">
        <f t="shared" si="83"/>
        <v>0</v>
      </c>
      <c r="K191" s="33">
        <f t="shared" si="84"/>
        <v>0</v>
      </c>
      <c r="L191" s="33">
        <f t="shared" si="85"/>
        <v>0</v>
      </c>
      <c r="M191" s="33">
        <f t="shared" si="86"/>
        <v>0</v>
      </c>
      <c r="N191" s="33">
        <f t="shared" si="72"/>
        <v>0</v>
      </c>
      <c r="O191" s="34">
        <f t="shared" si="73"/>
        <v>0</v>
      </c>
      <c r="P191" s="55">
        <v>186</v>
      </c>
      <c r="Q191" s="33">
        <f t="shared" si="81"/>
        <v>0</v>
      </c>
      <c r="R191" s="33">
        <f t="shared" si="87"/>
        <v>0</v>
      </c>
      <c r="S191" s="33">
        <f t="shared" si="88"/>
        <v>0</v>
      </c>
      <c r="T191" s="33">
        <f t="shared" si="74"/>
        <v>0</v>
      </c>
      <c r="U191" s="33">
        <f t="shared" si="82"/>
        <v>0</v>
      </c>
      <c r="V191" s="33">
        <f t="shared" si="75"/>
        <v>0</v>
      </c>
      <c r="W191" s="33">
        <v>0</v>
      </c>
      <c r="X191" s="33">
        <f t="shared" si="76"/>
        <v>0</v>
      </c>
      <c r="Y191" s="38">
        <f t="shared" si="77"/>
        <v>0</v>
      </c>
      <c r="AA191" s="71">
        <v>186</v>
      </c>
      <c r="AB191" s="33">
        <f t="shared" si="78"/>
        <v>0</v>
      </c>
      <c r="AC191" s="304">
        <f t="shared" si="93"/>
        <v>0</v>
      </c>
      <c r="AD191" s="100">
        <f t="shared" si="79"/>
        <v>0</v>
      </c>
      <c r="AE191" s="100">
        <f t="shared" si="80"/>
        <v>0</v>
      </c>
      <c r="AF191" s="193">
        <f t="shared" si="89"/>
        <v>0</v>
      </c>
      <c r="AG191" s="193">
        <f t="shared" si="90"/>
        <v>0</v>
      </c>
      <c r="AH191" s="193">
        <f t="shared" si="91"/>
        <v>0</v>
      </c>
      <c r="AI191" s="198">
        <f t="shared" si="92"/>
        <v>0</v>
      </c>
      <c r="AK191" s="71">
        <v>186</v>
      </c>
      <c r="AL191" s="33"/>
      <c r="AM191" s="33"/>
      <c r="AN191" s="33"/>
      <c r="AO191" s="33"/>
      <c r="AP191" s="33"/>
      <c r="AQ191" s="193"/>
      <c r="AR191" s="193"/>
      <c r="AS191" s="193"/>
      <c r="AT191" s="193"/>
      <c r="AU191" s="33"/>
      <c r="AV191" s="33"/>
      <c r="AW191" s="33"/>
      <c r="AX191" s="33"/>
      <c r="AY191" s="76"/>
    </row>
    <row r="192" spans="3:51">
      <c r="C192" s="165" t="s">
        <v>67</v>
      </c>
      <c r="D192" s="4">
        <v>0.43</v>
      </c>
      <c r="E192" s="187" t="s">
        <v>228</v>
      </c>
      <c r="F192" s="342">
        <f>IF(OR(Tableau145[[#This Row],[Type]]="Feuillus",Tableau145[[#This Row],[Type]]="Peupliers"),1.56,1.3)</f>
        <v>1.56</v>
      </c>
      <c r="I192" s="55">
        <v>187</v>
      </c>
      <c r="J192" s="33">
        <f t="shared" si="83"/>
        <v>0</v>
      </c>
      <c r="K192" s="33">
        <f t="shared" si="84"/>
        <v>0</v>
      </c>
      <c r="L192" s="33">
        <f t="shared" si="85"/>
        <v>0</v>
      </c>
      <c r="M192" s="33">
        <f t="shared" si="86"/>
        <v>0</v>
      </c>
      <c r="N192" s="33">
        <f t="shared" si="72"/>
        <v>0</v>
      </c>
      <c r="O192" s="34">
        <f t="shared" si="73"/>
        <v>0</v>
      </c>
      <c r="P192" s="55">
        <v>187</v>
      </c>
      <c r="Q192" s="33">
        <f t="shared" si="81"/>
        <v>0</v>
      </c>
      <c r="R192" s="33">
        <f t="shared" si="87"/>
        <v>0</v>
      </c>
      <c r="S192" s="33">
        <f t="shared" si="88"/>
        <v>0</v>
      </c>
      <c r="T192" s="33">
        <f t="shared" si="74"/>
        <v>0</v>
      </c>
      <c r="U192" s="33">
        <f t="shared" si="82"/>
        <v>0</v>
      </c>
      <c r="V192" s="33">
        <f t="shared" si="75"/>
        <v>0</v>
      </c>
      <c r="W192" s="33">
        <v>0</v>
      </c>
      <c r="X192" s="33">
        <f t="shared" si="76"/>
        <v>0</v>
      </c>
      <c r="Y192" s="38">
        <f t="shared" si="77"/>
        <v>0</v>
      </c>
      <c r="AA192" s="71">
        <v>187</v>
      </c>
      <c r="AB192" s="33">
        <f t="shared" si="78"/>
        <v>0</v>
      </c>
      <c r="AC192" s="304">
        <f t="shared" si="93"/>
        <v>0</v>
      </c>
      <c r="AD192" s="100">
        <f t="shared" si="79"/>
        <v>0</v>
      </c>
      <c r="AE192" s="100">
        <f t="shared" si="80"/>
        <v>0</v>
      </c>
      <c r="AF192" s="193">
        <f t="shared" si="89"/>
        <v>0</v>
      </c>
      <c r="AG192" s="193">
        <f t="shared" si="90"/>
        <v>0</v>
      </c>
      <c r="AH192" s="193">
        <f t="shared" si="91"/>
        <v>0</v>
      </c>
      <c r="AI192" s="198">
        <f t="shared" si="92"/>
        <v>0</v>
      </c>
      <c r="AK192" s="71">
        <v>187</v>
      </c>
      <c r="AL192" s="33"/>
      <c r="AM192" s="33"/>
      <c r="AN192" s="33"/>
      <c r="AO192" s="33"/>
      <c r="AP192" s="33"/>
      <c r="AQ192" s="193"/>
      <c r="AR192" s="193"/>
      <c r="AS192" s="193"/>
      <c r="AT192" s="193"/>
      <c r="AU192" s="33"/>
      <c r="AV192" s="33"/>
      <c r="AW192" s="33"/>
      <c r="AX192" s="33"/>
      <c r="AY192" s="76"/>
    </row>
    <row r="193" spans="3:51">
      <c r="C193" s="165" t="s">
        <v>68</v>
      </c>
      <c r="D193" s="4">
        <v>0.38</v>
      </c>
      <c r="E193" s="187" t="s">
        <v>228</v>
      </c>
      <c r="F193" s="342">
        <f>IF(OR(Tableau145[[#This Row],[Type]]="Feuillus",Tableau145[[#This Row],[Type]]="Peupliers"),1.56,1.3)</f>
        <v>1.56</v>
      </c>
      <c r="I193" s="55">
        <v>188</v>
      </c>
      <c r="J193" s="33">
        <f t="shared" si="83"/>
        <v>0</v>
      </c>
      <c r="K193" s="33">
        <f t="shared" si="84"/>
        <v>0</v>
      </c>
      <c r="L193" s="33">
        <f t="shared" si="85"/>
        <v>0</v>
      </c>
      <c r="M193" s="33">
        <f t="shared" si="86"/>
        <v>0</v>
      </c>
      <c r="N193" s="33">
        <f t="shared" si="72"/>
        <v>0</v>
      </c>
      <c r="O193" s="34">
        <f t="shared" si="73"/>
        <v>0</v>
      </c>
      <c r="P193" s="55">
        <v>188</v>
      </c>
      <c r="Q193" s="33">
        <f t="shared" si="81"/>
        <v>0</v>
      </c>
      <c r="R193" s="33">
        <f t="shared" si="87"/>
        <v>0</v>
      </c>
      <c r="S193" s="33">
        <f t="shared" si="88"/>
        <v>0</v>
      </c>
      <c r="T193" s="33">
        <f t="shared" si="74"/>
        <v>0</v>
      </c>
      <c r="U193" s="33">
        <f t="shared" si="82"/>
        <v>0</v>
      </c>
      <c r="V193" s="33">
        <f t="shared" si="75"/>
        <v>0</v>
      </c>
      <c r="W193" s="33">
        <v>0</v>
      </c>
      <c r="X193" s="33">
        <f t="shared" si="76"/>
        <v>0</v>
      </c>
      <c r="Y193" s="38">
        <f t="shared" si="77"/>
        <v>0</v>
      </c>
      <c r="AA193" s="71">
        <v>188</v>
      </c>
      <c r="AB193" s="33">
        <f t="shared" si="78"/>
        <v>0</v>
      </c>
      <c r="AC193" s="304">
        <f t="shared" si="93"/>
        <v>0</v>
      </c>
      <c r="AD193" s="100">
        <f t="shared" si="79"/>
        <v>0</v>
      </c>
      <c r="AE193" s="100">
        <f t="shared" si="80"/>
        <v>0</v>
      </c>
      <c r="AF193" s="193">
        <f t="shared" si="89"/>
        <v>0</v>
      </c>
      <c r="AG193" s="193">
        <f t="shared" si="90"/>
        <v>0</v>
      </c>
      <c r="AH193" s="193">
        <f t="shared" si="91"/>
        <v>0</v>
      </c>
      <c r="AI193" s="198">
        <f t="shared" si="92"/>
        <v>0</v>
      </c>
      <c r="AK193" s="71">
        <v>188</v>
      </c>
      <c r="AL193" s="33"/>
      <c r="AM193" s="33"/>
      <c r="AN193" s="33"/>
      <c r="AO193" s="33"/>
      <c r="AP193" s="33"/>
      <c r="AQ193" s="193"/>
      <c r="AR193" s="193"/>
      <c r="AS193" s="193"/>
      <c r="AT193" s="193"/>
      <c r="AU193" s="33"/>
      <c r="AV193" s="33"/>
      <c r="AW193" s="33"/>
      <c r="AX193" s="33"/>
      <c r="AY193" s="76"/>
    </row>
    <row r="194" spans="3:51">
      <c r="C194" s="167" t="s">
        <v>69</v>
      </c>
      <c r="D194" s="3">
        <v>0.42</v>
      </c>
      <c r="E194" s="187" t="s">
        <v>229</v>
      </c>
      <c r="F194" s="342">
        <f>IF(OR(Tableau145[[#This Row],[Type]]="Feuillus",Tableau145[[#This Row],[Type]]="Peupliers"),1.56,1.3)</f>
        <v>1.3</v>
      </c>
      <c r="I194" s="55">
        <v>189</v>
      </c>
      <c r="J194" s="33">
        <f t="shared" si="83"/>
        <v>0</v>
      </c>
      <c r="K194" s="33">
        <f t="shared" si="84"/>
        <v>0</v>
      </c>
      <c r="L194" s="33">
        <f t="shared" si="85"/>
        <v>0</v>
      </c>
      <c r="M194" s="33">
        <f t="shared" si="86"/>
        <v>0</v>
      </c>
      <c r="N194" s="33">
        <f t="shared" si="72"/>
        <v>0</v>
      </c>
      <c r="O194" s="34">
        <f t="shared" si="73"/>
        <v>0</v>
      </c>
      <c r="P194" s="55">
        <v>189</v>
      </c>
      <c r="Q194" s="33">
        <f t="shared" si="81"/>
        <v>0</v>
      </c>
      <c r="R194" s="33">
        <f t="shared" si="87"/>
        <v>0</v>
      </c>
      <c r="S194" s="33">
        <f t="shared" si="88"/>
        <v>0</v>
      </c>
      <c r="T194" s="33">
        <f t="shared" si="74"/>
        <v>0</v>
      </c>
      <c r="U194" s="33">
        <f t="shared" si="82"/>
        <v>0</v>
      </c>
      <c r="V194" s="33">
        <f t="shared" si="75"/>
        <v>0</v>
      </c>
      <c r="W194" s="33">
        <v>0</v>
      </c>
      <c r="X194" s="33">
        <f t="shared" si="76"/>
        <v>0</v>
      </c>
      <c r="Y194" s="38">
        <f t="shared" si="77"/>
        <v>0</v>
      </c>
      <c r="AA194" s="71">
        <v>189</v>
      </c>
      <c r="AB194" s="33">
        <f t="shared" si="78"/>
        <v>0</v>
      </c>
      <c r="AC194" s="304">
        <f t="shared" si="93"/>
        <v>0</v>
      </c>
      <c r="AD194" s="100">
        <f t="shared" si="79"/>
        <v>0</v>
      </c>
      <c r="AE194" s="100">
        <f t="shared" si="80"/>
        <v>0</v>
      </c>
      <c r="AF194" s="193">
        <f t="shared" si="89"/>
        <v>0</v>
      </c>
      <c r="AG194" s="193">
        <f t="shared" si="90"/>
        <v>0</v>
      </c>
      <c r="AH194" s="193">
        <f t="shared" si="91"/>
        <v>0</v>
      </c>
      <c r="AI194" s="198">
        <f t="shared" si="92"/>
        <v>0</v>
      </c>
      <c r="AK194" s="71">
        <v>189</v>
      </c>
      <c r="AL194" s="33"/>
      <c r="AM194" s="33"/>
      <c r="AN194" s="33"/>
      <c r="AO194" s="33"/>
      <c r="AP194" s="33"/>
      <c r="AQ194" s="193"/>
      <c r="AR194" s="193"/>
      <c r="AS194" s="193"/>
      <c r="AT194" s="193"/>
      <c r="AU194" s="33"/>
      <c r="AV194" s="33"/>
      <c r="AW194" s="33"/>
      <c r="AX194" s="33"/>
      <c r="AY194" s="76"/>
    </row>
    <row r="195" spans="3:51">
      <c r="C195" s="167" t="s">
        <v>70</v>
      </c>
      <c r="D195" s="3">
        <v>0.56999999999999995</v>
      </c>
      <c r="E195" s="187" t="s">
        <v>228</v>
      </c>
      <c r="F195" s="342">
        <f>IF(OR(Tableau145[[#This Row],[Type]]="Feuillus",Tableau145[[#This Row],[Type]]="Peupliers"),1.56,1.3)</f>
        <v>1.56</v>
      </c>
      <c r="I195" s="55">
        <v>190</v>
      </c>
      <c r="J195" s="33">
        <f t="shared" si="83"/>
        <v>0</v>
      </c>
      <c r="K195" s="33">
        <f t="shared" si="84"/>
        <v>0</v>
      </c>
      <c r="L195" s="33">
        <f t="shared" si="85"/>
        <v>0</v>
      </c>
      <c r="M195" s="33">
        <f t="shared" si="86"/>
        <v>0</v>
      </c>
      <c r="N195" s="33">
        <f t="shared" si="72"/>
        <v>0</v>
      </c>
      <c r="O195" s="34">
        <f t="shared" si="73"/>
        <v>0</v>
      </c>
      <c r="P195" s="55">
        <v>190</v>
      </c>
      <c r="Q195" s="33">
        <f t="shared" si="81"/>
        <v>0</v>
      </c>
      <c r="R195" s="33">
        <f t="shared" si="87"/>
        <v>0</v>
      </c>
      <c r="S195" s="33">
        <f t="shared" si="88"/>
        <v>0</v>
      </c>
      <c r="T195" s="33">
        <f t="shared" si="74"/>
        <v>0</v>
      </c>
      <c r="U195" s="33">
        <f t="shared" si="82"/>
        <v>0</v>
      </c>
      <c r="V195" s="33">
        <f t="shared" si="75"/>
        <v>0</v>
      </c>
      <c r="W195" s="33">
        <v>0</v>
      </c>
      <c r="X195" s="33">
        <f t="shared" si="76"/>
        <v>0</v>
      </c>
      <c r="Y195" s="38">
        <f t="shared" si="77"/>
        <v>0</v>
      </c>
      <c r="AA195" s="71">
        <v>190</v>
      </c>
      <c r="AB195" s="33">
        <f t="shared" si="78"/>
        <v>0</v>
      </c>
      <c r="AC195" s="304">
        <f t="shared" si="93"/>
        <v>0</v>
      </c>
      <c r="AD195" s="100">
        <f t="shared" si="79"/>
        <v>0</v>
      </c>
      <c r="AE195" s="100">
        <f t="shared" si="80"/>
        <v>0</v>
      </c>
      <c r="AF195" s="193">
        <f t="shared" si="89"/>
        <v>0</v>
      </c>
      <c r="AG195" s="193">
        <f t="shared" si="90"/>
        <v>0</v>
      </c>
      <c r="AH195" s="193">
        <f t="shared" si="91"/>
        <v>0</v>
      </c>
      <c r="AI195" s="198">
        <f t="shared" si="92"/>
        <v>0</v>
      </c>
      <c r="AK195" s="71">
        <v>190</v>
      </c>
      <c r="AL195" s="33"/>
      <c r="AM195" s="33"/>
      <c r="AN195" s="33"/>
      <c r="AO195" s="33"/>
      <c r="AP195" s="33"/>
      <c r="AQ195" s="193"/>
      <c r="AR195" s="193"/>
      <c r="AS195" s="193"/>
      <c r="AT195" s="193"/>
      <c r="AU195" s="33"/>
      <c r="AV195" s="33"/>
      <c r="AW195" s="33"/>
      <c r="AX195" s="33"/>
      <c r="AY195" s="76"/>
    </row>
    <row r="196" spans="3:51">
      <c r="C196" s="167" t="s">
        <v>71</v>
      </c>
      <c r="D196" s="3">
        <v>0.54</v>
      </c>
      <c r="E196" s="187"/>
      <c r="F196" s="342">
        <f>IF(OR(Tableau145[[#This Row],[Type]]="Feuillus",Tableau145[[#This Row],[Type]]="Peupliers"),1.56,1.3)</f>
        <v>1.3</v>
      </c>
      <c r="I196" s="55">
        <v>191</v>
      </c>
      <c r="J196" s="33">
        <f t="shared" si="83"/>
        <v>0</v>
      </c>
      <c r="K196" s="33">
        <f t="shared" si="84"/>
        <v>0</v>
      </c>
      <c r="L196" s="33">
        <f t="shared" si="85"/>
        <v>0</v>
      </c>
      <c r="M196" s="33">
        <f t="shared" si="86"/>
        <v>0</v>
      </c>
      <c r="N196" s="33">
        <f t="shared" si="72"/>
        <v>0</v>
      </c>
      <c r="O196" s="34">
        <f t="shared" si="73"/>
        <v>0</v>
      </c>
      <c r="P196" s="55">
        <v>191</v>
      </c>
      <c r="Q196" s="33">
        <f t="shared" si="81"/>
        <v>0</v>
      </c>
      <c r="R196" s="33">
        <f t="shared" si="87"/>
        <v>0</v>
      </c>
      <c r="S196" s="33">
        <f t="shared" si="88"/>
        <v>0</v>
      </c>
      <c r="T196" s="33">
        <f t="shared" si="74"/>
        <v>0</v>
      </c>
      <c r="U196" s="33">
        <f t="shared" si="82"/>
        <v>0</v>
      </c>
      <c r="V196" s="33">
        <f t="shared" si="75"/>
        <v>0</v>
      </c>
      <c r="W196" s="33">
        <v>0</v>
      </c>
      <c r="X196" s="33">
        <f t="shared" si="76"/>
        <v>0</v>
      </c>
      <c r="Y196" s="38">
        <f t="shared" si="77"/>
        <v>0</v>
      </c>
      <c r="AA196" s="71">
        <v>191</v>
      </c>
      <c r="AB196" s="33">
        <f t="shared" si="78"/>
        <v>0</v>
      </c>
      <c r="AC196" s="304">
        <f t="shared" si="93"/>
        <v>0</v>
      </c>
      <c r="AD196" s="100">
        <f t="shared" si="79"/>
        <v>0</v>
      </c>
      <c r="AE196" s="100">
        <f t="shared" si="80"/>
        <v>0</v>
      </c>
      <c r="AF196" s="193">
        <f t="shared" si="89"/>
        <v>0</v>
      </c>
      <c r="AG196" s="193">
        <f t="shared" si="90"/>
        <v>0</v>
      </c>
      <c r="AH196" s="193">
        <f t="shared" si="91"/>
        <v>0</v>
      </c>
      <c r="AI196" s="198">
        <f t="shared" si="92"/>
        <v>0</v>
      </c>
      <c r="AK196" s="71">
        <v>191</v>
      </c>
      <c r="AL196" s="33"/>
      <c r="AM196" s="33"/>
      <c r="AN196" s="33"/>
      <c r="AO196" s="33"/>
      <c r="AP196" s="33"/>
      <c r="AQ196" s="193"/>
      <c r="AR196" s="193"/>
      <c r="AS196" s="193"/>
      <c r="AT196" s="193"/>
      <c r="AU196" s="33"/>
      <c r="AV196" s="33"/>
      <c r="AW196" s="33"/>
      <c r="AX196" s="33"/>
      <c r="AY196" s="76"/>
    </row>
    <row r="197" spans="3:51">
      <c r="E197" s="24"/>
      <c r="I197" s="55">
        <v>192</v>
      </c>
      <c r="J197" s="33">
        <f t="shared" si="83"/>
        <v>0</v>
      </c>
      <c r="K197" s="33">
        <f t="shared" si="84"/>
        <v>0</v>
      </c>
      <c r="L197" s="33">
        <f t="shared" si="85"/>
        <v>0</v>
      </c>
      <c r="M197" s="33">
        <f t="shared" si="86"/>
        <v>0</v>
      </c>
      <c r="N197" s="33">
        <f t="shared" ref="N197:N204" si="94">IF(P198&lt;=$F$18,0,)</f>
        <v>0</v>
      </c>
      <c r="O197" s="34">
        <f t="shared" ref="O197:O205" si="95">((J197+K197)*0.475+L197+M197+N197)*44/12</f>
        <v>0</v>
      </c>
      <c r="P197" s="55">
        <v>192</v>
      </c>
      <c r="Q197" s="33">
        <f t="shared" si="81"/>
        <v>0</v>
      </c>
      <c r="R197" s="33">
        <f t="shared" si="87"/>
        <v>0</v>
      </c>
      <c r="S197" s="33">
        <f t="shared" si="88"/>
        <v>0</v>
      </c>
      <c r="T197" s="33">
        <f t="shared" ref="T197:T205" si="96">IF(S197=0,0,EXP(-1.0587+0.8836*LN(S197)+0.284))</f>
        <v>0</v>
      </c>
      <c r="U197" s="33">
        <f t="shared" si="82"/>
        <v>0</v>
      </c>
      <c r="V197" s="33">
        <f t="shared" ref="V197:V205" si="97">IF(P197&lt;=$F$18,IF(P197&lt;=30,P197*($F$16-$F$6)/30,$F$16-$F$6),)</f>
        <v>0</v>
      </c>
      <c r="W197" s="33">
        <v>0</v>
      </c>
      <c r="X197" s="33">
        <f t="shared" ref="X197:X205" si="98">((S197+T197)*0.475+U197+V197+W197)*44/12</f>
        <v>0</v>
      </c>
      <c r="Y197" s="38">
        <f t="shared" ref="Y197:Y205" si="99">IF(P197&lt;=$F$18,X197-O197,)</f>
        <v>0</v>
      </c>
      <c r="AA197" s="71">
        <v>192</v>
      </c>
      <c r="AB197" s="33">
        <f t="shared" ref="AB197:AB205" si="100">IF(AA197&lt;=$F$18,IFERROR(VLOOKUP($AA197,$B$82:$G$94,2,FALSE),0),)</f>
        <v>0</v>
      </c>
      <c r="AC197" s="304">
        <f t="shared" si="93"/>
        <v>0</v>
      </c>
      <c r="AD197" s="100">
        <f t="shared" ref="AD197:AD205" si="101">IF(AA197&lt;=$F$18,IFERROR(VLOOKUP($AA197,$B$82:$G$94,4,FALSE),0),)</f>
        <v>0</v>
      </c>
      <c r="AE197" s="100">
        <f t="shared" ref="AE197:AE205" si="102">IF(AA197&lt;=$F$18,IFERROR(VLOOKUP($AA197,$B$82:$G$94,5,FALSE),0),)</f>
        <v>0</v>
      </c>
      <c r="AF197" s="193">
        <f t="shared" si="89"/>
        <v>0</v>
      </c>
      <c r="AG197" s="193">
        <f t="shared" si="90"/>
        <v>0</v>
      </c>
      <c r="AH197" s="193">
        <f t="shared" si="91"/>
        <v>0</v>
      </c>
      <c r="AI197" s="198">
        <f t="shared" si="92"/>
        <v>0</v>
      </c>
      <c r="AK197" s="71">
        <v>192</v>
      </c>
      <c r="AL197" s="33"/>
      <c r="AM197" s="33"/>
      <c r="AN197" s="33"/>
      <c r="AO197" s="33"/>
      <c r="AP197" s="33"/>
      <c r="AQ197" s="193"/>
      <c r="AR197" s="193"/>
      <c r="AS197" s="193"/>
      <c r="AT197" s="193"/>
      <c r="AU197" s="33"/>
      <c r="AV197" s="33"/>
      <c r="AW197" s="33"/>
      <c r="AX197" s="33"/>
      <c r="AY197" s="76"/>
    </row>
    <row r="198" spans="3:51">
      <c r="E198" s="24"/>
      <c r="I198" s="55">
        <v>193</v>
      </c>
      <c r="J198" s="33">
        <f t="shared" si="83"/>
        <v>0</v>
      </c>
      <c r="K198" s="33">
        <f t="shared" si="84"/>
        <v>0</v>
      </c>
      <c r="L198" s="33">
        <f t="shared" si="85"/>
        <v>0</v>
      </c>
      <c r="M198" s="33">
        <f t="shared" si="86"/>
        <v>0</v>
      </c>
      <c r="N198" s="33">
        <f t="shared" si="94"/>
        <v>0</v>
      </c>
      <c r="O198" s="34">
        <f t="shared" si="95"/>
        <v>0</v>
      </c>
      <c r="P198" s="55">
        <v>193</v>
      </c>
      <c r="Q198" s="33">
        <f t="shared" ref="Q198:Q205" si="103">IF(P198&lt;=$F$18,LOOKUP(P198-1,$B$25:$B$78,$G$25:$G$78),)</f>
        <v>0</v>
      </c>
      <c r="R198" s="33">
        <f t="shared" si="87"/>
        <v>0</v>
      </c>
      <c r="S198" s="33">
        <f t="shared" si="88"/>
        <v>0</v>
      </c>
      <c r="T198" s="33">
        <f t="shared" si="96"/>
        <v>0</v>
      </c>
      <c r="U198" s="33">
        <f t="shared" ref="U198:U205" si="104">IF(P198&lt;=$F$18,$F$5+($F$15-$F$5)*(1-EXP(-0.0175*P198)),)</f>
        <v>0</v>
      </c>
      <c r="V198" s="33">
        <f t="shared" si="97"/>
        <v>0</v>
      </c>
      <c r="W198" s="33">
        <v>0</v>
      </c>
      <c r="X198" s="33">
        <f t="shared" si="98"/>
        <v>0</v>
      </c>
      <c r="Y198" s="38">
        <f t="shared" si="99"/>
        <v>0</v>
      </c>
      <c r="AA198" s="71">
        <v>193</v>
      </c>
      <c r="AB198" s="33">
        <f t="shared" si="100"/>
        <v>0</v>
      </c>
      <c r="AC198" s="304">
        <f t="shared" si="93"/>
        <v>0</v>
      </c>
      <c r="AD198" s="100">
        <f t="shared" si="101"/>
        <v>0</v>
      </c>
      <c r="AE198" s="100">
        <f t="shared" si="102"/>
        <v>0</v>
      </c>
      <c r="AF198" s="193">
        <f t="shared" si="89"/>
        <v>0</v>
      </c>
      <c r="AG198" s="193">
        <f t="shared" si="90"/>
        <v>0</v>
      </c>
      <c r="AH198" s="193">
        <f t="shared" si="91"/>
        <v>0</v>
      </c>
      <c r="AI198" s="198">
        <f t="shared" si="92"/>
        <v>0</v>
      </c>
      <c r="AK198" s="71">
        <v>193</v>
      </c>
      <c r="AL198" s="33"/>
      <c r="AM198" s="33"/>
      <c r="AN198" s="33"/>
      <c r="AO198" s="33"/>
      <c r="AP198" s="33"/>
      <c r="AQ198" s="193"/>
      <c r="AR198" s="193"/>
      <c r="AS198" s="193"/>
      <c r="AT198" s="193"/>
      <c r="AU198" s="33"/>
      <c r="AV198" s="33"/>
      <c r="AW198" s="33"/>
      <c r="AX198" s="33"/>
      <c r="AY198" s="76"/>
    </row>
    <row r="199" spans="3:51">
      <c r="E199" s="24"/>
      <c r="I199" s="55">
        <v>194</v>
      </c>
      <c r="J199" s="33">
        <f t="shared" ref="J199:J205" si="105">IF($I199&lt;=$F$10,$F$11*$F$13+J198,)</f>
        <v>0</v>
      </c>
      <c r="K199" s="33">
        <f t="shared" ref="K199:K205" si="106">IF(J199=0,0,EXP(-1.0587+0.8836*LN(J199)+0.284))</f>
        <v>0</v>
      </c>
      <c r="L199" s="33">
        <f t="shared" ref="L199:L205" si="107">IF(I199&lt;=$F$10,$F$5+($F$8-$F$5)*(1-EXP(-0.0175*I199)),)</f>
        <v>0</v>
      </c>
      <c r="M199" s="33">
        <f t="shared" ref="M199:M205" si="108">IF(I199&lt;=$F$10,IF(I199&lt;=30,I199*($F$9-$F$6)/30,$F$9-$F$6),)</f>
        <v>0</v>
      </c>
      <c r="N199" s="33">
        <f t="shared" si="94"/>
        <v>0</v>
      </c>
      <c r="O199" s="34">
        <f t="shared" si="95"/>
        <v>0</v>
      </c>
      <c r="P199" s="55">
        <v>194</v>
      </c>
      <c r="Q199" s="33">
        <f t="shared" si="103"/>
        <v>0</v>
      </c>
      <c r="R199" s="33">
        <f t="shared" ref="R199:R205" si="109">IF(P199&lt;=$F$18,Q199+R198,)</f>
        <v>0</v>
      </c>
      <c r="S199" s="33">
        <f t="shared" ref="S199:S205" si="110">$F$19*R199</f>
        <v>0</v>
      </c>
      <c r="T199" s="33">
        <f t="shared" si="96"/>
        <v>0</v>
      </c>
      <c r="U199" s="33">
        <f t="shared" si="104"/>
        <v>0</v>
      </c>
      <c r="V199" s="33">
        <f t="shared" si="97"/>
        <v>0</v>
      </c>
      <c r="W199" s="33">
        <v>0</v>
      </c>
      <c r="X199" s="33">
        <f t="shared" si="98"/>
        <v>0</v>
      </c>
      <c r="Y199" s="38">
        <f t="shared" si="99"/>
        <v>0</v>
      </c>
      <c r="AA199" s="71">
        <v>194</v>
      </c>
      <c r="AB199" s="33">
        <f t="shared" si="100"/>
        <v>0</v>
      </c>
      <c r="AC199" s="304">
        <f t="shared" si="93"/>
        <v>0</v>
      </c>
      <c r="AD199" s="100">
        <f t="shared" si="101"/>
        <v>0</v>
      </c>
      <c r="AE199" s="100">
        <f t="shared" si="102"/>
        <v>0</v>
      </c>
      <c r="AF199" s="193">
        <f t="shared" si="89"/>
        <v>0</v>
      </c>
      <c r="AG199" s="193">
        <f t="shared" si="90"/>
        <v>0</v>
      </c>
      <c r="AH199" s="193">
        <f t="shared" si="91"/>
        <v>0</v>
      </c>
      <c r="AI199" s="198">
        <f t="shared" si="92"/>
        <v>0</v>
      </c>
      <c r="AK199" s="71">
        <v>194</v>
      </c>
      <c r="AL199" s="33"/>
      <c r="AM199" s="33"/>
      <c r="AN199" s="33"/>
      <c r="AO199" s="33"/>
      <c r="AP199" s="33"/>
      <c r="AQ199" s="193"/>
      <c r="AR199" s="193"/>
      <c r="AS199" s="193"/>
      <c r="AT199" s="193"/>
      <c r="AU199" s="33"/>
      <c r="AV199" s="33"/>
      <c r="AW199" s="33"/>
      <c r="AX199" s="33"/>
      <c r="AY199" s="76"/>
    </row>
    <row r="200" spans="3:51">
      <c r="E200" s="24"/>
      <c r="I200" s="55">
        <v>195</v>
      </c>
      <c r="J200" s="33">
        <f t="shared" si="105"/>
        <v>0</v>
      </c>
      <c r="K200" s="33">
        <f t="shared" si="106"/>
        <v>0</v>
      </c>
      <c r="L200" s="33">
        <f t="shared" si="107"/>
        <v>0</v>
      </c>
      <c r="M200" s="33">
        <f t="shared" si="108"/>
        <v>0</v>
      </c>
      <c r="N200" s="33">
        <f t="shared" si="94"/>
        <v>0</v>
      </c>
      <c r="O200" s="34">
        <f t="shared" si="95"/>
        <v>0</v>
      </c>
      <c r="P200" s="55">
        <v>195</v>
      </c>
      <c r="Q200" s="33">
        <f t="shared" si="103"/>
        <v>0</v>
      </c>
      <c r="R200" s="33">
        <f t="shared" si="109"/>
        <v>0</v>
      </c>
      <c r="S200" s="33">
        <f t="shared" si="110"/>
        <v>0</v>
      </c>
      <c r="T200" s="33">
        <f t="shared" si="96"/>
        <v>0</v>
      </c>
      <c r="U200" s="33">
        <f t="shared" si="104"/>
        <v>0</v>
      </c>
      <c r="V200" s="33">
        <f t="shared" si="97"/>
        <v>0</v>
      </c>
      <c r="W200" s="33">
        <v>0</v>
      </c>
      <c r="X200" s="33">
        <f t="shared" si="98"/>
        <v>0</v>
      </c>
      <c r="Y200" s="38">
        <f t="shared" si="99"/>
        <v>0</v>
      </c>
      <c r="AA200" s="71">
        <v>195</v>
      </c>
      <c r="AB200" s="33">
        <f t="shared" si="100"/>
        <v>0</v>
      </c>
      <c r="AC200" s="304">
        <f t="shared" si="93"/>
        <v>0</v>
      </c>
      <c r="AD200" s="100">
        <f t="shared" si="101"/>
        <v>0</v>
      </c>
      <c r="AE200" s="100">
        <f t="shared" si="102"/>
        <v>0</v>
      </c>
      <c r="AF200" s="193">
        <f t="shared" si="89"/>
        <v>0</v>
      </c>
      <c r="AG200" s="193">
        <f t="shared" si="90"/>
        <v>0</v>
      </c>
      <c r="AH200" s="193">
        <f t="shared" si="91"/>
        <v>0</v>
      </c>
      <c r="AI200" s="198">
        <f t="shared" si="92"/>
        <v>0</v>
      </c>
      <c r="AK200" s="71">
        <v>195</v>
      </c>
      <c r="AL200" s="33"/>
      <c r="AM200" s="33"/>
      <c r="AN200" s="33"/>
      <c r="AO200" s="33"/>
      <c r="AP200" s="33"/>
      <c r="AQ200" s="193"/>
      <c r="AR200" s="193"/>
      <c r="AS200" s="193"/>
      <c r="AT200" s="193"/>
      <c r="AU200" s="33"/>
      <c r="AV200" s="33"/>
      <c r="AW200" s="33"/>
      <c r="AX200" s="33"/>
      <c r="AY200" s="76"/>
    </row>
    <row r="201" spans="3:51">
      <c r="E201" s="24"/>
      <c r="I201" s="55">
        <v>196</v>
      </c>
      <c r="J201" s="33">
        <f t="shared" si="105"/>
        <v>0</v>
      </c>
      <c r="K201" s="33">
        <f t="shared" si="106"/>
        <v>0</v>
      </c>
      <c r="L201" s="33">
        <f t="shared" si="107"/>
        <v>0</v>
      </c>
      <c r="M201" s="33">
        <f t="shared" si="108"/>
        <v>0</v>
      </c>
      <c r="N201" s="33">
        <f t="shared" si="94"/>
        <v>0</v>
      </c>
      <c r="O201" s="34">
        <f t="shared" si="95"/>
        <v>0</v>
      </c>
      <c r="P201" s="55">
        <v>196</v>
      </c>
      <c r="Q201" s="33">
        <f t="shared" si="103"/>
        <v>0</v>
      </c>
      <c r="R201" s="33">
        <f t="shared" si="109"/>
        <v>0</v>
      </c>
      <c r="S201" s="33">
        <f t="shared" si="110"/>
        <v>0</v>
      </c>
      <c r="T201" s="33">
        <f t="shared" si="96"/>
        <v>0</v>
      </c>
      <c r="U201" s="33">
        <f t="shared" si="104"/>
        <v>0</v>
      </c>
      <c r="V201" s="33">
        <f t="shared" si="97"/>
        <v>0</v>
      </c>
      <c r="W201" s="33">
        <v>0</v>
      </c>
      <c r="X201" s="33">
        <f t="shared" si="98"/>
        <v>0</v>
      </c>
      <c r="Y201" s="38">
        <f t="shared" si="99"/>
        <v>0</v>
      </c>
      <c r="AA201" s="71">
        <v>196</v>
      </c>
      <c r="AB201" s="33">
        <f t="shared" si="100"/>
        <v>0</v>
      </c>
      <c r="AC201" s="304">
        <f t="shared" si="93"/>
        <v>0</v>
      </c>
      <c r="AD201" s="100">
        <f t="shared" si="101"/>
        <v>0</v>
      </c>
      <c r="AE201" s="100">
        <f t="shared" si="102"/>
        <v>0</v>
      </c>
      <c r="AF201" s="193">
        <f t="shared" si="89"/>
        <v>0</v>
      </c>
      <c r="AG201" s="193">
        <f t="shared" si="90"/>
        <v>0</v>
      </c>
      <c r="AH201" s="193">
        <f t="shared" si="91"/>
        <v>0</v>
      </c>
      <c r="AI201" s="198">
        <f t="shared" si="92"/>
        <v>0</v>
      </c>
      <c r="AK201" s="71">
        <v>196</v>
      </c>
      <c r="AL201" s="33"/>
      <c r="AM201" s="33"/>
      <c r="AN201" s="33"/>
      <c r="AO201" s="33"/>
      <c r="AP201" s="33"/>
      <c r="AQ201" s="193"/>
      <c r="AR201" s="193"/>
      <c r="AS201" s="193"/>
      <c r="AT201" s="193"/>
      <c r="AU201" s="33"/>
      <c r="AV201" s="33"/>
      <c r="AW201" s="33"/>
      <c r="AX201" s="33"/>
      <c r="AY201" s="76"/>
    </row>
    <row r="202" spans="3:51">
      <c r="E202" s="24"/>
      <c r="I202" s="55">
        <v>197</v>
      </c>
      <c r="J202" s="33">
        <f t="shared" si="105"/>
        <v>0</v>
      </c>
      <c r="K202" s="33">
        <f t="shared" si="106"/>
        <v>0</v>
      </c>
      <c r="L202" s="33">
        <f t="shared" si="107"/>
        <v>0</v>
      </c>
      <c r="M202" s="33">
        <f t="shared" si="108"/>
        <v>0</v>
      </c>
      <c r="N202" s="33">
        <f t="shared" si="94"/>
        <v>0</v>
      </c>
      <c r="O202" s="34">
        <f t="shared" si="95"/>
        <v>0</v>
      </c>
      <c r="P202" s="55">
        <v>197</v>
      </c>
      <c r="Q202" s="33">
        <f t="shared" si="103"/>
        <v>0</v>
      </c>
      <c r="R202" s="33">
        <f t="shared" si="109"/>
        <v>0</v>
      </c>
      <c r="S202" s="33">
        <f t="shared" si="110"/>
        <v>0</v>
      </c>
      <c r="T202" s="33">
        <f t="shared" si="96"/>
        <v>0</v>
      </c>
      <c r="U202" s="33">
        <f t="shared" si="104"/>
        <v>0</v>
      </c>
      <c r="V202" s="33">
        <f t="shared" si="97"/>
        <v>0</v>
      </c>
      <c r="W202" s="33">
        <v>0</v>
      </c>
      <c r="X202" s="33">
        <f t="shared" si="98"/>
        <v>0</v>
      </c>
      <c r="Y202" s="38">
        <f t="shared" si="99"/>
        <v>0</v>
      </c>
      <c r="AA202" s="71">
        <v>197</v>
      </c>
      <c r="AB202" s="33">
        <f t="shared" si="100"/>
        <v>0</v>
      </c>
      <c r="AC202" s="304">
        <f t="shared" si="93"/>
        <v>0</v>
      </c>
      <c r="AD202" s="100">
        <f t="shared" si="101"/>
        <v>0</v>
      </c>
      <c r="AE202" s="100">
        <f t="shared" si="102"/>
        <v>0</v>
      </c>
      <c r="AF202" s="193">
        <f t="shared" si="89"/>
        <v>0</v>
      </c>
      <c r="AG202" s="193">
        <f t="shared" si="90"/>
        <v>0</v>
      </c>
      <c r="AH202" s="193">
        <f t="shared" si="91"/>
        <v>0</v>
      </c>
      <c r="AI202" s="198">
        <f t="shared" si="92"/>
        <v>0</v>
      </c>
      <c r="AK202" s="71">
        <v>197</v>
      </c>
      <c r="AL202" s="33"/>
      <c r="AM202" s="33"/>
      <c r="AN202" s="33"/>
      <c r="AO202" s="33"/>
      <c r="AP202" s="33"/>
      <c r="AQ202" s="193"/>
      <c r="AR202" s="193"/>
      <c r="AS202" s="193"/>
      <c r="AT202" s="193"/>
      <c r="AU202" s="33"/>
      <c r="AV202" s="33"/>
      <c r="AW202" s="33"/>
      <c r="AX202" s="33"/>
      <c r="AY202" s="76"/>
    </row>
    <row r="203" spans="3:51">
      <c r="E203" s="24"/>
      <c r="I203" s="55">
        <v>198</v>
      </c>
      <c r="J203" s="33">
        <f t="shared" si="105"/>
        <v>0</v>
      </c>
      <c r="K203" s="33">
        <f t="shared" si="106"/>
        <v>0</v>
      </c>
      <c r="L203" s="33">
        <f t="shared" si="107"/>
        <v>0</v>
      </c>
      <c r="M203" s="33">
        <f t="shared" si="108"/>
        <v>0</v>
      </c>
      <c r="N203" s="33">
        <f t="shared" si="94"/>
        <v>0</v>
      </c>
      <c r="O203" s="34">
        <f t="shared" si="95"/>
        <v>0</v>
      </c>
      <c r="P203" s="55">
        <v>198</v>
      </c>
      <c r="Q203" s="33">
        <f t="shared" si="103"/>
        <v>0</v>
      </c>
      <c r="R203" s="33">
        <f t="shared" si="109"/>
        <v>0</v>
      </c>
      <c r="S203" s="33">
        <f t="shared" si="110"/>
        <v>0</v>
      </c>
      <c r="T203" s="33">
        <f t="shared" si="96"/>
        <v>0</v>
      </c>
      <c r="U203" s="33">
        <f t="shared" si="104"/>
        <v>0</v>
      </c>
      <c r="V203" s="33">
        <f t="shared" si="97"/>
        <v>0</v>
      </c>
      <c r="W203" s="33">
        <v>0</v>
      </c>
      <c r="X203" s="33">
        <f t="shared" si="98"/>
        <v>0</v>
      </c>
      <c r="Y203" s="38">
        <f t="shared" si="99"/>
        <v>0</v>
      </c>
      <c r="AA203" s="71">
        <v>198</v>
      </c>
      <c r="AB203" s="33">
        <f t="shared" si="100"/>
        <v>0</v>
      </c>
      <c r="AC203" s="304">
        <f t="shared" si="93"/>
        <v>0</v>
      </c>
      <c r="AD203" s="100">
        <f t="shared" si="101"/>
        <v>0</v>
      </c>
      <c r="AE203" s="100">
        <f t="shared" si="102"/>
        <v>0</v>
      </c>
      <c r="AF203" s="193">
        <f t="shared" si="89"/>
        <v>0</v>
      </c>
      <c r="AG203" s="193">
        <f t="shared" si="90"/>
        <v>0</v>
      </c>
      <c r="AH203" s="193">
        <f t="shared" si="91"/>
        <v>0</v>
      </c>
      <c r="AI203" s="198">
        <f t="shared" si="92"/>
        <v>0</v>
      </c>
      <c r="AK203" s="71">
        <v>198</v>
      </c>
      <c r="AL203" s="33"/>
      <c r="AM203" s="33"/>
      <c r="AN203" s="33"/>
      <c r="AO203" s="33"/>
      <c r="AP203" s="33"/>
      <c r="AQ203" s="193"/>
      <c r="AR203" s="193"/>
      <c r="AS203" s="193"/>
      <c r="AT203" s="193"/>
      <c r="AU203" s="33"/>
      <c r="AV203" s="33"/>
      <c r="AW203" s="33"/>
      <c r="AX203" s="33"/>
      <c r="AY203" s="76"/>
    </row>
    <row r="204" spans="3:51">
      <c r="E204" s="24"/>
      <c r="I204" s="55">
        <v>199</v>
      </c>
      <c r="J204" s="33">
        <f t="shared" si="105"/>
        <v>0</v>
      </c>
      <c r="K204" s="33">
        <f t="shared" si="106"/>
        <v>0</v>
      </c>
      <c r="L204" s="33">
        <f t="shared" si="107"/>
        <v>0</v>
      </c>
      <c r="M204" s="33">
        <f t="shared" si="108"/>
        <v>0</v>
      </c>
      <c r="N204" s="33">
        <f t="shared" si="94"/>
        <v>0</v>
      </c>
      <c r="O204" s="34">
        <f t="shared" si="95"/>
        <v>0</v>
      </c>
      <c r="P204" s="55">
        <v>199</v>
      </c>
      <c r="Q204" s="33">
        <f t="shared" si="103"/>
        <v>0</v>
      </c>
      <c r="R204" s="33">
        <f t="shared" si="109"/>
        <v>0</v>
      </c>
      <c r="S204" s="33">
        <f t="shared" si="110"/>
        <v>0</v>
      </c>
      <c r="T204" s="33">
        <f t="shared" si="96"/>
        <v>0</v>
      </c>
      <c r="U204" s="33">
        <f t="shared" si="104"/>
        <v>0</v>
      </c>
      <c r="V204" s="33">
        <f t="shared" si="97"/>
        <v>0</v>
      </c>
      <c r="W204" s="33">
        <v>0</v>
      </c>
      <c r="X204" s="33">
        <f t="shared" si="98"/>
        <v>0</v>
      </c>
      <c r="Y204" s="38">
        <f t="shared" si="99"/>
        <v>0</v>
      </c>
      <c r="AA204" s="71">
        <v>199</v>
      </c>
      <c r="AB204" s="33">
        <f t="shared" si="100"/>
        <v>0</v>
      </c>
      <c r="AC204" s="304">
        <f t="shared" si="93"/>
        <v>0</v>
      </c>
      <c r="AD204" s="100">
        <f t="shared" si="101"/>
        <v>0</v>
      </c>
      <c r="AE204" s="100">
        <f t="shared" si="102"/>
        <v>0</v>
      </c>
      <c r="AF204" s="193">
        <f t="shared" si="89"/>
        <v>0</v>
      </c>
      <c r="AG204" s="193">
        <f t="shared" si="90"/>
        <v>0</v>
      </c>
      <c r="AH204" s="193">
        <f t="shared" si="91"/>
        <v>0</v>
      </c>
      <c r="AI204" s="198">
        <f t="shared" si="92"/>
        <v>0</v>
      </c>
      <c r="AK204" s="71">
        <v>199</v>
      </c>
      <c r="AL204" s="33"/>
      <c r="AM204" s="33"/>
      <c r="AN204" s="33"/>
      <c r="AO204" s="33"/>
      <c r="AP204" s="33"/>
      <c r="AQ204" s="193"/>
      <c r="AR204" s="193"/>
      <c r="AS204" s="193"/>
      <c r="AT204" s="193"/>
      <c r="AU204" s="33"/>
      <c r="AV204" s="33"/>
      <c r="AW204" s="33"/>
      <c r="AX204" s="33"/>
      <c r="AY204" s="76"/>
    </row>
    <row r="205" spans="3:51">
      <c r="E205" s="24"/>
      <c r="I205" s="56">
        <v>200</v>
      </c>
      <c r="J205" s="33">
        <f t="shared" si="105"/>
        <v>0</v>
      </c>
      <c r="K205" s="33">
        <f t="shared" si="106"/>
        <v>0</v>
      </c>
      <c r="L205" s="33">
        <f t="shared" si="107"/>
        <v>0</v>
      </c>
      <c r="M205" s="33">
        <f t="shared" si="108"/>
        <v>0</v>
      </c>
      <c r="N205" s="35">
        <f>IF(F208&lt;=$F$18,0,)</f>
        <v>0</v>
      </c>
      <c r="O205" s="34">
        <f t="shared" si="95"/>
        <v>0</v>
      </c>
      <c r="P205" s="56">
        <v>200</v>
      </c>
      <c r="Q205" s="35">
        <f t="shared" si="103"/>
        <v>0</v>
      </c>
      <c r="R205" s="35">
        <f t="shared" si="109"/>
        <v>0</v>
      </c>
      <c r="S205" s="35">
        <f t="shared" si="110"/>
        <v>0</v>
      </c>
      <c r="T205" s="35">
        <f t="shared" si="96"/>
        <v>0</v>
      </c>
      <c r="U205" s="35">
        <f t="shared" si="104"/>
        <v>0</v>
      </c>
      <c r="V205" s="35">
        <f t="shared" si="97"/>
        <v>0</v>
      </c>
      <c r="W205" s="35">
        <v>0</v>
      </c>
      <c r="X205" s="154">
        <f t="shared" si="98"/>
        <v>0</v>
      </c>
      <c r="Y205" s="39">
        <f t="shared" si="99"/>
        <v>0</v>
      </c>
      <c r="AA205" s="72">
        <v>200</v>
      </c>
      <c r="AB205" s="142">
        <f t="shared" si="100"/>
        <v>0</v>
      </c>
      <c r="AC205" s="304">
        <f t="shared" si="93"/>
        <v>0</v>
      </c>
      <c r="AD205" s="101">
        <f t="shared" si="101"/>
        <v>0</v>
      </c>
      <c r="AE205" s="101">
        <f t="shared" si="102"/>
        <v>0</v>
      </c>
      <c r="AF205" s="195">
        <f t="shared" si="89"/>
        <v>0</v>
      </c>
      <c r="AG205" s="195">
        <f t="shared" si="90"/>
        <v>0</v>
      </c>
      <c r="AH205" s="195">
        <f t="shared" si="91"/>
        <v>0</v>
      </c>
      <c r="AI205" s="202">
        <f t="shared" si="92"/>
        <v>0</v>
      </c>
      <c r="AK205" s="72">
        <v>200</v>
      </c>
      <c r="AL205" s="142"/>
      <c r="AM205" s="35"/>
      <c r="AN205" s="35"/>
      <c r="AO205" s="35"/>
      <c r="AP205" s="35"/>
      <c r="AQ205" s="195"/>
      <c r="AR205" s="195"/>
      <c r="AS205" s="195"/>
      <c r="AT205" s="195"/>
      <c r="AU205" s="35"/>
      <c r="AV205" s="35"/>
      <c r="AW205" s="35"/>
      <c r="AX205" s="35"/>
      <c r="AY205" s="77"/>
    </row>
    <row r="206" spans="3:51">
      <c r="E206" s="24"/>
    </row>
    <row r="207" spans="3:51">
      <c r="E207" s="24"/>
    </row>
  </sheetData>
  <mergeCells count="29">
    <mergeCell ref="B80:G80"/>
    <mergeCell ref="AA3:AI3"/>
    <mergeCell ref="B4:F4"/>
    <mergeCell ref="B7:B13"/>
    <mergeCell ref="C7:F7"/>
    <mergeCell ref="D8:E8"/>
    <mergeCell ref="D9:E9"/>
    <mergeCell ref="C10:C13"/>
    <mergeCell ref="D10:E10"/>
    <mergeCell ref="D11:E11"/>
    <mergeCell ref="D12:E12"/>
    <mergeCell ref="D13:E13"/>
    <mergeCell ref="B5:B6"/>
    <mergeCell ref="D5:E5"/>
    <mergeCell ref="AK3:AY3"/>
    <mergeCell ref="D6:E6"/>
    <mergeCell ref="I3:O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  <mergeCell ref="P3:X3"/>
  </mergeCells>
  <dataValidations count="4">
    <dataValidation type="list" allowBlank="1" showInputMessage="1" showErrorMessage="1" sqref="D8:E8 D5:E5 D15" xr:uid="{00000000-0002-0000-0700-000000000000}">
      <formula1>$B$97:$B$100</formula1>
    </dataValidation>
    <dataValidation type="list" allowBlank="1" showInputMessage="1" showErrorMessage="1" sqref="D81:G81" xr:uid="{00000000-0002-0000-0700-000001000000}">
      <formula1>$B$104:$B$108</formula1>
    </dataValidation>
    <dataValidation type="list" allowBlank="1" showInputMessage="1" showErrorMessage="1" sqref="F17" xr:uid="{00000000-0002-0000-0700-000002000000}">
      <formula1>$C$130:$C$195</formula1>
    </dataValidation>
    <dataValidation type="list" allowBlank="1" showInputMessage="1" showErrorMessage="1" sqref="F12" xr:uid="{00000000-0002-0000-0700-000003000000}">
      <formula1>$C$194:$C$195</formula1>
    </dataValidation>
  </dataValidation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AF221"/>
  <sheetViews>
    <sheetView topLeftCell="A156" zoomScale="54" zoomScaleNormal="54" zoomScaleSheetLayoutView="25" workbookViewId="0">
      <selection activeCell="B3" sqref="B3:AB192"/>
    </sheetView>
  </sheetViews>
  <sheetFormatPr baseColWidth="10" defaultRowHeight="15"/>
  <cols>
    <col min="2" max="2" width="18.5" customWidth="1"/>
    <col min="3" max="3" width="22.5" customWidth="1"/>
    <col min="4" max="4" width="17" customWidth="1"/>
    <col min="6" max="6" width="13.1640625" bestFit="1" customWidth="1"/>
    <col min="12" max="12" width="15.5" style="252" customWidth="1"/>
    <col min="13" max="13" width="11.5" style="132"/>
    <col min="14" max="14" width="13.6640625" customWidth="1"/>
    <col min="15" max="15" width="12.1640625" style="7" customWidth="1"/>
    <col min="16" max="20" width="10.5" style="7" customWidth="1"/>
    <col min="21" max="21" width="14.6640625" style="7" customWidth="1"/>
    <col min="22" max="22" width="10.5" style="7" customWidth="1"/>
    <col min="23" max="23" width="12.5" customWidth="1"/>
    <col min="24" max="26" width="10.5" customWidth="1"/>
    <col min="27" max="27" width="14.6640625" customWidth="1"/>
    <col min="28" max="28" width="15.1640625" customWidth="1"/>
    <col min="29" max="30" width="10.5" customWidth="1"/>
    <col min="31" max="31" width="16.1640625" customWidth="1"/>
    <col min="32" max="32" width="12.6640625" customWidth="1"/>
    <col min="33" max="33" width="15.33203125" customWidth="1"/>
  </cols>
  <sheetData>
    <row r="2" spans="3:32" ht="16" thickBot="1"/>
    <row r="3" spans="3:32" ht="19">
      <c r="C3" s="408" t="s">
        <v>258</v>
      </c>
      <c r="D3" s="409"/>
      <c r="I3" s="405" t="s">
        <v>196</v>
      </c>
      <c r="J3" s="277"/>
      <c r="K3" s="277" t="s">
        <v>217</v>
      </c>
      <c r="L3" s="278"/>
      <c r="M3" s="279"/>
      <c r="N3" s="390" t="str">
        <f>'Pin Sylvestre'!F17</f>
        <v xml:space="preserve">Pin sylvestre </v>
      </c>
      <c r="O3" s="391"/>
      <c r="P3" s="392"/>
      <c r="Q3" s="391" t="str">
        <f>Douglas!F17</f>
        <v xml:space="preserve">Douglas </v>
      </c>
      <c r="R3" s="391"/>
      <c r="S3" s="391"/>
      <c r="T3" s="390" t="str">
        <f>'Pin Maritime'!F17</f>
        <v xml:space="preserve">Pin maritime </v>
      </c>
      <c r="U3" s="391"/>
      <c r="V3" s="392"/>
      <c r="W3" s="391" t="str">
        <f>'Meleze Hybride'!F17</f>
        <v xml:space="preserve">Mélèze du Japon </v>
      </c>
      <c r="X3" s="391"/>
      <c r="Y3" s="391"/>
      <c r="Z3" s="390" t="str">
        <f>Thuya!F17</f>
        <v xml:space="preserve">Sapin pectiné </v>
      </c>
      <c r="AA3" s="391"/>
      <c r="AB3" s="392"/>
      <c r="AC3" s="391" t="str">
        <f>'Chêne et feuillus divers'!F17</f>
        <v xml:space="preserve">Chêne rouvre (sessile) </v>
      </c>
      <c r="AD3" s="391"/>
      <c r="AE3" s="421"/>
    </row>
    <row r="4" spans="3:32" ht="19">
      <c r="C4" s="309" t="s">
        <v>262</v>
      </c>
      <c r="D4" s="310">
        <f>E9+SUM(AB21:AB221)</f>
        <v>-10895.910784565553</v>
      </c>
      <c r="I4" s="406"/>
      <c r="J4" s="280"/>
      <c r="K4" s="281" t="s">
        <v>215</v>
      </c>
      <c r="L4" s="284">
        <f>MAX(O4,R4,U4,X4,AA4,AD4)</f>
        <v>150</v>
      </c>
      <c r="M4" s="282"/>
      <c r="N4" s="314" t="s">
        <v>215</v>
      </c>
      <c r="O4" s="236">
        <f>'Pin Sylvestre'!F18</f>
        <v>80</v>
      </c>
      <c r="P4" s="315"/>
      <c r="Q4" s="280" t="s">
        <v>215</v>
      </c>
      <c r="R4" s="236">
        <f>Douglas!F18</f>
        <v>80</v>
      </c>
      <c r="S4" s="236"/>
      <c r="T4" s="314" t="s">
        <v>215</v>
      </c>
      <c r="U4" s="236">
        <f>'Pin Maritime'!F18</f>
        <v>80</v>
      </c>
      <c r="V4" s="315"/>
      <c r="W4" s="280" t="s">
        <v>215</v>
      </c>
      <c r="X4" s="236">
        <f>'Meleze Hybride'!F18</f>
        <v>80</v>
      </c>
      <c r="Y4" s="236"/>
      <c r="Z4" s="314" t="s">
        <v>215</v>
      </c>
      <c r="AA4" s="236">
        <f>Thuya!F18</f>
        <v>80</v>
      </c>
      <c r="AB4" s="315"/>
      <c r="AC4" s="280" t="s">
        <v>215</v>
      </c>
      <c r="AD4" s="236">
        <f>'Chêne et feuillus divers'!F18</f>
        <v>150</v>
      </c>
      <c r="AE4" s="283"/>
    </row>
    <row r="5" spans="3:32" ht="19">
      <c r="C5" s="309" t="s">
        <v>254</v>
      </c>
      <c r="D5" s="311">
        <f>E9+(1*L4*E184-0)/((1+4.5%)^L4)</f>
        <v>5155.2123415613451</v>
      </c>
      <c r="I5" s="406"/>
      <c r="J5" s="280"/>
      <c r="K5" s="281" t="s">
        <v>219</v>
      </c>
      <c r="L5" s="286">
        <f>SUM(O5,R5,U5,X5,AA5,AD5)</f>
        <v>4.0000999999999998</v>
      </c>
      <c r="M5" s="282"/>
      <c r="N5" s="314" t="s">
        <v>174</v>
      </c>
      <c r="O5" s="347">
        <f>'Pin Sylvestre'!F21</f>
        <v>1.3332999999999999</v>
      </c>
      <c r="P5" s="316"/>
      <c r="Q5" s="280" t="s">
        <v>174</v>
      </c>
      <c r="R5" s="347">
        <f>Douglas!F21</f>
        <v>0.16669999999999999</v>
      </c>
      <c r="S5" s="285"/>
      <c r="T5" s="314" t="s">
        <v>174</v>
      </c>
      <c r="U5" s="347">
        <f>'Pin Maritime'!F21</f>
        <v>0.16669999999999999</v>
      </c>
      <c r="V5" s="316"/>
      <c r="W5" s="280" t="s">
        <v>174</v>
      </c>
      <c r="X5" s="347">
        <f>'Meleze Hybride'!F21</f>
        <v>0.16669999999999999</v>
      </c>
      <c r="Y5" s="285"/>
      <c r="Z5" s="314" t="s">
        <v>174</v>
      </c>
      <c r="AA5" s="347">
        <f>Thuya!F21</f>
        <v>0.16669999999999999</v>
      </c>
      <c r="AB5" s="316"/>
      <c r="AC5" s="280" t="s">
        <v>174</v>
      </c>
      <c r="AD5" s="285">
        <f>'Chêne et feuillus divers'!F21</f>
        <v>2</v>
      </c>
      <c r="AE5" s="283"/>
    </row>
    <row r="6" spans="3:32" ht="20" thickBot="1">
      <c r="C6" s="313" t="s">
        <v>255</v>
      </c>
      <c r="D6" s="312">
        <f>D4-D5</f>
        <v>-16051.123126126899</v>
      </c>
      <c r="I6" s="406"/>
      <c r="J6" s="280"/>
      <c r="M6" s="282"/>
      <c r="N6" s="314" t="s">
        <v>216</v>
      </c>
      <c r="O6" s="287">
        <v>1700</v>
      </c>
      <c r="P6" s="315" t="s">
        <v>220</v>
      </c>
      <c r="Q6" s="280" t="s">
        <v>216</v>
      </c>
      <c r="R6" s="287">
        <f t="shared" ref="R6:R13" si="0">O6</f>
        <v>1700</v>
      </c>
      <c r="S6" s="236" t="s">
        <v>220</v>
      </c>
      <c r="T6" s="314" t="s">
        <v>216</v>
      </c>
      <c r="U6" s="287">
        <f t="shared" ref="U6:U13" si="1">R6</f>
        <v>1700</v>
      </c>
      <c r="V6" s="315" t="s">
        <v>220</v>
      </c>
      <c r="W6" s="280" t="s">
        <v>216</v>
      </c>
      <c r="X6" s="287">
        <f>U6</f>
        <v>1700</v>
      </c>
      <c r="Y6" s="236" t="s">
        <v>220</v>
      </c>
      <c r="Z6" s="314" t="s">
        <v>216</v>
      </c>
      <c r="AA6" s="287">
        <f>X6</f>
        <v>1700</v>
      </c>
      <c r="AB6" s="315" t="s">
        <v>220</v>
      </c>
      <c r="AC6" s="280" t="s">
        <v>216</v>
      </c>
      <c r="AD6" s="287">
        <v>1800</v>
      </c>
      <c r="AE6" s="283" t="s">
        <v>220</v>
      </c>
    </row>
    <row r="7" spans="3:32">
      <c r="I7" s="406"/>
      <c r="J7" s="280"/>
      <c r="M7" s="282"/>
      <c r="N7" s="314" t="s">
        <v>198</v>
      </c>
      <c r="O7" s="289">
        <v>2475</v>
      </c>
      <c r="P7" s="315" t="s">
        <v>220</v>
      </c>
      <c r="Q7" s="280" t="s">
        <v>198</v>
      </c>
      <c r="R7" s="289">
        <v>1845</v>
      </c>
      <c r="S7" s="236" t="s">
        <v>220</v>
      </c>
      <c r="T7" s="314" t="s">
        <v>198</v>
      </c>
      <c r="U7" s="289">
        <v>2865</v>
      </c>
      <c r="V7" s="315" t="s">
        <v>220</v>
      </c>
      <c r="W7" s="280" t="s">
        <v>198</v>
      </c>
      <c r="X7" s="289">
        <v>1515</v>
      </c>
      <c r="Y7" s="236" t="s">
        <v>220</v>
      </c>
      <c r="Z7" s="314" t="s">
        <v>198</v>
      </c>
      <c r="AA7" s="289">
        <v>1890</v>
      </c>
      <c r="AB7" s="315" t="s">
        <v>220</v>
      </c>
      <c r="AC7" s="280" t="s">
        <v>198</v>
      </c>
      <c r="AD7" s="289">
        <v>3673</v>
      </c>
      <c r="AE7" s="283" t="s">
        <v>220</v>
      </c>
    </row>
    <row r="8" spans="3:32" ht="16" thickBot="1">
      <c r="I8" s="406"/>
      <c r="J8" s="280"/>
      <c r="K8" s="281"/>
      <c r="L8" s="290"/>
      <c r="M8" s="282"/>
      <c r="N8" s="314" t="s">
        <v>266</v>
      </c>
      <c r="O8" s="287">
        <v>255</v>
      </c>
      <c r="P8" s="315" t="s">
        <v>220</v>
      </c>
      <c r="Q8" s="314" t="s">
        <v>266</v>
      </c>
      <c r="R8" s="287">
        <f t="shared" si="0"/>
        <v>255</v>
      </c>
      <c r="S8" s="236" t="s">
        <v>220</v>
      </c>
      <c r="T8" s="314" t="s">
        <v>266</v>
      </c>
      <c r="U8" s="287">
        <f t="shared" si="1"/>
        <v>255</v>
      </c>
      <c r="V8" s="315" t="s">
        <v>220</v>
      </c>
      <c r="W8" s="280" t="s">
        <v>203</v>
      </c>
      <c r="X8" s="287">
        <f>U8</f>
        <v>255</v>
      </c>
      <c r="Y8" s="236" t="s">
        <v>220</v>
      </c>
      <c r="Z8" s="314" t="s">
        <v>203</v>
      </c>
      <c r="AA8" s="287">
        <f>X8</f>
        <v>255</v>
      </c>
      <c r="AB8" s="315" t="s">
        <v>220</v>
      </c>
      <c r="AC8" s="280" t="s">
        <v>203</v>
      </c>
      <c r="AD8" s="287">
        <v>2695</v>
      </c>
      <c r="AE8" s="283" t="s">
        <v>220</v>
      </c>
    </row>
    <row r="9" spans="3:32" ht="15" customHeight="1" thickBot="1">
      <c r="C9" s="424" t="s">
        <v>264</v>
      </c>
      <c r="D9" s="425"/>
      <c r="E9" s="321">
        <v>5143</v>
      </c>
      <c r="I9" s="406"/>
      <c r="J9" s="280"/>
      <c r="K9" s="281" t="s">
        <v>195</v>
      </c>
      <c r="L9" s="288">
        <v>0</v>
      </c>
      <c r="M9" s="282"/>
      <c r="N9" s="314" t="s">
        <v>204</v>
      </c>
      <c r="O9" s="287">
        <v>220</v>
      </c>
      <c r="P9" s="315" t="s">
        <v>220</v>
      </c>
      <c r="Q9" s="280" t="s">
        <v>221</v>
      </c>
      <c r="R9" s="287">
        <f t="shared" si="0"/>
        <v>220</v>
      </c>
      <c r="S9" s="236" t="s">
        <v>220</v>
      </c>
      <c r="T9" s="314" t="s">
        <v>221</v>
      </c>
      <c r="U9" s="287">
        <f t="shared" si="1"/>
        <v>220</v>
      </c>
      <c r="V9" s="315" t="s">
        <v>220</v>
      </c>
      <c r="W9" s="280" t="s">
        <v>221</v>
      </c>
      <c r="X9" s="287">
        <f t="shared" ref="X9:X13" si="2">U9</f>
        <v>220</v>
      </c>
      <c r="Y9" s="236" t="s">
        <v>220</v>
      </c>
      <c r="Z9" s="314" t="s">
        <v>221</v>
      </c>
      <c r="AA9" s="287">
        <f t="shared" ref="AA9:AA13" si="3">X9</f>
        <v>220</v>
      </c>
      <c r="AB9" s="315" t="s">
        <v>220</v>
      </c>
      <c r="AC9" s="280" t="s">
        <v>221</v>
      </c>
      <c r="AD9" s="287">
        <v>220</v>
      </c>
      <c r="AE9" s="283" t="s">
        <v>220</v>
      </c>
    </row>
    <row r="10" spans="3:32" ht="15" customHeight="1">
      <c r="C10" s="422" t="s">
        <v>263</v>
      </c>
      <c r="D10" s="322">
        <v>0</v>
      </c>
      <c r="E10" s="323">
        <v>10666</v>
      </c>
      <c r="I10" s="406"/>
      <c r="J10" s="280"/>
      <c r="K10" s="281" t="s">
        <v>218</v>
      </c>
      <c r="L10" s="291">
        <v>7.0000000000000007E-2</v>
      </c>
      <c r="M10" s="282"/>
      <c r="N10" s="314" t="s">
        <v>205</v>
      </c>
      <c r="O10" s="287">
        <v>220</v>
      </c>
      <c r="P10" s="315" t="s">
        <v>220</v>
      </c>
      <c r="Q10" s="280" t="s">
        <v>222</v>
      </c>
      <c r="R10" s="287">
        <f t="shared" si="0"/>
        <v>220</v>
      </c>
      <c r="S10" s="236" t="s">
        <v>220</v>
      </c>
      <c r="T10" s="314" t="s">
        <v>222</v>
      </c>
      <c r="U10" s="287">
        <f t="shared" si="1"/>
        <v>220</v>
      </c>
      <c r="V10" s="315" t="s">
        <v>220</v>
      </c>
      <c r="W10" s="280" t="s">
        <v>222</v>
      </c>
      <c r="X10" s="287">
        <f t="shared" si="2"/>
        <v>220</v>
      </c>
      <c r="Y10" s="236" t="s">
        <v>220</v>
      </c>
      <c r="Z10" s="314" t="s">
        <v>222</v>
      </c>
      <c r="AA10" s="287">
        <f t="shared" si="3"/>
        <v>220</v>
      </c>
      <c r="AB10" s="315" t="s">
        <v>220</v>
      </c>
      <c r="AC10" s="280" t="s">
        <v>222</v>
      </c>
      <c r="AD10" s="287">
        <v>220</v>
      </c>
      <c r="AE10" s="283" t="s">
        <v>220</v>
      </c>
    </row>
    <row r="11" spans="3:32" ht="15" customHeight="1">
      <c r="C11" s="422"/>
      <c r="D11" s="322">
        <v>1</v>
      </c>
      <c r="E11" s="323">
        <v>0</v>
      </c>
      <c r="I11" s="406"/>
      <c r="J11" s="280"/>
      <c r="K11" s="281" t="s">
        <v>201</v>
      </c>
      <c r="L11" s="292">
        <v>0</v>
      </c>
      <c r="M11" s="282"/>
      <c r="N11" s="314" t="s">
        <v>206</v>
      </c>
      <c r="O11" s="287">
        <v>220</v>
      </c>
      <c r="P11" s="315" t="s">
        <v>220</v>
      </c>
      <c r="Q11" s="280" t="s">
        <v>223</v>
      </c>
      <c r="R11" s="287">
        <f t="shared" si="0"/>
        <v>220</v>
      </c>
      <c r="S11" s="236" t="s">
        <v>220</v>
      </c>
      <c r="T11" s="314" t="s">
        <v>223</v>
      </c>
      <c r="U11" s="287">
        <f t="shared" si="1"/>
        <v>220</v>
      </c>
      <c r="V11" s="315" t="s">
        <v>220</v>
      </c>
      <c r="W11" s="280" t="s">
        <v>223</v>
      </c>
      <c r="X11" s="287">
        <f t="shared" si="2"/>
        <v>220</v>
      </c>
      <c r="Y11" s="236" t="s">
        <v>220</v>
      </c>
      <c r="Z11" s="314" t="s">
        <v>223</v>
      </c>
      <c r="AA11" s="287">
        <f t="shared" si="3"/>
        <v>220</v>
      </c>
      <c r="AB11" s="315" t="s">
        <v>220</v>
      </c>
      <c r="AC11" s="280" t="s">
        <v>223</v>
      </c>
      <c r="AD11" s="287">
        <v>220</v>
      </c>
      <c r="AE11" s="283" t="s">
        <v>220</v>
      </c>
    </row>
    <row r="12" spans="3:32" ht="15" customHeight="1">
      <c r="C12" s="422"/>
      <c r="D12" s="322">
        <v>2</v>
      </c>
      <c r="E12" s="323">
        <v>0</v>
      </c>
      <c r="I12" s="406"/>
      <c r="J12" s="280"/>
      <c r="K12" s="281" t="s">
        <v>213</v>
      </c>
      <c r="L12" s="293">
        <v>5</v>
      </c>
      <c r="M12" s="282"/>
      <c r="N12" s="314" t="s">
        <v>207</v>
      </c>
      <c r="O12" s="287">
        <v>220</v>
      </c>
      <c r="P12" s="315" t="s">
        <v>220</v>
      </c>
      <c r="Q12" s="280" t="s">
        <v>224</v>
      </c>
      <c r="R12" s="287">
        <f t="shared" si="0"/>
        <v>220</v>
      </c>
      <c r="S12" s="236" t="s">
        <v>220</v>
      </c>
      <c r="T12" s="314" t="s">
        <v>224</v>
      </c>
      <c r="U12" s="287">
        <f t="shared" si="1"/>
        <v>220</v>
      </c>
      <c r="V12" s="315" t="s">
        <v>220</v>
      </c>
      <c r="W12" s="280" t="s">
        <v>224</v>
      </c>
      <c r="X12" s="287">
        <f t="shared" si="2"/>
        <v>220</v>
      </c>
      <c r="Y12" s="236" t="s">
        <v>220</v>
      </c>
      <c r="Z12" s="314" t="s">
        <v>224</v>
      </c>
      <c r="AA12" s="287">
        <f t="shared" si="3"/>
        <v>220</v>
      </c>
      <c r="AB12" s="315" t="s">
        <v>220</v>
      </c>
      <c r="AC12" s="280" t="s">
        <v>224</v>
      </c>
      <c r="AD12" s="287">
        <v>220</v>
      </c>
      <c r="AE12" s="283" t="s">
        <v>220</v>
      </c>
    </row>
    <row r="13" spans="3:32" ht="15" customHeight="1">
      <c r="C13" s="422"/>
      <c r="D13" s="322">
        <v>3</v>
      </c>
      <c r="E13" s="323">
        <v>0</v>
      </c>
      <c r="I13" s="406"/>
      <c r="J13" s="280"/>
      <c r="K13" s="281" t="s">
        <v>214</v>
      </c>
      <c r="L13" s="293">
        <v>25</v>
      </c>
      <c r="M13" s="282"/>
      <c r="N13" s="314" t="s">
        <v>208</v>
      </c>
      <c r="O13" s="287">
        <v>220</v>
      </c>
      <c r="P13" s="315" t="s">
        <v>220</v>
      </c>
      <c r="Q13" s="280" t="s">
        <v>225</v>
      </c>
      <c r="R13" s="287">
        <f t="shared" si="0"/>
        <v>220</v>
      </c>
      <c r="S13" s="236" t="s">
        <v>220</v>
      </c>
      <c r="T13" s="314" t="s">
        <v>225</v>
      </c>
      <c r="U13" s="287">
        <f t="shared" si="1"/>
        <v>220</v>
      </c>
      <c r="V13" s="315" t="s">
        <v>220</v>
      </c>
      <c r="W13" s="280" t="s">
        <v>225</v>
      </c>
      <c r="X13" s="287">
        <f t="shared" si="2"/>
        <v>220</v>
      </c>
      <c r="Y13" s="236" t="s">
        <v>220</v>
      </c>
      <c r="Z13" s="314" t="s">
        <v>225</v>
      </c>
      <c r="AA13" s="287">
        <f t="shared" si="3"/>
        <v>220</v>
      </c>
      <c r="AB13" s="315" t="s">
        <v>220</v>
      </c>
      <c r="AC13" s="280" t="s">
        <v>225</v>
      </c>
      <c r="AD13" s="287">
        <v>220</v>
      </c>
      <c r="AE13" s="283" t="s">
        <v>220</v>
      </c>
    </row>
    <row r="14" spans="3:32" ht="15" customHeight="1" thickBot="1">
      <c r="C14" s="422"/>
      <c r="D14" s="322">
        <v>4</v>
      </c>
      <c r="E14" s="323">
        <v>0</v>
      </c>
      <c r="I14" s="407"/>
      <c r="J14" s="294"/>
      <c r="K14" s="294"/>
      <c r="L14" s="295"/>
      <c r="M14" s="296"/>
      <c r="N14" s="317"/>
      <c r="O14" s="305"/>
      <c r="P14" s="319"/>
      <c r="Q14" s="296"/>
      <c r="R14" s="307"/>
      <c r="S14" s="306"/>
      <c r="T14" s="317"/>
      <c r="U14" s="296"/>
      <c r="V14" s="318"/>
      <c r="W14" s="306"/>
      <c r="X14" s="296"/>
      <c r="Y14" s="307"/>
      <c r="Z14" s="320"/>
      <c r="AA14" s="296"/>
      <c r="AB14" s="318"/>
      <c r="AC14" s="306"/>
      <c r="AD14" s="296"/>
      <c r="AE14" s="308"/>
    </row>
    <row r="15" spans="3:32" s="132" customFormat="1" ht="15" customHeight="1" thickBot="1">
      <c r="C15" s="423"/>
      <c r="D15" s="324">
        <v>5</v>
      </c>
      <c r="E15" s="325">
        <v>0</v>
      </c>
      <c r="L15" s="231"/>
      <c r="O15" s="205"/>
      <c r="P15" s="215"/>
      <c r="R15" s="159"/>
      <c r="S15" s="215"/>
      <c r="V15" s="159"/>
      <c r="W15" s="215"/>
      <c r="Y15" s="159"/>
      <c r="Z15" s="215"/>
      <c r="AB15" s="159"/>
      <c r="AC15" s="215"/>
      <c r="AE15" s="159"/>
      <c r="AF15" s="215"/>
    </row>
    <row r="16" spans="3:32" s="132" customFormat="1">
      <c r="L16" s="231"/>
      <c r="M16" s="185"/>
      <c r="O16" s="205"/>
      <c r="P16" s="215"/>
      <c r="R16" s="159"/>
      <c r="S16" s="215"/>
      <c r="V16" s="159"/>
      <c r="W16" s="215"/>
      <c r="Y16" s="159"/>
      <c r="Z16" s="215"/>
      <c r="AB16" s="159"/>
      <c r="AC16" s="215"/>
      <c r="AE16" s="159"/>
      <c r="AF16" s="215"/>
    </row>
    <row r="17" spans="2:30">
      <c r="M17" s="185"/>
    </row>
    <row r="18" spans="2:30" ht="19">
      <c r="M18" s="185"/>
      <c r="N18" s="399" t="s">
        <v>256</v>
      </c>
      <c r="O18" s="400"/>
      <c r="P18" s="400"/>
      <c r="Q18" s="400"/>
      <c r="R18" s="400"/>
      <c r="S18" s="400"/>
      <c r="T18" s="400"/>
      <c r="U18" s="400"/>
      <c r="V18" s="400"/>
      <c r="W18" s="400"/>
      <c r="X18" s="400"/>
      <c r="Y18" s="400"/>
      <c r="Z18" s="400"/>
      <c r="AA18" s="400"/>
      <c r="AB18" s="401"/>
    </row>
    <row r="19" spans="2:30" ht="17" thickBot="1">
      <c r="M19" s="185"/>
      <c r="N19" s="416" t="s">
        <v>76</v>
      </c>
      <c r="O19" s="418" t="s">
        <v>196</v>
      </c>
      <c r="P19" s="419"/>
      <c r="Q19" s="419"/>
      <c r="R19" s="419"/>
      <c r="S19" s="419"/>
      <c r="T19" s="420"/>
      <c r="U19" s="298"/>
      <c r="V19" s="372" t="s">
        <v>197</v>
      </c>
      <c r="W19" s="372"/>
      <c r="X19" s="372"/>
      <c r="Y19" s="372"/>
      <c r="Z19" s="372"/>
      <c r="AA19" s="372"/>
      <c r="AB19" s="232" t="s">
        <v>166</v>
      </c>
    </row>
    <row r="20" spans="2:30" ht="49" thickBot="1">
      <c r="B20" s="402" t="s">
        <v>257</v>
      </c>
      <c r="C20" s="403"/>
      <c r="D20" s="403"/>
      <c r="E20" s="403"/>
      <c r="F20" s="403"/>
      <c r="G20" s="403"/>
      <c r="H20" s="403"/>
      <c r="I20" s="403"/>
      <c r="J20" s="403"/>
      <c r="K20" s="403"/>
      <c r="L20" s="404"/>
      <c r="M20"/>
      <c r="N20" s="417"/>
      <c r="O20" s="233" t="s">
        <v>198</v>
      </c>
      <c r="P20" s="177" t="s">
        <v>199</v>
      </c>
      <c r="Q20" s="177" t="s">
        <v>226</v>
      </c>
      <c r="R20" s="177" t="s">
        <v>200</v>
      </c>
      <c r="S20" s="177" t="s">
        <v>201</v>
      </c>
      <c r="T20" s="234" t="s">
        <v>202</v>
      </c>
      <c r="U20" s="177" t="s">
        <v>263</v>
      </c>
      <c r="V20" s="179" t="s">
        <v>146</v>
      </c>
      <c r="W20" s="173" t="s">
        <v>209</v>
      </c>
      <c r="X20" s="68" t="s">
        <v>210</v>
      </c>
      <c r="Y20" s="64" t="s">
        <v>211</v>
      </c>
      <c r="Z20" s="64" t="s">
        <v>212</v>
      </c>
      <c r="AA20" s="64" t="s">
        <v>197</v>
      </c>
      <c r="AB20" s="75" t="s">
        <v>253</v>
      </c>
    </row>
    <row r="21" spans="2:30">
      <c r="B21" s="413" t="str">
        <f>'Pin Sylvestre'!F17</f>
        <v xml:space="preserve">Pin sylvestre </v>
      </c>
      <c r="C21" s="414"/>
      <c r="D21" s="414"/>
      <c r="E21" s="414"/>
      <c r="F21" s="414"/>
      <c r="G21" s="415"/>
      <c r="H21" s="393" t="s">
        <v>248</v>
      </c>
      <c r="I21" s="394"/>
      <c r="J21" s="394"/>
      <c r="K21" s="395"/>
      <c r="L21" s="297">
        <f>O5</f>
        <v>1.3332999999999999</v>
      </c>
      <c r="N21" s="71">
        <v>0</v>
      </c>
      <c r="O21" s="235">
        <f>SUMPRODUCT(O6:AE6,O5:AE5)+SUMPRODUCT(O5:AE5,O7:AE7)+SUMPRODUCT(O5:AE5,O8:AE8)</f>
        <v>24898.8835</v>
      </c>
      <c r="P21" s="176"/>
      <c r="Q21" s="236"/>
      <c r="R21" s="176">
        <f t="shared" ref="R21:R84" si="4">$L$10*SUM(O21:Q21)</f>
        <v>1742.9218450000001</v>
      </c>
      <c r="S21" s="176">
        <f>$L$11*(1+$L$9)^N21*'Récapitulatif des résultats'!$I$11</f>
        <v>0</v>
      </c>
      <c r="T21" s="237"/>
      <c r="U21" s="334">
        <f t="shared" ref="U21:U26" si="5">VLOOKUP(N21,D9:E14,2,FALSE)</f>
        <v>10666</v>
      </c>
      <c r="V21" s="241">
        <f t="shared" ref="V21:V84" si="6">SUM(W21:Z21)</f>
        <v>0</v>
      </c>
      <c r="W21" s="242">
        <f>SUM('Pin Sylvestre'!AQ5*'Pin Sylvestre'!$F$21,Douglas!AQ5*Douglas!$F$21,'Pin Maritime'!AQ5*'Pin Maritime'!$F$21,'Meleze Hybride'!AQ5*'Meleze Hybride'!$F$21,Thuya!AQ5*Thuya!$F$21,'Chêne et feuillus divers'!AQ5*'Chêne et feuillus divers'!$F$21)</f>
        <v>0</v>
      </c>
      <c r="X21" s="242">
        <f>SUM('Pin Sylvestre'!AR5*'Pin Sylvestre'!$F$21,Douglas!AR5*Douglas!$F$21,'Pin Maritime'!AR5*'Pin Maritime'!$F$21,'Meleze Hybride'!AR5*'Meleze Hybride'!$F$21,Thuya!AR5*Thuya!$F$21,'Chêne et feuillus divers'!AR5*'Chêne et feuillus divers'!$F$21)</f>
        <v>0</v>
      </c>
      <c r="Y21" s="242">
        <f>SUM('Pin Sylvestre'!AS5*'Pin Sylvestre'!$F$21,Douglas!AS5*Douglas!$F$21,'Pin Maritime'!AS5*'Pin Maritime'!$F$21,'Meleze Hybride'!AS5*'Meleze Hybride'!$F$21,Thuya!AS5*Thuya!$F$21,'Chêne et feuillus divers'!AS5*'Chêne et feuillus divers'!$F$21)</f>
        <v>0</v>
      </c>
      <c r="Z21" s="326">
        <f>SUM('Pin Sylvestre'!AT5*'Pin Sylvestre'!$F$21,Douglas!AT5*Douglas!$F$21,'Pin Maritime'!AT5*'Pin Maritime'!$F$21,'Meleze Hybride'!AT5*'Meleze Hybride'!$F$21,Thuya!AT5*Thuya!$F$21,'Chêne et feuillus divers'!AT5*'Chêne et feuillus divers'!$F$21)</f>
        <v>0</v>
      </c>
      <c r="AA21" s="243">
        <f>SUMIF(B$23:B$115,N21,L$23:L$115)+U21</f>
        <v>10666</v>
      </c>
      <c r="AB21" s="244">
        <f t="shared" ref="AB21:AB84" si="7">IF(N21&lt;=$L$4,(AA21-SUM(O21:T21))/((1+4.5%)^N21),)</f>
        <v>-15975.805345000001</v>
      </c>
    </row>
    <row r="22" spans="2:30">
      <c r="B22" s="254" t="str">
        <f>'Pin Sylvestre'!B81</f>
        <v>Année</v>
      </c>
      <c r="C22" s="131" t="str">
        <f>'Pin Sylvestre'!C81</f>
        <v>Volume d'éclaircie</v>
      </c>
      <c r="D22" s="129" t="str">
        <f>'Pin Sylvestre'!D81</f>
        <v>BO</v>
      </c>
      <c r="E22" s="129" t="str">
        <f>'Pin Sylvestre'!E81</f>
        <v>BI - panneaux</v>
      </c>
      <c r="F22" s="129" t="str">
        <f>'Pin Sylvestre'!F81</f>
        <v>BI - papier</v>
      </c>
      <c r="G22" s="130" t="str">
        <f>'Pin Sylvestre'!G81</f>
        <v>BE</v>
      </c>
      <c r="H22" s="212" t="s">
        <v>78</v>
      </c>
      <c r="I22" s="213" t="s">
        <v>81</v>
      </c>
      <c r="J22" s="213" t="s">
        <v>80</v>
      </c>
      <c r="K22" s="214" t="s">
        <v>79</v>
      </c>
      <c r="L22" s="255" t="s">
        <v>252</v>
      </c>
      <c r="N22" s="71">
        <v>1</v>
      </c>
      <c r="O22" s="235"/>
      <c r="P22" s="176">
        <f>SUMPRODUCT($O$5:$AE$5,O9:AE9)</f>
        <v>880.02199999999993</v>
      </c>
      <c r="Q22" s="236"/>
      <c r="R22" s="176">
        <f t="shared" si="4"/>
        <v>61.60154</v>
      </c>
      <c r="S22" s="176">
        <f>$L$11*(1+$L$9)^N22*'Récapitulatif des résultats'!$I$11</f>
        <v>0</v>
      </c>
      <c r="T22" s="237"/>
      <c r="U22" s="334">
        <f t="shared" si="5"/>
        <v>0</v>
      </c>
      <c r="V22" s="245">
        <f t="shared" si="6"/>
        <v>0</v>
      </c>
      <c r="W22" s="184">
        <f>SUM('Pin Sylvestre'!AQ6*'Pin Sylvestre'!$F$21,Douglas!AQ6*Douglas!$F$21,'Pin Maritime'!AQ6*'Pin Maritime'!$F$21,'Meleze Hybride'!AQ6*'Meleze Hybride'!$F$21,Thuya!AQ6*Thuya!$F$21,'Chêne et feuillus divers'!AQ6*'Chêne et feuillus divers'!$F$21)</f>
        <v>0</v>
      </c>
      <c r="X22" s="184">
        <f>SUM('Pin Sylvestre'!AR6*'Pin Sylvestre'!$F$21,Douglas!AR6*Douglas!$F$21,'Pin Maritime'!AR6*'Pin Maritime'!$F$21,'Meleze Hybride'!AR6*'Meleze Hybride'!$F$21,Thuya!AR6*Thuya!$F$21,'Chêne et feuillus divers'!AR6*'Chêne et feuillus divers'!$F$21)</f>
        <v>0</v>
      </c>
      <c r="Y22" s="184">
        <f>SUM('Pin Sylvestre'!AS6*'Pin Sylvestre'!$F$21,Douglas!AS6*Douglas!$F$21,'Pin Maritime'!AS6*'Pin Maritime'!$F$21,'Meleze Hybride'!AS6*'Meleze Hybride'!$F$21,Thuya!AS6*Thuya!$F$21,'Chêne et feuillus divers'!AS6*'Chêne et feuillus divers'!$F$21)</f>
        <v>0</v>
      </c>
      <c r="Z22" s="327">
        <f>SUM('Pin Sylvestre'!AT6*'Pin Sylvestre'!$F$21,Douglas!AT6*Douglas!$F$21,'Pin Maritime'!AT6*'Pin Maritime'!$F$21,'Meleze Hybride'!AT6*'Meleze Hybride'!$F$21,Thuya!AT6*Thuya!$F$21,'Chêne et feuillus divers'!AT6*'Chêne et feuillus divers'!$F$21)</f>
        <v>0</v>
      </c>
      <c r="AA22" s="174">
        <f t="shared" ref="AA22:AA85" si="8">SUMIF(B$23:B$115,N22,L$23:L$115)+U22</f>
        <v>0</v>
      </c>
      <c r="AB22" s="175">
        <f t="shared" si="7"/>
        <v>-901.07515789473689</v>
      </c>
      <c r="AC22" s="174"/>
      <c r="AD22" s="174"/>
    </row>
    <row r="23" spans="2:30">
      <c r="B23" s="256">
        <f>'Pin Sylvestre'!B82</f>
        <v>16</v>
      </c>
      <c r="C23" s="219">
        <f>'Pin Sylvestre'!C82</f>
        <v>0</v>
      </c>
      <c r="D23" s="216">
        <f>'Pin Sylvestre'!D82</f>
        <v>0</v>
      </c>
      <c r="E23" s="216">
        <f>'Pin Sylvestre'!E82</f>
        <v>0.56000000000000005</v>
      </c>
      <c r="F23" s="216">
        <f>'Pin Sylvestre'!F82</f>
        <v>0.44</v>
      </c>
      <c r="G23" s="220">
        <f>'Pin Sylvestre'!G82</f>
        <v>0</v>
      </c>
      <c r="H23" s="227">
        <f>IFERROR(VLOOKUP($B$21,Tableau14582[],4,FALSE)*(1+$L$9)^$B23,0)</f>
        <v>30</v>
      </c>
      <c r="I23" s="228">
        <f>IFERROR(VLOOKUP($B$21,Tableau14582[],5,FALSE)*(1+$L$9)^$B23,0)</f>
        <v>19.375</v>
      </c>
      <c r="J23" s="228">
        <f>IFERROR(VLOOKUP($B$21,Tableau14582[],5,FALSE)*(1+$L$9)^$B23,0)</f>
        <v>19.375</v>
      </c>
      <c r="K23" s="229">
        <f>IFERROR(VLOOKUP($B$21,Tableau14582[],6,FALSE)*(1+$L$9)^$B23,0)</f>
        <v>10</v>
      </c>
      <c r="L23" s="257">
        <f>(C23*D23*H23+C23*E23*I23+C23*F23*J23+C23*G23*K23)*L$21</f>
        <v>0</v>
      </c>
      <c r="N23" s="71">
        <v>2</v>
      </c>
      <c r="O23" s="235"/>
      <c r="P23" s="176">
        <f>SUMPRODUCT($O$5:$AE$5,O10:AE10)</f>
        <v>880.02199999999993</v>
      </c>
      <c r="Q23" s="236"/>
      <c r="R23" s="176">
        <f t="shared" si="4"/>
        <v>61.60154</v>
      </c>
      <c r="S23" s="176">
        <f>$L$11*(1+$L$9)^N23*'Récapitulatif des résultats'!$I$11</f>
        <v>0</v>
      </c>
      <c r="T23" s="237"/>
      <c r="U23" s="334">
        <f t="shared" si="5"/>
        <v>0</v>
      </c>
      <c r="V23" s="245">
        <f t="shared" si="6"/>
        <v>0</v>
      </c>
      <c r="W23" s="184">
        <f>SUM('Pin Sylvestre'!AQ7*'Pin Sylvestre'!$F$21,Douglas!AQ7*Douglas!$F$21,'Pin Maritime'!AQ7*'Pin Maritime'!$F$21,'Meleze Hybride'!AQ7*'Meleze Hybride'!$F$21,Thuya!AQ7*Thuya!$F$21,'Chêne et feuillus divers'!AQ7*'Chêne et feuillus divers'!$F$21)</f>
        <v>0</v>
      </c>
      <c r="X23" s="184">
        <f>SUM('Pin Sylvestre'!AR7*'Pin Sylvestre'!$F$21,Douglas!AR7*Douglas!$F$21,'Pin Maritime'!AR7*'Pin Maritime'!$F$21,'Meleze Hybride'!AR7*'Meleze Hybride'!$F$21,Thuya!AR7*Thuya!$F$21,'Chêne et feuillus divers'!AR7*'Chêne et feuillus divers'!$F$21)</f>
        <v>0</v>
      </c>
      <c r="Y23" s="184">
        <f>SUM('Pin Sylvestre'!AS7*'Pin Sylvestre'!$F$21,Douglas!AS7*Douglas!$F$21,'Pin Maritime'!AS7*'Pin Maritime'!$F$21,'Meleze Hybride'!AS7*'Meleze Hybride'!$F$21,Thuya!AS7*Thuya!$F$21,'Chêne et feuillus divers'!AS7*'Chêne et feuillus divers'!$F$21)</f>
        <v>0</v>
      </c>
      <c r="Z23" s="327">
        <f>SUM('Pin Sylvestre'!AT7*'Pin Sylvestre'!$F$21,Douglas!AT7*Douglas!$F$21,'Pin Maritime'!AT7*'Pin Maritime'!$F$21,'Meleze Hybride'!AT7*'Meleze Hybride'!$F$21,Thuya!AT7*Thuya!$F$21,'Chêne et feuillus divers'!AT7*'Chêne et feuillus divers'!$F$21)</f>
        <v>0</v>
      </c>
      <c r="AA23" s="174">
        <f t="shared" si="8"/>
        <v>0</v>
      </c>
      <c r="AB23" s="175">
        <f t="shared" si="7"/>
        <v>-862.27287836816936</v>
      </c>
      <c r="AC23" s="174"/>
      <c r="AD23" s="174"/>
    </row>
    <row r="24" spans="2:30">
      <c r="B24" s="258">
        <f>'Pin Sylvestre'!B83</f>
        <v>21</v>
      </c>
      <c r="C24" s="221">
        <f>'Pin Sylvestre'!C83</f>
        <v>0</v>
      </c>
      <c r="D24" s="222">
        <f>'Pin Sylvestre'!D83</f>
        <v>0</v>
      </c>
      <c r="E24" s="217">
        <f>'Pin Sylvestre'!E83</f>
        <v>0.56000000000000005</v>
      </c>
      <c r="F24" s="217">
        <f>'Pin Sylvestre'!F83</f>
        <v>0.44</v>
      </c>
      <c r="G24" s="223">
        <f>'Pin Sylvestre'!G83</f>
        <v>0</v>
      </c>
      <c r="H24" s="206">
        <f>IFERROR(VLOOKUP($B$21,Tableau14582[],4,FALSE)*(1+$L$9)^$B24,0)</f>
        <v>30</v>
      </c>
      <c r="I24" s="207">
        <f>IFERROR(VLOOKUP($B$21,Tableau14582[],5,FALSE)*(1+$L$9)^$B24,0)</f>
        <v>19.375</v>
      </c>
      <c r="J24" s="207">
        <f>IFERROR(VLOOKUP($B$21,Tableau14582[],5,FALSE)*(1+$L$9)^$B24,0)</f>
        <v>19.375</v>
      </c>
      <c r="K24" s="208">
        <f>IFERROR(VLOOKUP($B$21,Tableau14582[],6,FALSE)*(1+$L$9)^$B24,0)</f>
        <v>10</v>
      </c>
      <c r="L24" s="259">
        <f t="shared" ref="L24:L35" si="9">(C24*D24*H24+C24*E24*I24+C24*F24*J24+C24*G24*K24)*L$21</f>
        <v>0</v>
      </c>
      <c r="N24" s="71">
        <v>3</v>
      </c>
      <c r="O24" s="235"/>
      <c r="P24" s="176">
        <f>SUMPRODUCT($O$5:$AE$5,O11:AE11)</f>
        <v>880.02199999999993</v>
      </c>
      <c r="Q24" s="236"/>
      <c r="R24" s="176">
        <f t="shared" si="4"/>
        <v>61.60154</v>
      </c>
      <c r="S24" s="176">
        <f>$L$11*(1+$L$9)^N24*'Récapitulatif des résultats'!$I$11</f>
        <v>0</v>
      </c>
      <c r="T24" s="237"/>
      <c r="U24" s="334">
        <f t="shared" si="5"/>
        <v>0</v>
      </c>
      <c r="V24" s="245">
        <f t="shared" si="6"/>
        <v>0</v>
      </c>
      <c r="W24" s="184">
        <f>SUM('Pin Sylvestre'!AQ8*'Pin Sylvestre'!$F$21,Douglas!AQ8*Douglas!$F$21,'Pin Maritime'!AQ8*'Pin Maritime'!$F$21,'Meleze Hybride'!AQ8*'Meleze Hybride'!$F$21,Thuya!AQ8*Thuya!$F$21,'Chêne et feuillus divers'!AQ8*'Chêne et feuillus divers'!$F$21)</f>
        <v>0</v>
      </c>
      <c r="X24" s="184">
        <f>SUM('Pin Sylvestre'!AR8*'Pin Sylvestre'!$F$21,Douglas!AR8*Douglas!$F$21,'Pin Maritime'!AR8*'Pin Maritime'!$F$21,'Meleze Hybride'!AR8*'Meleze Hybride'!$F$21,Thuya!AR8*Thuya!$F$21,'Chêne et feuillus divers'!AR8*'Chêne et feuillus divers'!$F$21)</f>
        <v>0</v>
      </c>
      <c r="Y24" s="184">
        <f>SUM('Pin Sylvestre'!AS8*'Pin Sylvestre'!$F$21,Douglas!AS8*Douglas!$F$21,'Pin Maritime'!AS8*'Pin Maritime'!$F$21,'Meleze Hybride'!AS8*'Meleze Hybride'!$F$21,Thuya!AS8*Thuya!$F$21,'Chêne et feuillus divers'!AS8*'Chêne et feuillus divers'!$F$21)</f>
        <v>0</v>
      </c>
      <c r="Z24" s="327">
        <f>SUM('Pin Sylvestre'!AT8*'Pin Sylvestre'!$F$21,Douglas!AT8*Douglas!$F$21,'Pin Maritime'!AT8*'Pin Maritime'!$F$21,'Meleze Hybride'!AT8*'Meleze Hybride'!$F$21,Thuya!AT8*Thuya!$F$21,'Chêne et feuillus divers'!AT8*'Chêne et feuillus divers'!$F$21)</f>
        <v>0</v>
      </c>
      <c r="AA24" s="174">
        <f t="shared" si="8"/>
        <v>0</v>
      </c>
      <c r="AB24" s="175">
        <f t="shared" si="7"/>
        <v>-825.14151040016202</v>
      </c>
      <c r="AC24" s="174"/>
      <c r="AD24" s="174"/>
    </row>
    <row r="25" spans="2:30">
      <c r="B25" s="258">
        <f>'Pin Sylvestre'!B84</f>
        <v>26</v>
      </c>
      <c r="C25" s="221">
        <f>'Pin Sylvestre'!C84</f>
        <v>33</v>
      </c>
      <c r="D25" s="222">
        <f>'Pin Sylvestre'!D84</f>
        <v>0</v>
      </c>
      <c r="E25" s="217">
        <f>'Pin Sylvestre'!E84</f>
        <v>0.56000000000000005</v>
      </c>
      <c r="F25" s="217">
        <f>'Pin Sylvestre'!F84</f>
        <v>0.44</v>
      </c>
      <c r="G25" s="223">
        <f>'Pin Sylvestre'!G84</f>
        <v>0</v>
      </c>
      <c r="H25" s="206">
        <f>IFERROR(VLOOKUP($B$21,Tableau14582[],4,FALSE)*(1+$L$9)^$B25,0)</f>
        <v>30</v>
      </c>
      <c r="I25" s="207">
        <f>IFERROR(VLOOKUP($B$21,Tableau14582[],5,FALSE)*(1+$L$9)^$B25,0)</f>
        <v>19.375</v>
      </c>
      <c r="J25" s="207">
        <f>IFERROR(VLOOKUP($B$21,Tableau14582[],5,FALSE)*(1+$L$9)^$B25,0)</f>
        <v>19.375</v>
      </c>
      <c r="K25" s="208">
        <f>IFERROR(VLOOKUP($B$21,Tableau14582[],6,FALSE)*(1+$L$9)^$B25,0)</f>
        <v>10</v>
      </c>
      <c r="L25" s="259">
        <f t="shared" si="9"/>
        <v>852.47868749999998</v>
      </c>
      <c r="N25" s="71">
        <v>4</v>
      </c>
      <c r="O25" s="235"/>
      <c r="P25" s="176">
        <f>SUMPRODUCT($O$5:$AE$5,O12:AE12)</f>
        <v>880.02199999999993</v>
      </c>
      <c r="Q25" s="236"/>
      <c r="R25" s="176">
        <f t="shared" si="4"/>
        <v>61.60154</v>
      </c>
      <c r="S25" s="176">
        <f>$L$11*(1+$L$9)^N25*'Récapitulatif des résultats'!$I$11</f>
        <v>0</v>
      </c>
      <c r="T25" s="237"/>
      <c r="U25" s="334">
        <f t="shared" si="5"/>
        <v>0</v>
      </c>
      <c r="V25" s="245">
        <f t="shared" si="6"/>
        <v>0</v>
      </c>
      <c r="W25" s="184">
        <f>SUM('Pin Sylvestre'!AQ9*'Pin Sylvestre'!$F$21,Douglas!AQ9*Douglas!$F$21,'Pin Maritime'!AQ9*'Pin Maritime'!$F$21,'Meleze Hybride'!AQ9*'Meleze Hybride'!$F$21,Thuya!AQ9*Thuya!$F$21,'Chêne et feuillus divers'!AQ9*'Chêne et feuillus divers'!$F$21)</f>
        <v>0</v>
      </c>
      <c r="X25" s="184">
        <f>SUM('Pin Sylvestre'!AR9*'Pin Sylvestre'!$F$21,Douglas!AR9*Douglas!$F$21,'Pin Maritime'!AR9*'Pin Maritime'!$F$21,'Meleze Hybride'!AR9*'Meleze Hybride'!$F$21,Thuya!AR9*Thuya!$F$21,'Chêne et feuillus divers'!AR9*'Chêne et feuillus divers'!$F$21)</f>
        <v>0</v>
      </c>
      <c r="Y25" s="184">
        <f>SUM('Pin Sylvestre'!AS9*'Pin Sylvestre'!$F$21,Douglas!AS9*Douglas!$F$21,'Pin Maritime'!AS9*'Pin Maritime'!$F$21,'Meleze Hybride'!AS9*'Meleze Hybride'!$F$21,Thuya!AS9*Thuya!$F$21,'Chêne et feuillus divers'!AS9*'Chêne et feuillus divers'!$F$21)</f>
        <v>0</v>
      </c>
      <c r="Z25" s="327">
        <f>SUM('Pin Sylvestre'!AT9*'Pin Sylvestre'!$F$21,Douglas!AT9*Douglas!$F$21,'Pin Maritime'!AT9*'Pin Maritime'!$F$21,'Meleze Hybride'!AT9*'Meleze Hybride'!$F$21,Thuya!AT9*Thuya!$F$21,'Chêne et feuillus divers'!AT9*'Chêne et feuillus divers'!$F$21)</f>
        <v>0</v>
      </c>
      <c r="AA25" s="174">
        <f t="shared" si="8"/>
        <v>0</v>
      </c>
      <c r="AB25" s="175">
        <f t="shared" si="7"/>
        <v>-789.60910086139927</v>
      </c>
      <c r="AC25" s="174"/>
      <c r="AD25" s="174"/>
    </row>
    <row r="26" spans="2:30">
      <c r="B26" s="258">
        <f>'Pin Sylvestre'!B85</f>
        <v>31</v>
      </c>
      <c r="C26" s="221">
        <f>'Pin Sylvestre'!C85</f>
        <v>35</v>
      </c>
      <c r="D26" s="222">
        <f>'Pin Sylvestre'!D85</f>
        <v>0.1</v>
      </c>
      <c r="E26" s="217">
        <f>'Pin Sylvestre'!E85</f>
        <v>0.50400000000000011</v>
      </c>
      <c r="F26" s="217">
        <f>'Pin Sylvestre'!F85</f>
        <v>0.39600000000000002</v>
      </c>
      <c r="G26" s="223">
        <f>'Pin Sylvestre'!G85</f>
        <v>0</v>
      </c>
      <c r="H26" s="206">
        <f>IFERROR(VLOOKUP($B$21,Tableau14582[],4,FALSE)*(1+$L$9)^$B26,0)</f>
        <v>30</v>
      </c>
      <c r="I26" s="207">
        <f>IFERROR(VLOOKUP($B$21,Tableau14582[],5,FALSE)*(1+$L$9)^$B26,0)</f>
        <v>19.375</v>
      </c>
      <c r="J26" s="207">
        <f>IFERROR(VLOOKUP($B$21,Tableau14582[],5,FALSE)*(1+$L$9)^$B26,0)</f>
        <v>19.375</v>
      </c>
      <c r="K26" s="208">
        <f>IFERROR(VLOOKUP($B$21,Tableau14582[],6,FALSE)*(1+$L$9)^$B26,0)</f>
        <v>10</v>
      </c>
      <c r="L26" s="259">
        <f t="shared" si="9"/>
        <v>953.72615625000014</v>
      </c>
      <c r="N26" s="71">
        <v>5</v>
      </c>
      <c r="O26" s="235"/>
      <c r="P26" s="176">
        <f>SUMPRODUCT($O$5:$AE$5,O13:AE13)</f>
        <v>880.02199999999993</v>
      </c>
      <c r="Q26" s="236"/>
      <c r="R26" s="176">
        <f t="shared" si="4"/>
        <v>61.60154</v>
      </c>
      <c r="S26" s="176">
        <f>$L$11*(1+$L$9)^N26*'Récapitulatif des résultats'!$I$11</f>
        <v>0</v>
      </c>
      <c r="T26" s="237"/>
      <c r="U26" s="334">
        <f t="shared" si="5"/>
        <v>0</v>
      </c>
      <c r="V26" s="245">
        <f t="shared" si="6"/>
        <v>0</v>
      </c>
      <c r="W26" s="184">
        <f>SUM('Pin Sylvestre'!AQ10*'Pin Sylvestre'!$F$21,Douglas!AQ10*Douglas!$F$21,'Pin Maritime'!AQ10*'Pin Maritime'!$F$21,'Meleze Hybride'!AQ10*'Meleze Hybride'!$F$21,Thuya!AQ10*Thuya!$F$21,'Chêne et feuillus divers'!AQ10*'Chêne et feuillus divers'!$F$21)</f>
        <v>0</v>
      </c>
      <c r="X26" s="184">
        <f>SUM('Pin Sylvestre'!AR10*'Pin Sylvestre'!$F$21,Douglas!AR10*Douglas!$F$21,'Pin Maritime'!AR10*'Pin Maritime'!$F$21,'Meleze Hybride'!AR10*'Meleze Hybride'!$F$21,Thuya!AR10*Thuya!$F$21,'Chêne et feuillus divers'!AR10*'Chêne et feuillus divers'!$F$21)</f>
        <v>0</v>
      </c>
      <c r="Y26" s="184">
        <f>SUM('Pin Sylvestre'!AS10*'Pin Sylvestre'!$F$21,Douglas!AS10*Douglas!$F$21,'Pin Maritime'!AS10*'Pin Maritime'!$F$21,'Meleze Hybride'!AS10*'Meleze Hybride'!$F$21,Thuya!AS10*Thuya!$F$21,'Chêne et feuillus divers'!AS10*'Chêne et feuillus divers'!$F$21)</f>
        <v>0</v>
      </c>
      <c r="Z26" s="327">
        <f>SUM('Pin Sylvestre'!AT10*'Pin Sylvestre'!$F$21,Douglas!AT10*Douglas!$F$21,'Pin Maritime'!AT10*'Pin Maritime'!$F$21,'Meleze Hybride'!AT10*'Meleze Hybride'!$F$21,Thuya!AT10*Thuya!$F$21,'Chêne et feuillus divers'!AT10*'Chêne et feuillus divers'!$F$21)</f>
        <v>0</v>
      </c>
      <c r="AA26" s="174">
        <f t="shared" si="8"/>
        <v>0</v>
      </c>
      <c r="AB26" s="175">
        <f t="shared" si="7"/>
        <v>-755.60679508267867</v>
      </c>
      <c r="AC26" s="174"/>
      <c r="AD26" s="174"/>
    </row>
    <row r="27" spans="2:30">
      <c r="B27" s="258">
        <f>'Pin Sylvestre'!B86</f>
        <v>36</v>
      </c>
      <c r="C27" s="221">
        <f>'Pin Sylvestre'!C86</f>
        <v>35</v>
      </c>
      <c r="D27" s="222">
        <f>'Pin Sylvestre'!D86</f>
        <v>0.1</v>
      </c>
      <c r="E27" s="217">
        <f>'Pin Sylvestre'!E86</f>
        <v>0.50400000000000011</v>
      </c>
      <c r="F27" s="217">
        <f>'Pin Sylvestre'!F86</f>
        <v>0.39600000000000002</v>
      </c>
      <c r="G27" s="223">
        <f>'Pin Sylvestre'!G86</f>
        <v>0</v>
      </c>
      <c r="H27" s="206">
        <f>IFERROR(VLOOKUP($B$21,Tableau14582[],4,FALSE)*(1+$L$9)^$B27,0)</f>
        <v>30</v>
      </c>
      <c r="I27" s="207">
        <f>IFERROR(VLOOKUP($B$21,Tableau14582[],5,FALSE)*(1+$L$9)^$B27,0)</f>
        <v>19.375</v>
      </c>
      <c r="J27" s="207">
        <f>IFERROR(VLOOKUP($B$21,Tableau14582[],5,FALSE)*(1+$L$9)^$B27,0)</f>
        <v>19.375</v>
      </c>
      <c r="K27" s="208">
        <f>IFERROR(VLOOKUP($B$21,Tableau14582[],6,FALSE)*(1+$L$9)^$B27,0)</f>
        <v>10</v>
      </c>
      <c r="L27" s="259">
        <f t="shared" si="9"/>
        <v>953.72615625000014</v>
      </c>
      <c r="N27" s="71">
        <v>6</v>
      </c>
      <c r="O27" s="235"/>
      <c r="P27" s="176"/>
      <c r="Q27" s="236">
        <f t="shared" ref="Q27:Q58" si="10">$L$13*(1+$L$9)^N27*$L$5</f>
        <v>100.0025</v>
      </c>
      <c r="R27" s="176">
        <f t="shared" si="4"/>
        <v>7.0001750000000005</v>
      </c>
      <c r="S27" s="176">
        <f>$L$11*(1+$L$9)^N27*'Récapitulatif des résultats'!$I$11</f>
        <v>0</v>
      </c>
      <c r="T27" s="237"/>
      <c r="U27" s="176"/>
      <c r="V27" s="245">
        <f t="shared" si="6"/>
        <v>0</v>
      </c>
      <c r="W27" s="184">
        <f>SUM('Pin Sylvestre'!AQ11*'Pin Sylvestre'!$F$21,Douglas!AQ11*Douglas!$F$21,'Pin Maritime'!AQ11*'Pin Maritime'!$F$21,'Meleze Hybride'!AQ11*'Meleze Hybride'!$F$21,Thuya!AQ11*Thuya!$F$21,'Chêne et feuillus divers'!AQ11*'Chêne et feuillus divers'!$F$21)</f>
        <v>0</v>
      </c>
      <c r="X27" s="184">
        <f>SUM('Pin Sylvestre'!AR11*'Pin Sylvestre'!$F$21,Douglas!AR11*Douglas!$F$21,'Pin Maritime'!AR11*'Pin Maritime'!$F$21,'Meleze Hybride'!AR11*'Meleze Hybride'!$F$21,Thuya!AR11*Thuya!$F$21,'Chêne et feuillus divers'!AR11*'Chêne et feuillus divers'!$F$21)</f>
        <v>0</v>
      </c>
      <c r="Y27" s="184">
        <f>SUM('Pin Sylvestre'!AS11*'Pin Sylvestre'!$F$21,Douglas!AS11*Douglas!$F$21,'Pin Maritime'!AS11*'Pin Maritime'!$F$21,'Meleze Hybride'!AS11*'Meleze Hybride'!$F$21,Thuya!AS11*Thuya!$F$21,'Chêne et feuillus divers'!AS11*'Chêne et feuillus divers'!$F$21)</f>
        <v>0</v>
      </c>
      <c r="Z27" s="327">
        <f>SUM('Pin Sylvestre'!AT11*'Pin Sylvestre'!$F$21,Douglas!AT11*Douglas!$F$21,'Pin Maritime'!AT11*'Pin Maritime'!$F$21,'Meleze Hybride'!AT11*'Meleze Hybride'!$F$21,Thuya!AT11*Thuya!$F$21,'Chêne et feuillus divers'!AT11*'Chêne et feuillus divers'!$F$21)</f>
        <v>0</v>
      </c>
      <c r="AA27" s="174">
        <f t="shared" si="8"/>
        <v>0</v>
      </c>
      <c r="AB27" s="175">
        <f t="shared" si="7"/>
        <v>-82.166898116863734</v>
      </c>
      <c r="AC27" s="174"/>
      <c r="AD27" s="174"/>
    </row>
    <row r="28" spans="2:30">
      <c r="B28" s="258">
        <f>'Pin Sylvestre'!B87</f>
        <v>41</v>
      </c>
      <c r="C28" s="221">
        <f>'Pin Sylvestre'!C87</f>
        <v>35</v>
      </c>
      <c r="D28" s="222">
        <f>'Pin Sylvestre'!D87</f>
        <v>0.2</v>
      </c>
      <c r="E28" s="217">
        <f>'Pin Sylvestre'!E87</f>
        <v>0.44800000000000006</v>
      </c>
      <c r="F28" s="217">
        <f>'Pin Sylvestre'!F87</f>
        <v>0.35200000000000004</v>
      </c>
      <c r="G28" s="223">
        <f>'Pin Sylvestre'!G87</f>
        <v>0</v>
      </c>
      <c r="H28" s="206">
        <f>IFERROR(VLOOKUP($B$21,Tableau14582[],4,FALSE)*(1+$L$9)^$B28,0)</f>
        <v>30</v>
      </c>
      <c r="I28" s="207">
        <f>IFERROR(VLOOKUP($B$21,Tableau14582[],5,FALSE)*(1+$L$9)^$B28,0)</f>
        <v>19.375</v>
      </c>
      <c r="J28" s="207">
        <f>IFERROR(VLOOKUP($B$21,Tableau14582[],5,FALSE)*(1+$L$9)^$B28,0)</f>
        <v>19.375</v>
      </c>
      <c r="K28" s="208">
        <f>IFERROR(VLOOKUP($B$21,Tableau14582[],6,FALSE)*(1+$L$9)^$B28,0)</f>
        <v>10</v>
      </c>
      <c r="L28" s="259">
        <f t="shared" si="9"/>
        <v>1003.3082499999999</v>
      </c>
      <c r="N28" s="71">
        <v>7</v>
      </c>
      <c r="O28" s="235"/>
      <c r="P28" s="176"/>
      <c r="Q28" s="236">
        <f t="shared" si="10"/>
        <v>100.0025</v>
      </c>
      <c r="R28" s="176">
        <f t="shared" si="4"/>
        <v>7.0001750000000005</v>
      </c>
      <c r="S28" s="176">
        <f>$L$11*(1+$L$9)^N28*'Récapitulatif des résultats'!$I$11</f>
        <v>0</v>
      </c>
      <c r="T28" s="237"/>
      <c r="U28" s="176"/>
      <c r="V28" s="245">
        <f t="shared" si="6"/>
        <v>0</v>
      </c>
      <c r="W28" s="184">
        <f>SUM('Pin Sylvestre'!AQ12*'Pin Sylvestre'!$F$21,Douglas!AQ12*Douglas!$F$21,'Pin Maritime'!AQ12*'Pin Maritime'!$F$21,'Meleze Hybride'!AQ12*'Meleze Hybride'!$F$21,Thuya!AQ12*Thuya!$F$21,'Chêne et feuillus divers'!AQ12*'Chêne et feuillus divers'!$F$21)</f>
        <v>0</v>
      </c>
      <c r="X28" s="184">
        <f>SUM('Pin Sylvestre'!AR12*'Pin Sylvestre'!$F$21,Douglas!AR12*Douglas!$F$21,'Pin Maritime'!AR12*'Pin Maritime'!$F$21,'Meleze Hybride'!AR12*'Meleze Hybride'!$F$21,Thuya!AR12*Thuya!$F$21,'Chêne et feuillus divers'!AR12*'Chêne et feuillus divers'!$F$21)</f>
        <v>0</v>
      </c>
      <c r="Y28" s="184">
        <f>SUM('Pin Sylvestre'!AS12*'Pin Sylvestre'!$F$21,Douglas!AS12*Douglas!$F$21,'Pin Maritime'!AS12*'Pin Maritime'!$F$21,'Meleze Hybride'!AS12*'Meleze Hybride'!$F$21,Thuya!AS12*Thuya!$F$21,'Chêne et feuillus divers'!AS12*'Chêne et feuillus divers'!$F$21)</f>
        <v>0</v>
      </c>
      <c r="Z28" s="327">
        <f>SUM('Pin Sylvestre'!AT12*'Pin Sylvestre'!$F$21,Douglas!AT12*Douglas!$F$21,'Pin Maritime'!AT12*'Pin Maritime'!$F$21,'Meleze Hybride'!AT12*'Meleze Hybride'!$F$21,Thuya!AT12*Thuya!$F$21,'Chêne et feuillus divers'!AT12*'Chêne et feuillus divers'!$F$21)</f>
        <v>0</v>
      </c>
      <c r="AA28" s="174">
        <f t="shared" si="8"/>
        <v>0</v>
      </c>
      <c r="AB28" s="175">
        <f t="shared" si="7"/>
        <v>-78.628610638147109</v>
      </c>
      <c r="AC28" s="174"/>
      <c r="AD28" s="174"/>
    </row>
    <row r="29" spans="2:30">
      <c r="B29" s="258">
        <f>'Pin Sylvestre'!B88</f>
        <v>46</v>
      </c>
      <c r="C29" s="221">
        <f>'Pin Sylvestre'!C88</f>
        <v>35</v>
      </c>
      <c r="D29" s="222">
        <f>'Pin Sylvestre'!D88</f>
        <v>0.2</v>
      </c>
      <c r="E29" s="217">
        <f>'Pin Sylvestre'!E88</f>
        <v>0.44800000000000006</v>
      </c>
      <c r="F29" s="217">
        <f>'Pin Sylvestre'!F88</f>
        <v>0.35200000000000004</v>
      </c>
      <c r="G29" s="223">
        <f>'Pin Sylvestre'!G88</f>
        <v>0</v>
      </c>
      <c r="H29" s="206">
        <f>IFERROR(VLOOKUP($B$21,Tableau14582[],4,FALSE)*(1+$L$9)^$B29,0)</f>
        <v>30</v>
      </c>
      <c r="I29" s="207">
        <f>IFERROR(VLOOKUP($B$21,Tableau14582[],5,FALSE)*(1+$L$9)^$B29,0)</f>
        <v>19.375</v>
      </c>
      <c r="J29" s="207">
        <f>IFERROR(VLOOKUP($B$21,Tableau14582[],5,FALSE)*(1+$L$9)^$B29,0)</f>
        <v>19.375</v>
      </c>
      <c r="K29" s="208">
        <f>IFERROR(VLOOKUP($B$21,Tableau14582[],6,FALSE)*(1+$L$9)^$B29,0)</f>
        <v>10</v>
      </c>
      <c r="L29" s="259">
        <f t="shared" si="9"/>
        <v>1003.3082499999999</v>
      </c>
      <c r="N29" s="71">
        <v>8</v>
      </c>
      <c r="O29" s="235"/>
      <c r="P29" s="176"/>
      <c r="Q29" s="236">
        <f t="shared" si="10"/>
        <v>100.0025</v>
      </c>
      <c r="R29" s="176">
        <f t="shared" si="4"/>
        <v>7.0001750000000005</v>
      </c>
      <c r="S29" s="176">
        <f>$L$11*(1+$L$9)^N29*'Récapitulatif des résultats'!$I$11</f>
        <v>0</v>
      </c>
      <c r="T29" s="237"/>
      <c r="U29" s="176"/>
      <c r="V29" s="245">
        <f t="shared" si="6"/>
        <v>0</v>
      </c>
      <c r="W29" s="184">
        <f>SUM('Pin Sylvestre'!AQ13*'Pin Sylvestre'!$F$21,Douglas!AQ13*Douglas!$F$21,'Pin Maritime'!AQ13*'Pin Maritime'!$F$21,'Meleze Hybride'!AQ13*'Meleze Hybride'!$F$21,Thuya!AQ13*Thuya!$F$21,'Chêne et feuillus divers'!AQ13*'Chêne et feuillus divers'!$F$21)</f>
        <v>0</v>
      </c>
      <c r="X29" s="184">
        <f>SUM('Pin Sylvestre'!AR13*'Pin Sylvestre'!$F$21,Douglas!AR13*Douglas!$F$21,'Pin Maritime'!AR13*'Pin Maritime'!$F$21,'Meleze Hybride'!AR13*'Meleze Hybride'!$F$21,Thuya!AR13*Thuya!$F$21,'Chêne et feuillus divers'!AR13*'Chêne et feuillus divers'!$F$21)</f>
        <v>0</v>
      </c>
      <c r="Y29" s="184">
        <f>SUM('Pin Sylvestre'!AS13*'Pin Sylvestre'!$F$21,Douglas!AS13*Douglas!$F$21,'Pin Maritime'!AS13*'Pin Maritime'!$F$21,'Meleze Hybride'!AS13*'Meleze Hybride'!$F$21,Thuya!AS13*Thuya!$F$21,'Chêne et feuillus divers'!AS13*'Chêne et feuillus divers'!$F$21)</f>
        <v>0</v>
      </c>
      <c r="Z29" s="327">
        <f>SUM('Pin Sylvestre'!AT13*'Pin Sylvestre'!$F$21,Douglas!AT13*Douglas!$F$21,'Pin Maritime'!AT13*'Pin Maritime'!$F$21,'Meleze Hybride'!AT13*'Meleze Hybride'!$F$21,Thuya!AT13*Thuya!$F$21,'Chêne et feuillus divers'!AT13*'Chêne et feuillus divers'!$F$21)</f>
        <v>0</v>
      </c>
      <c r="AA29" s="174">
        <f t="shared" si="8"/>
        <v>0</v>
      </c>
      <c r="AB29" s="175">
        <f t="shared" si="7"/>
        <v>-75.242689605882433</v>
      </c>
      <c r="AC29" s="174"/>
      <c r="AD29" s="174"/>
    </row>
    <row r="30" spans="2:30">
      <c r="B30" s="258">
        <f>'Pin Sylvestre'!B89</f>
        <v>51</v>
      </c>
      <c r="C30" s="221">
        <f>'Pin Sylvestre'!C89</f>
        <v>35</v>
      </c>
      <c r="D30" s="222">
        <f>'Pin Sylvestre'!D89</f>
        <v>0.3</v>
      </c>
      <c r="E30" s="217">
        <f>'Pin Sylvestre'!E89</f>
        <v>0.39200000000000002</v>
      </c>
      <c r="F30" s="217">
        <f>'Pin Sylvestre'!F89</f>
        <v>0.308</v>
      </c>
      <c r="G30" s="223">
        <f>'Pin Sylvestre'!G89</f>
        <v>0</v>
      </c>
      <c r="H30" s="206">
        <f>IFERROR(VLOOKUP($B$21,Tableau14582[],4,FALSE)*(1+$L$9)^$B30,0)</f>
        <v>30</v>
      </c>
      <c r="I30" s="207">
        <f>IFERROR(VLOOKUP($B$21,Tableau14582[],5,FALSE)*(1+$L$9)^$B30,0)</f>
        <v>19.375</v>
      </c>
      <c r="J30" s="207">
        <f>IFERROR(VLOOKUP($B$21,Tableau14582[],5,FALSE)*(1+$L$9)^$B30,0)</f>
        <v>19.375</v>
      </c>
      <c r="K30" s="208">
        <f>IFERROR(VLOOKUP($B$21,Tableau14582[],6,FALSE)*(1+$L$9)^$B30,0)</f>
        <v>10</v>
      </c>
      <c r="L30" s="259">
        <f t="shared" si="9"/>
        <v>1052.8903437500001</v>
      </c>
      <c r="N30" s="71">
        <v>9</v>
      </c>
      <c r="O30" s="235"/>
      <c r="P30" s="176"/>
      <c r="Q30" s="236">
        <f t="shared" si="10"/>
        <v>100.0025</v>
      </c>
      <c r="R30" s="176">
        <f t="shared" si="4"/>
        <v>7.0001750000000005</v>
      </c>
      <c r="S30" s="176">
        <f>$L$11*(1+$L$9)^N30*'Récapitulatif des résultats'!$I$11</f>
        <v>0</v>
      </c>
      <c r="T30" s="237"/>
      <c r="U30" s="176"/>
      <c r="V30" s="245">
        <f t="shared" si="6"/>
        <v>0</v>
      </c>
      <c r="W30" s="184">
        <f>SUM('Pin Sylvestre'!AQ14*'Pin Sylvestre'!$F$21,Douglas!AQ14*Douglas!$F$21,'Pin Maritime'!AQ14*'Pin Maritime'!$F$21,'Meleze Hybride'!AQ14*'Meleze Hybride'!$F$21,Thuya!AQ14*Thuya!$F$21,'Chêne et feuillus divers'!AQ14*'Chêne et feuillus divers'!$F$21)</f>
        <v>0</v>
      </c>
      <c r="X30" s="184">
        <f>SUM('Pin Sylvestre'!AR14*'Pin Sylvestre'!$F$21,Douglas!AR14*Douglas!$F$21,'Pin Maritime'!AR14*'Pin Maritime'!$F$21,'Meleze Hybride'!AR14*'Meleze Hybride'!$F$21,Thuya!AR14*Thuya!$F$21,'Chêne et feuillus divers'!AR14*'Chêne et feuillus divers'!$F$21)</f>
        <v>0</v>
      </c>
      <c r="Y30" s="184">
        <f>SUM('Pin Sylvestre'!AS14*'Pin Sylvestre'!$F$21,Douglas!AS14*Douglas!$F$21,'Pin Maritime'!AS14*'Pin Maritime'!$F$21,'Meleze Hybride'!AS14*'Meleze Hybride'!$F$21,Thuya!AS14*Thuya!$F$21,'Chêne et feuillus divers'!AS14*'Chêne et feuillus divers'!$F$21)</f>
        <v>0</v>
      </c>
      <c r="Z30" s="327">
        <f>SUM('Pin Sylvestre'!AT14*'Pin Sylvestre'!$F$21,Douglas!AT14*Douglas!$F$21,'Pin Maritime'!AT14*'Pin Maritime'!$F$21,'Meleze Hybride'!AT14*'Meleze Hybride'!$F$21,Thuya!AT14*Thuya!$F$21,'Chêne et feuillus divers'!AT14*'Chêne et feuillus divers'!$F$21)</f>
        <v>0</v>
      </c>
      <c r="AA30" s="174">
        <f t="shared" si="8"/>
        <v>0</v>
      </c>
      <c r="AB30" s="175">
        <f t="shared" si="7"/>
        <v>-72.002573785533428</v>
      </c>
      <c r="AC30" s="174"/>
      <c r="AD30" s="174"/>
    </row>
    <row r="31" spans="2:30">
      <c r="B31" s="258">
        <f>'Pin Sylvestre'!B90</f>
        <v>56</v>
      </c>
      <c r="C31" s="221">
        <f>'Pin Sylvestre'!C90</f>
        <v>35</v>
      </c>
      <c r="D31" s="222">
        <f>'Pin Sylvestre'!D90</f>
        <v>0.3</v>
      </c>
      <c r="E31" s="217">
        <f>'Pin Sylvestre'!E90</f>
        <v>0.39200000000000002</v>
      </c>
      <c r="F31" s="217">
        <f>'Pin Sylvestre'!F90</f>
        <v>0.308</v>
      </c>
      <c r="G31" s="223">
        <f>'Pin Sylvestre'!G90</f>
        <v>0</v>
      </c>
      <c r="H31" s="206">
        <f>IFERROR(VLOOKUP($B$21,Tableau14582[],4,FALSE)*(1+$L$9)^$B31,0)</f>
        <v>30</v>
      </c>
      <c r="I31" s="207">
        <f>IFERROR(VLOOKUP($B$21,Tableau14582[],5,FALSE)*(1+$L$9)^$B31,0)</f>
        <v>19.375</v>
      </c>
      <c r="J31" s="207">
        <f>IFERROR(VLOOKUP($B$21,Tableau14582[],5,FALSE)*(1+$L$9)^$B31,0)</f>
        <v>19.375</v>
      </c>
      <c r="K31" s="208">
        <f>IFERROR(VLOOKUP($B$21,Tableau14582[],6,FALSE)*(1+$L$9)^$B31,0)</f>
        <v>10</v>
      </c>
      <c r="L31" s="259">
        <f t="shared" si="9"/>
        <v>1052.8903437500001</v>
      </c>
      <c r="N31" s="71">
        <v>10</v>
      </c>
      <c r="O31" s="235"/>
      <c r="P31" s="176"/>
      <c r="Q31" s="236">
        <f t="shared" si="10"/>
        <v>100.0025</v>
      </c>
      <c r="R31" s="176">
        <f t="shared" si="4"/>
        <v>7.0001750000000005</v>
      </c>
      <c r="S31" s="176">
        <f>$L$11*(1+$L$9)^N31*'Récapitulatif des résultats'!$I$11</f>
        <v>0</v>
      </c>
      <c r="T31" s="237"/>
      <c r="U31" s="176"/>
      <c r="V31" s="245">
        <f t="shared" si="6"/>
        <v>0</v>
      </c>
      <c r="W31" s="184">
        <f>SUM('Pin Sylvestre'!AQ15*'Pin Sylvestre'!$F$21,Douglas!AQ15*Douglas!$F$21,'Pin Maritime'!AQ15*'Pin Maritime'!$F$21,'Meleze Hybride'!AQ15*'Meleze Hybride'!$F$21,Thuya!AQ15*Thuya!$F$21,'Chêne et feuillus divers'!AQ15*'Chêne et feuillus divers'!$F$21)</f>
        <v>0</v>
      </c>
      <c r="X31" s="184">
        <f>SUM('Pin Sylvestre'!AR15*'Pin Sylvestre'!$F$21,Douglas!AR15*Douglas!$F$21,'Pin Maritime'!AR15*'Pin Maritime'!$F$21,'Meleze Hybride'!AR15*'Meleze Hybride'!$F$21,Thuya!AR15*Thuya!$F$21,'Chêne et feuillus divers'!AR15*'Chêne et feuillus divers'!$F$21)</f>
        <v>0</v>
      </c>
      <c r="Y31" s="184">
        <f>SUM('Pin Sylvestre'!AS15*'Pin Sylvestre'!$F$21,Douglas!AS15*Douglas!$F$21,'Pin Maritime'!AS15*'Pin Maritime'!$F$21,'Meleze Hybride'!AS15*'Meleze Hybride'!$F$21,Thuya!AS15*Thuya!$F$21,'Chêne et feuillus divers'!AS15*'Chêne et feuillus divers'!$F$21)</f>
        <v>0</v>
      </c>
      <c r="Z31" s="327">
        <f>SUM('Pin Sylvestre'!AT15*'Pin Sylvestre'!$F$21,Douglas!AT15*Douglas!$F$21,'Pin Maritime'!AT15*'Pin Maritime'!$F$21,'Meleze Hybride'!AT15*'Meleze Hybride'!$F$21,Thuya!AT15*Thuya!$F$21,'Chêne et feuillus divers'!AT15*'Chêne et feuillus divers'!$F$21)</f>
        <v>0</v>
      </c>
      <c r="AA31" s="174">
        <f t="shared" si="8"/>
        <v>0</v>
      </c>
      <c r="AB31" s="175">
        <f t="shared" si="7"/>
        <v>-68.901984483764053</v>
      </c>
      <c r="AC31" s="174"/>
      <c r="AD31" s="174"/>
    </row>
    <row r="32" spans="2:30">
      <c r="B32" s="258">
        <f>'Pin Sylvestre'!B91</f>
        <v>61</v>
      </c>
      <c r="C32" s="221">
        <f>'Pin Sylvestre'!C91</f>
        <v>35</v>
      </c>
      <c r="D32" s="222">
        <f>'Pin Sylvestre'!D91</f>
        <v>0.4</v>
      </c>
      <c r="E32" s="217">
        <f>'Pin Sylvestre'!E91</f>
        <v>0.33600000000000002</v>
      </c>
      <c r="F32" s="217">
        <f>'Pin Sylvestre'!F91</f>
        <v>0.26400000000000001</v>
      </c>
      <c r="G32" s="223">
        <f>'Pin Sylvestre'!G91</f>
        <v>0</v>
      </c>
      <c r="H32" s="206">
        <f>IFERROR(VLOOKUP($B$21,Tableau14582[],4,FALSE)*(1+$L$9)^$B32,0)</f>
        <v>30</v>
      </c>
      <c r="I32" s="207">
        <f>IFERROR(VLOOKUP($B$21,Tableau14582[],5,FALSE)*(1+$L$9)^$B32,0)</f>
        <v>19.375</v>
      </c>
      <c r="J32" s="207">
        <f>IFERROR(VLOOKUP($B$21,Tableau14582[],5,FALSE)*(1+$L$9)^$B32,0)</f>
        <v>19.375</v>
      </c>
      <c r="K32" s="208">
        <f>IFERROR(VLOOKUP($B$21,Tableau14582[],6,FALSE)*(1+$L$9)^$B32,0)</f>
        <v>10</v>
      </c>
      <c r="L32" s="259">
        <f t="shared" si="9"/>
        <v>1102.4724374999998</v>
      </c>
      <c r="N32" s="71">
        <v>11</v>
      </c>
      <c r="O32" s="235"/>
      <c r="P32" s="176"/>
      <c r="Q32" s="236">
        <f t="shared" si="10"/>
        <v>100.0025</v>
      </c>
      <c r="R32" s="176">
        <f t="shared" si="4"/>
        <v>7.0001750000000005</v>
      </c>
      <c r="S32" s="176">
        <f>$L$11*(1+$L$9)^N32*'Récapitulatif des résultats'!$I$11</f>
        <v>0</v>
      </c>
      <c r="T32" s="237"/>
      <c r="U32" s="176"/>
      <c r="V32" s="245">
        <f t="shared" si="6"/>
        <v>0</v>
      </c>
      <c r="W32" s="184">
        <f>SUM('Pin Sylvestre'!AQ16*'Pin Sylvestre'!$F$21,Douglas!AQ16*Douglas!$F$21,'Pin Maritime'!AQ16*'Pin Maritime'!$F$21,'Meleze Hybride'!AQ16*'Meleze Hybride'!$F$21,Thuya!AQ16*Thuya!$F$21,'Chêne et feuillus divers'!AQ16*'Chêne et feuillus divers'!$F$21)</f>
        <v>0</v>
      </c>
      <c r="X32" s="184">
        <f>SUM('Pin Sylvestre'!AR16*'Pin Sylvestre'!$F$21,Douglas!AR16*Douglas!$F$21,'Pin Maritime'!AR16*'Pin Maritime'!$F$21,'Meleze Hybride'!AR16*'Meleze Hybride'!$F$21,Thuya!AR16*Thuya!$F$21,'Chêne et feuillus divers'!AR16*'Chêne et feuillus divers'!$F$21)</f>
        <v>0</v>
      </c>
      <c r="Y32" s="184">
        <f>SUM('Pin Sylvestre'!AS16*'Pin Sylvestre'!$F$21,Douglas!AS16*Douglas!$F$21,'Pin Maritime'!AS16*'Pin Maritime'!$F$21,'Meleze Hybride'!AS16*'Meleze Hybride'!$F$21,Thuya!AS16*Thuya!$F$21,'Chêne et feuillus divers'!AS16*'Chêne et feuillus divers'!$F$21)</f>
        <v>0</v>
      </c>
      <c r="Z32" s="327">
        <f>SUM('Pin Sylvestre'!AT16*'Pin Sylvestre'!$F$21,Douglas!AT16*Douglas!$F$21,'Pin Maritime'!AT16*'Pin Maritime'!$F$21,'Meleze Hybride'!AT16*'Meleze Hybride'!$F$21,Thuya!AT16*Thuya!$F$21,'Chêne et feuillus divers'!AT16*'Chêne et feuillus divers'!$F$21)</f>
        <v>0</v>
      </c>
      <c r="AA32" s="174">
        <f t="shared" si="8"/>
        <v>0</v>
      </c>
      <c r="AB32" s="175">
        <f t="shared" si="7"/>
        <v>-65.934913381592395</v>
      </c>
      <c r="AC32" s="174"/>
      <c r="AD32" s="174"/>
    </row>
    <row r="33" spans="1:30">
      <c r="B33" s="258">
        <f>'Pin Sylvestre'!B92</f>
        <v>66</v>
      </c>
      <c r="C33" s="221">
        <f>'Pin Sylvestre'!C92</f>
        <v>33</v>
      </c>
      <c r="D33" s="222">
        <f>'Pin Sylvestre'!D92</f>
        <v>0.4</v>
      </c>
      <c r="E33" s="217">
        <f>'Pin Sylvestre'!E92</f>
        <v>0.33600000000000002</v>
      </c>
      <c r="F33" s="217">
        <f>'Pin Sylvestre'!F92</f>
        <v>0.26400000000000001</v>
      </c>
      <c r="G33" s="223">
        <f>'Pin Sylvestre'!G92</f>
        <v>0</v>
      </c>
      <c r="H33" s="206">
        <f>IFERROR(VLOOKUP($B$21,Tableau14582[],4,FALSE)*(1+$L$9)^$B33,0)</f>
        <v>30</v>
      </c>
      <c r="I33" s="207">
        <f>IFERROR(VLOOKUP($B$21,Tableau14582[],5,FALSE)*(1+$L$9)^$B33,0)</f>
        <v>19.375</v>
      </c>
      <c r="J33" s="207">
        <f>IFERROR(VLOOKUP($B$21,Tableau14582[],5,FALSE)*(1+$L$9)^$B33,0)</f>
        <v>19.375</v>
      </c>
      <c r="K33" s="208">
        <f>IFERROR(VLOOKUP($B$21,Tableau14582[],6,FALSE)*(1+$L$9)^$B33,0)</f>
        <v>10</v>
      </c>
      <c r="L33" s="259">
        <f t="shared" si="9"/>
        <v>1039.4740124999998</v>
      </c>
      <c r="N33" s="71">
        <v>12</v>
      </c>
      <c r="O33" s="235"/>
      <c r="P33" s="176"/>
      <c r="Q33" s="236">
        <f t="shared" si="10"/>
        <v>100.0025</v>
      </c>
      <c r="R33" s="176">
        <f t="shared" si="4"/>
        <v>7.0001750000000005</v>
      </c>
      <c r="S33" s="176">
        <f>$L$11*(1+$L$9)^N33*'Récapitulatif des résultats'!$I$11</f>
        <v>0</v>
      </c>
      <c r="T33" s="237"/>
      <c r="U33" s="176"/>
      <c r="V33" s="245">
        <f t="shared" si="6"/>
        <v>0</v>
      </c>
      <c r="W33" s="184">
        <f>SUM('Pin Sylvestre'!AQ17*'Pin Sylvestre'!$F$21,Douglas!AQ17*Douglas!$F$21,'Pin Maritime'!AQ17*'Pin Maritime'!$F$21,'Meleze Hybride'!AQ17*'Meleze Hybride'!$F$21,Thuya!AQ17*Thuya!$F$21,'Chêne et feuillus divers'!AQ17*'Chêne et feuillus divers'!$F$21)</f>
        <v>0</v>
      </c>
      <c r="X33" s="184">
        <f>SUM('Pin Sylvestre'!AR17*'Pin Sylvestre'!$F$21,Douglas!AR17*Douglas!$F$21,'Pin Maritime'!AR17*'Pin Maritime'!$F$21,'Meleze Hybride'!AR17*'Meleze Hybride'!$F$21,Thuya!AR17*Thuya!$F$21,'Chêne et feuillus divers'!AR17*'Chêne et feuillus divers'!$F$21)</f>
        <v>0</v>
      </c>
      <c r="Y33" s="184">
        <f>SUM('Pin Sylvestre'!AS17*'Pin Sylvestre'!$F$21,Douglas!AS17*Douglas!$F$21,'Pin Maritime'!AS17*'Pin Maritime'!$F$21,'Meleze Hybride'!AS17*'Meleze Hybride'!$F$21,Thuya!AS17*Thuya!$F$21,'Chêne et feuillus divers'!AS17*'Chêne et feuillus divers'!$F$21)</f>
        <v>0</v>
      </c>
      <c r="Z33" s="327">
        <f>SUM('Pin Sylvestre'!AT17*'Pin Sylvestre'!$F$21,Douglas!AT17*Douglas!$F$21,'Pin Maritime'!AT17*'Pin Maritime'!$F$21,'Meleze Hybride'!AT17*'Meleze Hybride'!$F$21,Thuya!AT17*Thuya!$F$21,'Chêne et feuillus divers'!AT17*'Chêne et feuillus divers'!$F$21)</f>
        <v>0</v>
      </c>
      <c r="AA33" s="174">
        <f t="shared" si="8"/>
        <v>0</v>
      </c>
      <c r="AB33" s="175">
        <f t="shared" si="7"/>
        <v>-63.095610891475999</v>
      </c>
      <c r="AC33" s="174"/>
      <c r="AD33" s="174"/>
    </row>
    <row r="34" spans="1:30">
      <c r="B34" s="258">
        <f>'Pin Sylvestre'!B93</f>
        <v>71</v>
      </c>
      <c r="C34" s="221">
        <f>'Pin Sylvestre'!C93</f>
        <v>30</v>
      </c>
      <c r="D34" s="222">
        <f>'Pin Sylvestre'!D93</f>
        <v>0.5</v>
      </c>
      <c r="E34" s="217">
        <f>'Pin Sylvestre'!E93</f>
        <v>0.28000000000000003</v>
      </c>
      <c r="F34" s="217">
        <f>'Pin Sylvestre'!F93</f>
        <v>0.22</v>
      </c>
      <c r="G34" s="223">
        <f>'Pin Sylvestre'!G93</f>
        <v>0</v>
      </c>
      <c r="H34" s="206">
        <f>IFERROR(VLOOKUP($B$21,Tableau14582[],4,FALSE)*(1+$L$9)^$B34,0)</f>
        <v>30</v>
      </c>
      <c r="I34" s="207">
        <f>IFERROR(VLOOKUP($B$21,Tableau14582[],5,FALSE)*(1+$L$9)^$B34,0)</f>
        <v>19.375</v>
      </c>
      <c r="J34" s="207">
        <f>IFERROR(VLOOKUP($B$21,Tableau14582[],5,FALSE)*(1+$L$9)^$B34,0)</f>
        <v>19.375</v>
      </c>
      <c r="K34" s="208">
        <f>IFERROR(VLOOKUP($B$21,Tableau14582[],6,FALSE)*(1+$L$9)^$B34,0)</f>
        <v>10</v>
      </c>
      <c r="L34" s="259">
        <f t="shared" si="9"/>
        <v>987.47531249999997</v>
      </c>
      <c r="N34" s="71">
        <v>13</v>
      </c>
      <c r="O34" s="235"/>
      <c r="P34" s="176"/>
      <c r="Q34" s="236">
        <f t="shared" si="10"/>
        <v>100.0025</v>
      </c>
      <c r="R34" s="176">
        <f t="shared" si="4"/>
        <v>7.0001750000000005</v>
      </c>
      <c r="S34" s="176">
        <f>$L$11*(1+$L$9)^N34*'Récapitulatif des résultats'!$I$11</f>
        <v>0</v>
      </c>
      <c r="T34" s="237"/>
      <c r="U34" s="176"/>
      <c r="V34" s="245">
        <f t="shared" si="6"/>
        <v>0</v>
      </c>
      <c r="W34" s="184">
        <f>SUM('Pin Sylvestre'!AQ18*'Pin Sylvestre'!$F$21,Douglas!AQ18*Douglas!$F$21,'Pin Maritime'!AQ18*'Pin Maritime'!$F$21,'Meleze Hybride'!AQ18*'Meleze Hybride'!$F$21,Thuya!AQ18*Thuya!$F$21,'Chêne et feuillus divers'!AQ18*'Chêne et feuillus divers'!$F$21)</f>
        <v>0</v>
      </c>
      <c r="X34" s="184">
        <f>SUM('Pin Sylvestre'!AR18*'Pin Sylvestre'!$F$21,Douglas!AR18*Douglas!$F$21,'Pin Maritime'!AR18*'Pin Maritime'!$F$21,'Meleze Hybride'!AR18*'Meleze Hybride'!$F$21,Thuya!AR18*Thuya!$F$21,'Chêne et feuillus divers'!AR18*'Chêne et feuillus divers'!$F$21)</f>
        <v>0</v>
      </c>
      <c r="Y34" s="184">
        <f>SUM('Pin Sylvestre'!AS18*'Pin Sylvestre'!$F$21,Douglas!AS18*Douglas!$F$21,'Pin Maritime'!AS18*'Pin Maritime'!$F$21,'Meleze Hybride'!AS18*'Meleze Hybride'!$F$21,Thuya!AS18*Thuya!$F$21,'Chêne et feuillus divers'!AS18*'Chêne et feuillus divers'!$F$21)</f>
        <v>0</v>
      </c>
      <c r="Z34" s="327">
        <f>SUM('Pin Sylvestre'!AT18*'Pin Sylvestre'!$F$21,Douglas!AT18*Douglas!$F$21,'Pin Maritime'!AT18*'Pin Maritime'!$F$21,'Meleze Hybride'!AT18*'Meleze Hybride'!$F$21,Thuya!AT18*Thuya!$F$21,'Chêne et feuillus divers'!AT18*'Chêne et feuillus divers'!$F$21)</f>
        <v>0</v>
      </c>
      <c r="AA34" s="174">
        <f t="shared" si="8"/>
        <v>0</v>
      </c>
      <c r="AB34" s="175">
        <f t="shared" si="7"/>
        <v>-60.378575015766501</v>
      </c>
      <c r="AC34" s="174"/>
      <c r="AD34" s="174"/>
    </row>
    <row r="35" spans="1:30">
      <c r="B35" s="260">
        <f>'Pin Sylvestre'!B95</f>
        <v>80</v>
      </c>
      <c r="C35" s="224">
        <f>'Pin Sylvestre'!C95</f>
        <v>426</v>
      </c>
      <c r="D35" s="218">
        <f>'Pin Sylvestre'!D95</f>
        <v>0.9</v>
      </c>
      <c r="E35" s="230">
        <f>'Pin Sylvestre'!E95</f>
        <v>5.5999999999999994E-2</v>
      </c>
      <c r="F35" s="230">
        <f>'Pin Sylvestre'!F95</f>
        <v>4.3999999999999991E-2</v>
      </c>
      <c r="G35" s="225">
        <f>'Pin Sylvestre'!G95</f>
        <v>0</v>
      </c>
      <c r="H35" s="209">
        <f>IFERROR(VLOOKUP($B$21,Tableau14582[],4,FALSE)*(1+$L$9)^$B35,0)</f>
        <v>30</v>
      </c>
      <c r="I35" s="210">
        <f>IFERROR(VLOOKUP($B$21,Tableau14582[],5,FALSE)*(1+$L$9)^$B35,0)</f>
        <v>19.375</v>
      </c>
      <c r="J35" s="210">
        <f>IFERROR(VLOOKUP($B$21,Tableau14582[],5,FALSE)*(1+$L$9)^$B35,0)</f>
        <v>19.375</v>
      </c>
      <c r="K35" s="211">
        <f>IFERROR(VLOOKUP($B$21,Tableau14582[],6,FALSE)*(1+$L$9)^$B35,0)</f>
        <v>10</v>
      </c>
      <c r="L35" s="261">
        <f t="shared" si="9"/>
        <v>16436.0890875</v>
      </c>
      <c r="N35" s="71">
        <v>14</v>
      </c>
      <c r="O35" s="235"/>
      <c r="P35" s="176"/>
      <c r="Q35" s="236">
        <f t="shared" si="10"/>
        <v>100.0025</v>
      </c>
      <c r="R35" s="176">
        <f t="shared" si="4"/>
        <v>7.0001750000000005</v>
      </c>
      <c r="S35" s="176">
        <f>$L$11*(1+$L$9)^N35*'Récapitulatif des résultats'!$I$11</f>
        <v>0</v>
      </c>
      <c r="T35" s="237"/>
      <c r="U35" s="176"/>
      <c r="V35" s="245">
        <f t="shared" si="6"/>
        <v>0</v>
      </c>
      <c r="W35" s="184">
        <f>SUM('Pin Sylvestre'!AQ19*'Pin Sylvestre'!$F$21,Douglas!AQ19*Douglas!$F$21,'Pin Maritime'!AQ19*'Pin Maritime'!$F$21,'Meleze Hybride'!AQ19*'Meleze Hybride'!$F$21,Thuya!AQ19*Thuya!$F$21,'Chêne et feuillus divers'!AQ19*'Chêne et feuillus divers'!$F$21)</f>
        <v>0</v>
      </c>
      <c r="X35" s="184">
        <f>SUM('Pin Sylvestre'!AR19*'Pin Sylvestre'!$F$21,Douglas!AR19*Douglas!$F$21,'Pin Maritime'!AR19*'Pin Maritime'!$F$21,'Meleze Hybride'!AR19*'Meleze Hybride'!$F$21,Thuya!AR19*Thuya!$F$21,'Chêne et feuillus divers'!AR19*'Chêne et feuillus divers'!$F$21)</f>
        <v>0</v>
      </c>
      <c r="Y35" s="184">
        <f>SUM('Pin Sylvestre'!AS19*'Pin Sylvestre'!$F$21,Douglas!AS19*Douglas!$F$21,'Pin Maritime'!AS19*'Pin Maritime'!$F$21,'Meleze Hybride'!AS19*'Meleze Hybride'!$F$21,Thuya!AS19*Thuya!$F$21,'Chêne et feuillus divers'!AS19*'Chêne et feuillus divers'!$F$21)</f>
        <v>0</v>
      </c>
      <c r="Z35" s="327">
        <f>SUM('Pin Sylvestre'!AT19*'Pin Sylvestre'!$F$21,Douglas!AT19*Douglas!$F$21,'Pin Maritime'!AT19*'Pin Maritime'!$F$21,'Meleze Hybride'!AT19*'Meleze Hybride'!$F$21,Thuya!AT19*Thuya!$F$21,'Chêne et feuillus divers'!AT19*'Chêne et feuillus divers'!$F$21)</f>
        <v>0</v>
      </c>
      <c r="AA35" s="174">
        <f t="shared" si="8"/>
        <v>0</v>
      </c>
      <c r="AB35" s="175">
        <f t="shared" si="7"/>
        <v>-57.778540684944034</v>
      </c>
      <c r="AC35" s="174"/>
      <c r="AD35" s="174"/>
    </row>
    <row r="36" spans="1:30">
      <c r="B36" s="262"/>
      <c r="C36" s="263"/>
      <c r="D36" s="263"/>
      <c r="E36" s="263"/>
      <c r="F36" s="263"/>
      <c r="G36" s="263"/>
      <c r="H36" s="263"/>
      <c r="I36" s="263"/>
      <c r="J36" s="263"/>
      <c r="K36" s="263"/>
      <c r="L36" s="264"/>
      <c r="N36" s="71">
        <v>15</v>
      </c>
      <c r="O36" s="235"/>
      <c r="P36" s="176"/>
      <c r="Q36" s="236">
        <f t="shared" si="10"/>
        <v>100.0025</v>
      </c>
      <c r="R36" s="176">
        <f t="shared" si="4"/>
        <v>7.0001750000000005</v>
      </c>
      <c r="S36" s="176">
        <f>$L$11*(1+$L$9)^N36*'Récapitulatif des résultats'!$I$11</f>
        <v>0</v>
      </c>
      <c r="T36" s="237"/>
      <c r="U36" s="176"/>
      <c r="V36" s="245">
        <f t="shared" si="6"/>
        <v>0</v>
      </c>
      <c r="W36" s="184">
        <f>SUM('Pin Sylvestre'!AQ20*'Pin Sylvestre'!$F$21,Douglas!AQ20*Douglas!$F$21,'Pin Maritime'!AQ20*'Pin Maritime'!$F$21,'Meleze Hybride'!AQ20*'Meleze Hybride'!$F$21,Thuya!AQ20*Thuya!$F$21,'Chêne et feuillus divers'!AQ20*'Chêne et feuillus divers'!$F$21)</f>
        <v>0</v>
      </c>
      <c r="X36" s="184">
        <f>SUM('Pin Sylvestre'!AR20*'Pin Sylvestre'!$F$21,Douglas!AR20*Douglas!$F$21,'Pin Maritime'!AR20*'Pin Maritime'!$F$21,'Meleze Hybride'!AR20*'Meleze Hybride'!$F$21,Thuya!AR20*Thuya!$F$21,'Chêne et feuillus divers'!AR20*'Chêne et feuillus divers'!$F$21)</f>
        <v>0</v>
      </c>
      <c r="Y36" s="184">
        <f>SUM('Pin Sylvestre'!AS20*'Pin Sylvestre'!$F$21,Douglas!AS20*Douglas!$F$21,'Pin Maritime'!AS20*'Pin Maritime'!$F$21,'Meleze Hybride'!AS20*'Meleze Hybride'!$F$21,Thuya!AS20*Thuya!$F$21,'Chêne et feuillus divers'!AS20*'Chêne et feuillus divers'!$F$21)</f>
        <v>0</v>
      </c>
      <c r="Z36" s="327">
        <f>SUM('Pin Sylvestre'!AT20*'Pin Sylvestre'!$F$21,Douglas!AT20*Douglas!$F$21,'Pin Maritime'!AT20*'Pin Maritime'!$F$21,'Meleze Hybride'!AT20*'Meleze Hybride'!$F$21,Thuya!AT20*Thuya!$F$21,'Chêne et feuillus divers'!AT20*'Chêne et feuillus divers'!$F$21)</f>
        <v>0</v>
      </c>
      <c r="AA36" s="174">
        <f t="shared" si="8"/>
        <v>0</v>
      </c>
      <c r="AB36" s="175">
        <f t="shared" si="7"/>
        <v>-55.290469554970358</v>
      </c>
      <c r="AC36" s="174"/>
      <c r="AD36" s="174"/>
    </row>
    <row r="37" spans="1:30">
      <c r="B37" s="410" t="str">
        <f>Douglas!F17</f>
        <v xml:space="preserve">Douglas </v>
      </c>
      <c r="C37" s="411">
        <f>Douglas!C80</f>
        <v>0</v>
      </c>
      <c r="D37" s="411">
        <f>Douglas!D80</f>
        <v>0</v>
      </c>
      <c r="E37" s="411">
        <f>Douglas!E80</f>
        <v>0</v>
      </c>
      <c r="F37" s="411">
        <f>Douglas!F80</f>
        <v>0</v>
      </c>
      <c r="G37" s="412">
        <f>Douglas!G80</f>
        <v>0</v>
      </c>
      <c r="H37" s="396" t="s">
        <v>248</v>
      </c>
      <c r="I37" s="397"/>
      <c r="J37" s="397"/>
      <c r="K37" s="398"/>
      <c r="L37" s="253">
        <f>R5</f>
        <v>0.16669999999999999</v>
      </c>
      <c r="N37" s="71">
        <v>16</v>
      </c>
      <c r="O37" s="235"/>
      <c r="P37" s="176"/>
      <c r="Q37" s="236">
        <f t="shared" si="10"/>
        <v>100.0025</v>
      </c>
      <c r="R37" s="176">
        <f t="shared" si="4"/>
        <v>7.0001750000000005</v>
      </c>
      <c r="S37" s="176">
        <f>$L$11*(1+$L$9)^N37*'Récapitulatif des résultats'!$I$11</f>
        <v>0</v>
      </c>
      <c r="T37" s="237"/>
      <c r="U37" s="176"/>
      <c r="V37" s="245">
        <f t="shared" si="6"/>
        <v>9.3352000000000004</v>
      </c>
      <c r="W37" s="184">
        <f>SUM('Pin Sylvestre'!AQ21*'Pin Sylvestre'!$F$21,Douglas!AQ21*Douglas!$F$21,'Pin Maritime'!AQ21*'Pin Maritime'!$F$21,'Meleze Hybride'!AQ21*'Meleze Hybride'!$F$21,Thuya!AQ21*Thuya!$F$21,'Chêne et feuillus divers'!AQ21*'Chêne et feuillus divers'!$F$21)</f>
        <v>0</v>
      </c>
      <c r="X37" s="184">
        <f>SUM('Pin Sylvestre'!AR21*'Pin Sylvestre'!$F$21,Douglas!AR21*Douglas!$F$21,'Pin Maritime'!AR21*'Pin Maritime'!$F$21,'Meleze Hybride'!AR21*'Meleze Hybride'!$F$21,Thuya!AR21*Thuya!$F$21,'Chêne et feuillus divers'!AR21*'Chêne et feuillus divers'!$F$21)</f>
        <v>5.2277120000000004</v>
      </c>
      <c r="Y37" s="184">
        <f>SUM('Pin Sylvestre'!AS21*'Pin Sylvestre'!$F$21,Douglas!AS21*Douglas!$F$21,'Pin Maritime'!AS21*'Pin Maritime'!$F$21,'Meleze Hybride'!AS21*'Meleze Hybride'!$F$21,Thuya!AS21*Thuya!$F$21,'Chêne et feuillus divers'!AS21*'Chêne et feuillus divers'!$F$21)</f>
        <v>4.107488</v>
      </c>
      <c r="Z37" s="327">
        <f>SUM('Pin Sylvestre'!AT21*'Pin Sylvestre'!$F$21,Douglas!AT21*Douglas!$F$21,'Pin Maritime'!AT21*'Pin Maritime'!$F$21,'Meleze Hybride'!AT21*'Meleze Hybride'!$F$21,Thuya!AT21*Thuya!$F$21,'Chêne et feuillus divers'!AT21*'Chêne et feuillus divers'!$F$21)</f>
        <v>0</v>
      </c>
      <c r="AA37" s="174">
        <f t="shared" si="8"/>
        <v>180.86949999999999</v>
      </c>
      <c r="AB37" s="175">
        <f t="shared" si="7"/>
        <v>36.524878934412854</v>
      </c>
      <c r="AC37" s="174"/>
      <c r="AD37" s="174"/>
    </row>
    <row r="38" spans="1:30">
      <c r="B38" s="265" t="str">
        <f>Douglas!B81</f>
        <v>Année</v>
      </c>
      <c r="C38" s="226" t="str">
        <f>Douglas!C81</f>
        <v>Volume d'éclaircie</v>
      </c>
      <c r="D38" s="213" t="str">
        <f>Douglas!D81</f>
        <v>BO</v>
      </c>
      <c r="E38" s="213" t="str">
        <f>Douglas!E81</f>
        <v>BI - panneaux</v>
      </c>
      <c r="F38" s="213" t="str">
        <f>Douglas!F81</f>
        <v>BI - papier</v>
      </c>
      <c r="G38" s="214" t="str">
        <f>Douglas!G81</f>
        <v>BE</v>
      </c>
      <c r="H38" s="212" t="s">
        <v>78</v>
      </c>
      <c r="I38" s="213" t="s">
        <v>81</v>
      </c>
      <c r="J38" s="213" t="s">
        <v>80</v>
      </c>
      <c r="K38" s="214" t="s">
        <v>79</v>
      </c>
      <c r="L38" s="255" t="s">
        <v>252</v>
      </c>
      <c r="N38" s="71">
        <v>17</v>
      </c>
      <c r="O38" s="235"/>
      <c r="P38" s="176"/>
      <c r="Q38" s="236">
        <f t="shared" si="10"/>
        <v>100.0025</v>
      </c>
      <c r="R38" s="176">
        <f t="shared" si="4"/>
        <v>7.0001750000000005</v>
      </c>
      <c r="S38" s="176">
        <f>$L$11*(1+$L$9)^N38*'Récapitulatif des résultats'!$I$11</f>
        <v>0</v>
      </c>
      <c r="T38" s="237"/>
      <c r="U38" s="176"/>
      <c r="V38" s="245">
        <f t="shared" si="6"/>
        <v>0</v>
      </c>
      <c r="W38" s="184">
        <f>SUM('Pin Sylvestre'!AQ22*'Pin Sylvestre'!$F$21,Douglas!AQ22*Douglas!$F$21,'Pin Maritime'!AQ22*'Pin Maritime'!$F$21,'Meleze Hybride'!AQ22*'Meleze Hybride'!$F$21,Thuya!AQ22*Thuya!$F$21,'Chêne et feuillus divers'!AQ22*'Chêne et feuillus divers'!$F$21)</f>
        <v>0</v>
      </c>
      <c r="X38" s="184">
        <f>SUM('Pin Sylvestre'!AR22*'Pin Sylvestre'!$F$21,Douglas!AR22*Douglas!$F$21,'Pin Maritime'!AR22*'Pin Maritime'!$F$21,'Meleze Hybride'!AR22*'Meleze Hybride'!$F$21,Thuya!AR22*Thuya!$F$21,'Chêne et feuillus divers'!AR22*'Chêne et feuillus divers'!$F$21)</f>
        <v>0</v>
      </c>
      <c r="Y38" s="184">
        <f>SUM('Pin Sylvestre'!AS22*'Pin Sylvestre'!$F$21,Douglas!AS22*Douglas!$F$21,'Pin Maritime'!AS22*'Pin Maritime'!$F$21,'Meleze Hybride'!AS22*'Meleze Hybride'!$F$21,Thuya!AS22*Thuya!$F$21,'Chêne et feuillus divers'!AS22*'Chêne et feuillus divers'!$F$21)</f>
        <v>0</v>
      </c>
      <c r="Z38" s="327">
        <f>SUM('Pin Sylvestre'!AT22*'Pin Sylvestre'!$F$21,Douglas!AT22*Douglas!$F$21,'Pin Maritime'!AT22*'Pin Maritime'!$F$21,'Meleze Hybride'!AT22*'Meleze Hybride'!$F$21,Thuya!AT22*Thuya!$F$21,'Chêne et feuillus divers'!AT22*'Chêne et feuillus divers'!$F$21)</f>
        <v>0</v>
      </c>
      <c r="AA38" s="174">
        <f t="shared" si="8"/>
        <v>0</v>
      </c>
      <c r="AB38" s="175">
        <f t="shared" si="7"/>
        <v>-50.63113898946488</v>
      </c>
      <c r="AC38" s="174"/>
      <c r="AD38" s="174"/>
    </row>
    <row r="39" spans="1:30">
      <c r="B39" s="256">
        <f>Douglas!B82</f>
        <v>11</v>
      </c>
      <c r="C39" s="219">
        <f>Douglas!C82</f>
        <v>0</v>
      </c>
      <c r="D39" s="216">
        <f>Douglas!D82</f>
        <v>0</v>
      </c>
      <c r="E39" s="216">
        <f>Douglas!E82</f>
        <v>0.56000000000000005</v>
      </c>
      <c r="F39" s="216">
        <f>Douglas!F82</f>
        <v>0.44</v>
      </c>
      <c r="G39" s="220">
        <f>Douglas!G82</f>
        <v>0</v>
      </c>
      <c r="H39" s="227">
        <f>IFERROR(VLOOKUP($B$37,Tableau14582[],4,FALSE)*(1+$L$9)^$B39,0)</f>
        <v>59</v>
      </c>
      <c r="I39" s="228">
        <f>IFERROR(VLOOKUP($B$37,Tableau14582[],5,FALSE)*(1+$L$9)^$B39,0)</f>
        <v>19.375</v>
      </c>
      <c r="J39" s="228">
        <f>IFERROR(VLOOKUP($B$37,Tableau14582[],5,FALSE)*(1+$L$9)^$B39,0)</f>
        <v>19.375</v>
      </c>
      <c r="K39" s="229">
        <f>IFERROR(VLOOKUP($B$37,Tableau14582[],6,FALSE)*(1+$L$9)^$B39,0)</f>
        <v>10</v>
      </c>
      <c r="L39" s="257">
        <f>(C39*D39*H39+C39*E39*I39+C39*F39*J39+C39*G39*K39)*L$37</f>
        <v>0</v>
      </c>
      <c r="N39" s="71">
        <v>18</v>
      </c>
      <c r="O39" s="235"/>
      <c r="P39" s="176"/>
      <c r="Q39" s="236">
        <f t="shared" si="10"/>
        <v>100.0025</v>
      </c>
      <c r="R39" s="176">
        <f t="shared" si="4"/>
        <v>7.0001750000000005</v>
      </c>
      <c r="S39" s="176">
        <f>$L$11*(1+$L$9)^N39*'Récapitulatif des résultats'!$I$11</f>
        <v>0</v>
      </c>
      <c r="T39" s="237"/>
      <c r="U39" s="176"/>
      <c r="V39" s="245">
        <f t="shared" si="6"/>
        <v>0</v>
      </c>
      <c r="W39" s="184">
        <f>SUM('Pin Sylvestre'!AQ23*'Pin Sylvestre'!$F$21,Douglas!AQ23*Douglas!$F$21,'Pin Maritime'!AQ23*'Pin Maritime'!$F$21,'Meleze Hybride'!AQ23*'Meleze Hybride'!$F$21,Thuya!AQ23*Thuya!$F$21,'Chêne et feuillus divers'!AQ23*'Chêne et feuillus divers'!$F$21)</f>
        <v>0</v>
      </c>
      <c r="X39" s="184">
        <f>SUM('Pin Sylvestre'!AR23*'Pin Sylvestre'!$F$21,Douglas!AR23*Douglas!$F$21,'Pin Maritime'!AR23*'Pin Maritime'!$F$21,'Meleze Hybride'!AR23*'Meleze Hybride'!$F$21,Thuya!AR23*Thuya!$F$21,'Chêne et feuillus divers'!AR23*'Chêne et feuillus divers'!$F$21)</f>
        <v>0</v>
      </c>
      <c r="Y39" s="184">
        <f>SUM('Pin Sylvestre'!AS23*'Pin Sylvestre'!$F$21,Douglas!AS23*Douglas!$F$21,'Pin Maritime'!AS23*'Pin Maritime'!$F$21,'Meleze Hybride'!AS23*'Meleze Hybride'!$F$21,Thuya!AS23*Thuya!$F$21,'Chêne et feuillus divers'!AS23*'Chêne et feuillus divers'!$F$21)</f>
        <v>0</v>
      </c>
      <c r="Z39" s="327">
        <f>SUM('Pin Sylvestre'!AT23*'Pin Sylvestre'!$F$21,Douglas!AT23*Douglas!$F$21,'Pin Maritime'!AT23*'Pin Maritime'!$F$21,'Meleze Hybride'!AT23*'Meleze Hybride'!$F$21,Thuya!AT23*Thuya!$F$21,'Chêne et feuillus divers'!AT23*'Chêne et feuillus divers'!$F$21)</f>
        <v>0</v>
      </c>
      <c r="AA39" s="174">
        <f t="shared" si="8"/>
        <v>0</v>
      </c>
      <c r="AB39" s="175">
        <f t="shared" si="7"/>
        <v>-48.450850707621903</v>
      </c>
      <c r="AC39" s="174"/>
      <c r="AD39" s="174"/>
    </row>
    <row r="40" spans="1:30">
      <c r="A40" s="389"/>
      <c r="B40" s="258">
        <f>Douglas!B83</f>
        <v>16</v>
      </c>
      <c r="C40" s="221">
        <f>Douglas!C83</f>
        <v>34</v>
      </c>
      <c r="D40" s="222">
        <f>Douglas!D83</f>
        <v>0</v>
      </c>
      <c r="E40" s="217">
        <f>Douglas!E83</f>
        <v>0.56000000000000005</v>
      </c>
      <c r="F40" s="217">
        <f>Douglas!F83</f>
        <v>0.44</v>
      </c>
      <c r="G40" s="223">
        <f>Douglas!G83</f>
        <v>0</v>
      </c>
      <c r="H40" s="206">
        <f>IFERROR(VLOOKUP($B$37,Tableau14582[],4,FALSE)*(1+$L$9)^$B40,0)</f>
        <v>59</v>
      </c>
      <c r="I40" s="207">
        <f>IFERROR(VLOOKUP($B$37,Tableau14582[],5,FALSE)*(1+$L$9)^$B40,0)</f>
        <v>19.375</v>
      </c>
      <c r="J40" s="207">
        <f>IFERROR(VLOOKUP($B$37,Tableau14582[],5,FALSE)*(1+$L$9)^$B40,0)</f>
        <v>19.375</v>
      </c>
      <c r="K40" s="208">
        <f>IFERROR(VLOOKUP($B$37,Tableau14582[],6,FALSE)*(1+$L$9)^$B40,0)</f>
        <v>10</v>
      </c>
      <c r="L40" s="259">
        <f t="shared" ref="L40:L51" si="11">(C40*D40*H40+C40*E40*I40+C40*F40*J40+C40*G40*K40)*L$37</f>
        <v>109.81362499999999</v>
      </c>
      <c r="N40" s="71">
        <v>19</v>
      </c>
      <c r="O40" s="235"/>
      <c r="P40" s="176"/>
      <c r="Q40" s="236">
        <f t="shared" si="10"/>
        <v>100.0025</v>
      </c>
      <c r="R40" s="176">
        <f t="shared" si="4"/>
        <v>7.0001750000000005</v>
      </c>
      <c r="S40" s="176">
        <f>$L$11*(1+$L$9)^N40*'Récapitulatif des résultats'!$I$11</f>
        <v>0</v>
      </c>
      <c r="T40" s="237"/>
      <c r="U40" s="176"/>
      <c r="V40" s="245">
        <f t="shared" si="6"/>
        <v>0</v>
      </c>
      <c r="W40" s="184">
        <f>SUM('Pin Sylvestre'!AQ24*'Pin Sylvestre'!$F$21,Douglas!AQ24*Douglas!$F$21,'Pin Maritime'!AQ24*'Pin Maritime'!$F$21,'Meleze Hybride'!AQ24*'Meleze Hybride'!$F$21,Thuya!AQ24*Thuya!$F$21,'Chêne et feuillus divers'!AQ24*'Chêne et feuillus divers'!$F$21)</f>
        <v>0</v>
      </c>
      <c r="X40" s="184">
        <f>SUM('Pin Sylvestre'!AR24*'Pin Sylvestre'!$F$21,Douglas!AR24*Douglas!$F$21,'Pin Maritime'!AR24*'Pin Maritime'!$F$21,'Meleze Hybride'!AR24*'Meleze Hybride'!$F$21,Thuya!AR24*Thuya!$F$21,'Chêne et feuillus divers'!AR24*'Chêne et feuillus divers'!$F$21)</f>
        <v>0</v>
      </c>
      <c r="Y40" s="184">
        <f>SUM('Pin Sylvestre'!AS24*'Pin Sylvestre'!$F$21,Douglas!AS24*Douglas!$F$21,'Pin Maritime'!AS24*'Pin Maritime'!$F$21,'Meleze Hybride'!AS24*'Meleze Hybride'!$F$21,Thuya!AS24*Thuya!$F$21,'Chêne et feuillus divers'!AS24*'Chêne et feuillus divers'!$F$21)</f>
        <v>0</v>
      </c>
      <c r="Z40" s="327">
        <f>SUM('Pin Sylvestre'!AT24*'Pin Sylvestre'!$F$21,Douglas!AT24*Douglas!$F$21,'Pin Maritime'!AT24*'Pin Maritime'!$F$21,'Meleze Hybride'!AT24*'Meleze Hybride'!$F$21,Thuya!AT24*Thuya!$F$21,'Chêne et feuillus divers'!AT24*'Chêne et feuillus divers'!$F$21)</f>
        <v>0</v>
      </c>
      <c r="AA40" s="174">
        <f t="shared" si="8"/>
        <v>0</v>
      </c>
      <c r="AB40" s="175">
        <f t="shared" si="7"/>
        <v>-46.3644504379157</v>
      </c>
      <c r="AC40" s="174"/>
      <c r="AD40" s="174"/>
    </row>
    <row r="41" spans="1:30">
      <c r="A41" s="389"/>
      <c r="B41" s="258">
        <f>Douglas!B84</f>
        <v>21</v>
      </c>
      <c r="C41" s="221">
        <f>Douglas!C84</f>
        <v>70</v>
      </c>
      <c r="D41" s="222">
        <f>Douglas!D84</f>
        <v>0</v>
      </c>
      <c r="E41" s="217">
        <f>Douglas!E84</f>
        <v>0.56000000000000005</v>
      </c>
      <c r="F41" s="217">
        <f>Douglas!F84</f>
        <v>0.44</v>
      </c>
      <c r="G41" s="223">
        <f>Douglas!G84</f>
        <v>0</v>
      </c>
      <c r="H41" s="206">
        <f>IFERROR(VLOOKUP($B$37,Tableau14582[],4,FALSE)*(1+$L$9)^$B41,0)</f>
        <v>59</v>
      </c>
      <c r="I41" s="207">
        <f>IFERROR(VLOOKUP($B$37,Tableau14582[],5,FALSE)*(1+$L$9)^$B41,0)</f>
        <v>19.375</v>
      </c>
      <c r="J41" s="207">
        <f>IFERROR(VLOOKUP($B$37,Tableau14582[],5,FALSE)*(1+$L$9)^$B41,0)</f>
        <v>19.375</v>
      </c>
      <c r="K41" s="208">
        <f>IFERROR(VLOOKUP($B$37,Tableau14582[],6,FALSE)*(1+$L$9)^$B41,0)</f>
        <v>10</v>
      </c>
      <c r="L41" s="259">
        <f t="shared" si="11"/>
        <v>226.08687499999999</v>
      </c>
      <c r="N41" s="71">
        <v>20</v>
      </c>
      <c r="O41" s="235"/>
      <c r="P41" s="176"/>
      <c r="Q41" s="236">
        <f t="shared" si="10"/>
        <v>100.0025</v>
      </c>
      <c r="R41" s="176">
        <f t="shared" si="4"/>
        <v>7.0001750000000005</v>
      </c>
      <c r="S41" s="176">
        <f>$L$11*(1+$L$9)^N41*'Récapitulatif des résultats'!$I$11</f>
        <v>0</v>
      </c>
      <c r="T41" s="237"/>
      <c r="U41" s="176"/>
      <c r="V41" s="245">
        <f>SUM(W41:Z41)</f>
        <v>0</v>
      </c>
      <c r="W41" s="184">
        <f>SUM('Pin Sylvestre'!AQ25*'Pin Sylvestre'!$F$21,Douglas!AQ25*Douglas!$F$21,'Pin Maritime'!AQ25*'Pin Maritime'!$F$21,'Meleze Hybride'!AQ25*'Meleze Hybride'!$F$21,Thuya!AQ25*Thuya!$F$21,'Chêne et feuillus divers'!AQ25*'Chêne et feuillus divers'!$F$21)</f>
        <v>0</v>
      </c>
      <c r="X41" s="184">
        <f>SUM('Pin Sylvestre'!AR25*'Pin Sylvestre'!$F$21,Douglas!AR25*Douglas!$F$21,'Pin Maritime'!AR25*'Pin Maritime'!$F$21,'Meleze Hybride'!AR25*'Meleze Hybride'!$F$21,Thuya!AR25*Thuya!$F$21,'Chêne et feuillus divers'!AR25*'Chêne et feuillus divers'!$F$21)</f>
        <v>0</v>
      </c>
      <c r="Y41" s="184">
        <f>SUM('Pin Sylvestre'!AS25*'Pin Sylvestre'!$F$21,Douglas!AS25*Douglas!$F$21,'Pin Maritime'!AS25*'Pin Maritime'!$F$21,'Meleze Hybride'!AS25*'Meleze Hybride'!$F$21,Thuya!AS25*Thuya!$F$21,'Chêne et feuillus divers'!AS25*'Chêne et feuillus divers'!$F$21)</f>
        <v>0</v>
      </c>
      <c r="Z41" s="327">
        <f>SUM('Pin Sylvestre'!AT25*'Pin Sylvestre'!$F$21,Douglas!AT25*Douglas!$F$21,'Pin Maritime'!AT25*'Pin Maritime'!$F$21,'Meleze Hybride'!AT25*'Meleze Hybride'!$F$21,Thuya!AT25*Thuya!$F$21,'Chêne et feuillus divers'!AT25*'Chêne et feuillus divers'!$F$21)</f>
        <v>0</v>
      </c>
      <c r="AA41" s="174">
        <f t="shared" si="8"/>
        <v>0</v>
      </c>
      <c r="AB41" s="175">
        <f t="shared" si="7"/>
        <v>-44.3678951559002</v>
      </c>
      <c r="AC41" s="174"/>
      <c r="AD41" s="174"/>
    </row>
    <row r="42" spans="1:30">
      <c r="A42" s="389"/>
      <c r="B42" s="258">
        <f>Douglas!B85</f>
        <v>26</v>
      </c>
      <c r="C42" s="221">
        <f>Douglas!C85</f>
        <v>70</v>
      </c>
      <c r="D42" s="222">
        <f>Douglas!D85</f>
        <v>0</v>
      </c>
      <c r="E42" s="217">
        <f>Douglas!E85</f>
        <v>0.56000000000000005</v>
      </c>
      <c r="F42" s="217">
        <f>Douglas!F85</f>
        <v>0.44</v>
      </c>
      <c r="G42" s="223">
        <f>Douglas!G85</f>
        <v>0</v>
      </c>
      <c r="H42" s="206">
        <f>IFERROR(VLOOKUP($B$37,Tableau14582[],4,FALSE)*(1+$L$9)^$B42,0)</f>
        <v>59</v>
      </c>
      <c r="I42" s="207">
        <f>IFERROR(VLOOKUP($B$37,Tableau14582[],5,FALSE)*(1+$L$9)^$B42,0)</f>
        <v>19.375</v>
      </c>
      <c r="J42" s="207">
        <f>IFERROR(VLOOKUP($B$37,Tableau14582[],5,FALSE)*(1+$L$9)^$B42,0)</f>
        <v>19.375</v>
      </c>
      <c r="K42" s="208">
        <f>IFERROR(VLOOKUP($B$37,Tableau14582[],6,FALSE)*(1+$L$9)^$B42,0)</f>
        <v>10</v>
      </c>
      <c r="L42" s="259">
        <f t="shared" si="11"/>
        <v>226.08687499999999</v>
      </c>
      <c r="N42" s="71">
        <v>21</v>
      </c>
      <c r="O42" s="235"/>
      <c r="P42" s="176"/>
      <c r="Q42" s="236">
        <f t="shared" si="10"/>
        <v>100.0025</v>
      </c>
      <c r="R42" s="176">
        <f t="shared" si="4"/>
        <v>7.0001750000000005</v>
      </c>
      <c r="S42" s="176">
        <f>$L$11*(1+$L$9)^N42*'Récapitulatif des résultats'!$I$11</f>
        <v>0</v>
      </c>
      <c r="T42" s="237"/>
      <c r="U42" s="176"/>
      <c r="V42" s="245">
        <f t="shared" si="6"/>
        <v>24.338200000000001</v>
      </c>
      <c r="W42" s="184">
        <f>SUM('Pin Sylvestre'!AQ26*'Pin Sylvestre'!$F$21,Douglas!AQ26*Douglas!$F$21,'Pin Maritime'!AQ26*'Pin Maritime'!$F$21,'Meleze Hybride'!AQ26*'Meleze Hybride'!$F$21,Thuya!AQ26*Thuya!$F$21,'Chêne et feuillus divers'!AQ26*'Chêne et feuillus divers'!$F$21)</f>
        <v>0</v>
      </c>
      <c r="X42" s="184">
        <f>SUM('Pin Sylvestre'!AR26*'Pin Sylvestre'!$F$21,Douglas!AR26*Douglas!$F$21,'Pin Maritime'!AR26*'Pin Maritime'!$F$21,'Meleze Hybride'!AR26*'Meleze Hybride'!$F$21,Thuya!AR26*Thuya!$F$21,'Chêne et feuillus divers'!AR26*'Chêne et feuillus divers'!$F$21)</f>
        <v>13.629391999999999</v>
      </c>
      <c r="Y42" s="184">
        <f>SUM('Pin Sylvestre'!AS26*'Pin Sylvestre'!$F$21,Douglas!AS26*Douglas!$F$21,'Pin Maritime'!AS26*'Pin Maritime'!$F$21,'Meleze Hybride'!AS26*'Meleze Hybride'!$F$21,Thuya!AS26*Thuya!$F$21,'Chêne et feuillus divers'!AS26*'Chêne et feuillus divers'!$F$21)</f>
        <v>10.708807999999999</v>
      </c>
      <c r="Z42" s="327">
        <f>SUM('Pin Sylvestre'!AT26*'Pin Sylvestre'!$F$21,Douglas!AT26*Douglas!$F$21,'Pin Maritime'!AT26*'Pin Maritime'!$F$21,'Meleze Hybride'!AT26*'Meleze Hybride'!$F$21,Thuya!AT26*Thuya!$F$21,'Chêne et feuillus divers'!AT26*'Chêne et feuillus divers'!$F$21)</f>
        <v>0</v>
      </c>
      <c r="AA42" s="174">
        <f t="shared" si="8"/>
        <v>471.55262499999998</v>
      </c>
      <c r="AB42" s="175">
        <f t="shared" si="7"/>
        <v>144.64883613959071</v>
      </c>
      <c r="AC42" s="174"/>
      <c r="AD42" s="174"/>
    </row>
    <row r="43" spans="1:30">
      <c r="A43" s="389"/>
      <c r="B43" s="258">
        <f>Douglas!B86</f>
        <v>31</v>
      </c>
      <c r="C43" s="221">
        <f>Douglas!C86</f>
        <v>70</v>
      </c>
      <c r="D43" s="222">
        <f>Douglas!D86</f>
        <v>0.3</v>
      </c>
      <c r="E43" s="217">
        <f>Douglas!E86</f>
        <v>0.39200000000000002</v>
      </c>
      <c r="F43" s="217">
        <f>Douglas!F86</f>
        <v>0.308</v>
      </c>
      <c r="G43" s="223">
        <f>Douglas!G86</f>
        <v>0</v>
      </c>
      <c r="H43" s="206">
        <f>IFERROR(VLOOKUP($B$37,Tableau14582[],4,FALSE)*(1+$L$9)^$B43,0)</f>
        <v>59</v>
      </c>
      <c r="I43" s="207">
        <f>IFERROR(VLOOKUP($B$37,Tableau14582[],5,FALSE)*(1+$L$9)^$B43,0)</f>
        <v>19.375</v>
      </c>
      <c r="J43" s="207">
        <f>IFERROR(VLOOKUP($B$37,Tableau14582[],5,FALSE)*(1+$L$9)^$B43,0)</f>
        <v>19.375</v>
      </c>
      <c r="K43" s="208">
        <f>IFERROR(VLOOKUP($B$37,Tableau14582[],6,FALSE)*(1+$L$9)^$B43,0)</f>
        <v>10</v>
      </c>
      <c r="L43" s="259">
        <f t="shared" si="11"/>
        <v>364.80211249999996</v>
      </c>
      <c r="N43" s="71">
        <v>22</v>
      </c>
      <c r="O43" s="235"/>
      <c r="P43" s="176"/>
      <c r="Q43" s="236">
        <f t="shared" si="10"/>
        <v>100.0025</v>
      </c>
      <c r="R43" s="176">
        <f t="shared" si="4"/>
        <v>7.0001750000000005</v>
      </c>
      <c r="S43" s="176">
        <f>$L$11*(1+$L$9)^N43*'Récapitulatif des résultats'!$I$11</f>
        <v>0</v>
      </c>
      <c r="T43" s="237"/>
      <c r="U43" s="176"/>
      <c r="V43" s="245">
        <f t="shared" si="6"/>
        <v>0</v>
      </c>
      <c r="W43" s="184">
        <f>SUM('Pin Sylvestre'!AQ27*'Pin Sylvestre'!$F$21,Douglas!AQ27*Douglas!$F$21,'Pin Maritime'!AQ27*'Pin Maritime'!$F$21,'Meleze Hybride'!AQ27*'Meleze Hybride'!$F$21,Thuya!AQ27*Thuya!$F$21,'Chêne et feuillus divers'!AQ27*'Chêne et feuillus divers'!$F$21)</f>
        <v>0</v>
      </c>
      <c r="X43" s="184">
        <f>SUM('Pin Sylvestre'!AR27*'Pin Sylvestre'!$F$21,Douglas!AR27*Douglas!$F$21,'Pin Maritime'!AR27*'Pin Maritime'!$F$21,'Meleze Hybride'!AR27*'Meleze Hybride'!$F$21,Thuya!AR27*Thuya!$F$21,'Chêne et feuillus divers'!AR27*'Chêne et feuillus divers'!$F$21)</f>
        <v>0</v>
      </c>
      <c r="Y43" s="184">
        <f>SUM('Pin Sylvestre'!AS27*'Pin Sylvestre'!$F$21,Douglas!AS27*Douglas!$F$21,'Pin Maritime'!AS27*'Pin Maritime'!$F$21,'Meleze Hybride'!AS27*'Meleze Hybride'!$F$21,Thuya!AS27*Thuya!$F$21,'Chêne et feuillus divers'!AS27*'Chêne et feuillus divers'!$F$21)</f>
        <v>0</v>
      </c>
      <c r="Z43" s="327">
        <f>SUM('Pin Sylvestre'!AT27*'Pin Sylvestre'!$F$21,Douglas!AT27*Douglas!$F$21,'Pin Maritime'!AT27*'Pin Maritime'!$F$21,'Meleze Hybride'!AT27*'Meleze Hybride'!$F$21,Thuya!AT27*Thuya!$F$21,'Chêne et feuillus divers'!AT27*'Chêne et feuillus divers'!$F$21)</f>
        <v>0</v>
      </c>
      <c r="AA43" s="174">
        <f t="shared" si="8"/>
        <v>0</v>
      </c>
      <c r="AB43" s="175">
        <f t="shared" si="7"/>
        <v>-40.629010467617697</v>
      </c>
      <c r="AC43" s="174"/>
      <c r="AD43" s="174"/>
    </row>
    <row r="44" spans="1:30">
      <c r="A44" s="389"/>
      <c r="B44" s="258">
        <f>Douglas!B87</f>
        <v>36</v>
      </c>
      <c r="C44" s="221">
        <f>Douglas!C87</f>
        <v>70</v>
      </c>
      <c r="D44" s="222">
        <f>Douglas!D87</f>
        <v>0.5</v>
      </c>
      <c r="E44" s="217">
        <f>Douglas!E87</f>
        <v>0.28000000000000003</v>
      </c>
      <c r="F44" s="217">
        <f>Douglas!F87</f>
        <v>0.22</v>
      </c>
      <c r="G44" s="223">
        <f>Douglas!G87</f>
        <v>0</v>
      </c>
      <c r="H44" s="206">
        <f>IFERROR(VLOOKUP($B$37,Tableau14582[],4,FALSE)*(1+$L$9)^$B44,0)</f>
        <v>59</v>
      </c>
      <c r="I44" s="207">
        <f>IFERROR(VLOOKUP($B$37,Tableau14582[],5,FALSE)*(1+$L$9)^$B44,0)</f>
        <v>19.375</v>
      </c>
      <c r="J44" s="207">
        <f>IFERROR(VLOOKUP($B$37,Tableau14582[],5,FALSE)*(1+$L$9)^$B44,0)</f>
        <v>19.375</v>
      </c>
      <c r="K44" s="208">
        <f>IFERROR(VLOOKUP($B$37,Tableau14582[],6,FALSE)*(1+$L$9)^$B44,0)</f>
        <v>10</v>
      </c>
      <c r="L44" s="259">
        <f t="shared" si="11"/>
        <v>457.27893749999998</v>
      </c>
      <c r="N44" s="71">
        <v>23</v>
      </c>
      <c r="O44" s="235"/>
      <c r="P44" s="176"/>
      <c r="Q44" s="236">
        <f t="shared" si="10"/>
        <v>100.0025</v>
      </c>
      <c r="R44" s="176">
        <f t="shared" si="4"/>
        <v>7.0001750000000005</v>
      </c>
      <c r="S44" s="176">
        <f>$L$11*(1+$L$9)^N44*'Récapitulatif des résultats'!$I$11</f>
        <v>0</v>
      </c>
      <c r="T44" s="237"/>
      <c r="U44" s="176"/>
      <c r="V44" s="245">
        <f t="shared" si="6"/>
        <v>0</v>
      </c>
      <c r="W44" s="184">
        <f>SUM('Pin Sylvestre'!AQ28*'Pin Sylvestre'!$F$21,Douglas!AQ28*Douglas!$F$21,'Pin Maritime'!AQ28*'Pin Maritime'!$F$21,'Meleze Hybride'!AQ28*'Meleze Hybride'!$F$21,Thuya!AQ28*Thuya!$F$21,'Chêne et feuillus divers'!AQ28*'Chêne et feuillus divers'!$F$21)</f>
        <v>0</v>
      </c>
      <c r="X44" s="184">
        <f>SUM('Pin Sylvestre'!AR28*'Pin Sylvestre'!$F$21,Douglas!AR28*Douglas!$F$21,'Pin Maritime'!AR28*'Pin Maritime'!$F$21,'Meleze Hybride'!AR28*'Meleze Hybride'!$F$21,Thuya!AR28*Thuya!$F$21,'Chêne et feuillus divers'!AR28*'Chêne et feuillus divers'!$F$21)</f>
        <v>0</v>
      </c>
      <c r="Y44" s="184">
        <f>SUM('Pin Sylvestre'!AS28*'Pin Sylvestre'!$F$21,Douglas!AS28*Douglas!$F$21,'Pin Maritime'!AS28*'Pin Maritime'!$F$21,'Meleze Hybride'!AS28*'Meleze Hybride'!$F$21,Thuya!AS28*Thuya!$F$21,'Chêne et feuillus divers'!AS28*'Chêne et feuillus divers'!$F$21)</f>
        <v>0</v>
      </c>
      <c r="Z44" s="327">
        <f>SUM('Pin Sylvestre'!AT28*'Pin Sylvestre'!$F$21,Douglas!AT28*Douglas!$F$21,'Pin Maritime'!AT28*'Pin Maritime'!$F$21,'Meleze Hybride'!AT28*'Meleze Hybride'!$F$21,Thuya!AT28*Thuya!$F$21,'Chêne et feuillus divers'!AT28*'Chêne et feuillus divers'!$F$21)</f>
        <v>0</v>
      </c>
      <c r="AA44" s="174">
        <f t="shared" si="8"/>
        <v>0</v>
      </c>
      <c r="AB44" s="175">
        <f t="shared" si="7"/>
        <v>-38.879435854179611</v>
      </c>
      <c r="AC44" s="174"/>
      <c r="AD44" s="174"/>
    </row>
    <row r="45" spans="1:30">
      <c r="A45" s="389"/>
      <c r="B45" s="258">
        <f>Douglas!B88</f>
        <v>41</v>
      </c>
      <c r="C45" s="221">
        <f>Douglas!C88</f>
        <v>70</v>
      </c>
      <c r="D45" s="222">
        <f>Douglas!D88</f>
        <v>0.6</v>
      </c>
      <c r="E45" s="217">
        <f>Douglas!E88</f>
        <v>0.22400000000000003</v>
      </c>
      <c r="F45" s="217">
        <f>Douglas!F88</f>
        <v>0.17600000000000002</v>
      </c>
      <c r="G45" s="223">
        <f>Douglas!G88</f>
        <v>0</v>
      </c>
      <c r="H45" s="206">
        <f>IFERROR(VLOOKUP($B$37,Tableau14582[],4,FALSE)*(1+$L$9)^$B45,0)</f>
        <v>59</v>
      </c>
      <c r="I45" s="207">
        <f>IFERROR(VLOOKUP($B$37,Tableau14582[],5,FALSE)*(1+$L$9)^$B45,0)</f>
        <v>19.375</v>
      </c>
      <c r="J45" s="207">
        <f>IFERROR(VLOOKUP($B$37,Tableau14582[],5,FALSE)*(1+$L$9)^$B45,0)</f>
        <v>19.375</v>
      </c>
      <c r="K45" s="208">
        <f>IFERROR(VLOOKUP($B$37,Tableau14582[],6,FALSE)*(1+$L$9)^$B45,0)</f>
        <v>10</v>
      </c>
      <c r="L45" s="259">
        <f t="shared" si="11"/>
        <v>503.51734999999996</v>
      </c>
      <c r="N45" s="71">
        <v>24</v>
      </c>
      <c r="O45" s="235"/>
      <c r="P45" s="176"/>
      <c r="Q45" s="236">
        <f t="shared" si="10"/>
        <v>100.0025</v>
      </c>
      <c r="R45" s="176">
        <f t="shared" si="4"/>
        <v>7.0001750000000005</v>
      </c>
      <c r="S45" s="176">
        <f>$L$11*(1+$L$9)^N45*'Récapitulatif des résultats'!$I$11</f>
        <v>0</v>
      </c>
      <c r="T45" s="237"/>
      <c r="U45" s="176"/>
      <c r="V45" s="245">
        <f t="shared" si="6"/>
        <v>0</v>
      </c>
      <c r="W45" s="184">
        <f>SUM('Pin Sylvestre'!AQ29*'Pin Sylvestre'!$F$21,Douglas!AQ29*Douglas!$F$21,'Pin Maritime'!AQ29*'Pin Maritime'!$F$21,'Meleze Hybride'!AQ29*'Meleze Hybride'!$F$21,Thuya!AQ29*Thuya!$F$21,'Chêne et feuillus divers'!AQ29*'Chêne et feuillus divers'!$F$21)</f>
        <v>0</v>
      </c>
      <c r="X45" s="184">
        <f>SUM('Pin Sylvestre'!AR29*'Pin Sylvestre'!$F$21,Douglas!AR29*Douglas!$F$21,'Pin Maritime'!AR29*'Pin Maritime'!$F$21,'Meleze Hybride'!AR29*'Meleze Hybride'!$F$21,Thuya!AR29*Thuya!$F$21,'Chêne et feuillus divers'!AR29*'Chêne et feuillus divers'!$F$21)</f>
        <v>0</v>
      </c>
      <c r="Y45" s="184">
        <f>SUM('Pin Sylvestre'!AS29*'Pin Sylvestre'!$F$21,Douglas!AS29*Douglas!$F$21,'Pin Maritime'!AS29*'Pin Maritime'!$F$21,'Meleze Hybride'!AS29*'Meleze Hybride'!$F$21,Thuya!AS29*Thuya!$F$21,'Chêne et feuillus divers'!AS29*'Chêne et feuillus divers'!$F$21)</f>
        <v>0</v>
      </c>
      <c r="Z45" s="327">
        <f>SUM('Pin Sylvestre'!AT29*'Pin Sylvestre'!$F$21,Douglas!AT29*Douglas!$F$21,'Pin Maritime'!AT29*'Pin Maritime'!$F$21,'Meleze Hybride'!AT29*'Meleze Hybride'!$F$21,Thuya!AT29*Thuya!$F$21,'Chêne et feuillus divers'!AT29*'Chêne et feuillus divers'!$F$21)</f>
        <v>0</v>
      </c>
      <c r="AA45" s="174">
        <f t="shared" si="8"/>
        <v>0</v>
      </c>
      <c r="AB45" s="175">
        <f t="shared" si="7"/>
        <v>-37.205201774334562</v>
      </c>
      <c r="AC45" s="174"/>
      <c r="AD45" s="174"/>
    </row>
    <row r="46" spans="1:30">
      <c r="A46" s="389"/>
      <c r="B46" s="258">
        <f>Douglas!B89</f>
        <v>46</v>
      </c>
      <c r="C46" s="221">
        <f>Douglas!C89</f>
        <v>70</v>
      </c>
      <c r="D46" s="222">
        <f>Douglas!D89</f>
        <v>0.7</v>
      </c>
      <c r="E46" s="217">
        <f>Douglas!E89</f>
        <v>0.16800000000000004</v>
      </c>
      <c r="F46" s="217">
        <f>Douglas!F89</f>
        <v>0.13200000000000003</v>
      </c>
      <c r="G46" s="223">
        <f>Douglas!G89</f>
        <v>0</v>
      </c>
      <c r="H46" s="206">
        <f>IFERROR(VLOOKUP($B$37,Tableau14582[],4,FALSE)*(1+$L$9)^$B46,0)</f>
        <v>59</v>
      </c>
      <c r="I46" s="207">
        <f>IFERROR(VLOOKUP($B$37,Tableau14582[],5,FALSE)*(1+$L$9)^$B46,0)</f>
        <v>19.375</v>
      </c>
      <c r="J46" s="207">
        <f>IFERROR(VLOOKUP($B$37,Tableau14582[],5,FALSE)*(1+$L$9)^$B46,0)</f>
        <v>19.375</v>
      </c>
      <c r="K46" s="208">
        <f>IFERROR(VLOOKUP($B$37,Tableau14582[],6,FALSE)*(1+$L$9)^$B46,0)</f>
        <v>10</v>
      </c>
      <c r="L46" s="259">
        <f t="shared" si="11"/>
        <v>549.75576249999995</v>
      </c>
      <c r="N46" s="71">
        <v>25</v>
      </c>
      <c r="O46" s="235"/>
      <c r="P46" s="176"/>
      <c r="Q46" s="236">
        <f t="shared" si="10"/>
        <v>100.0025</v>
      </c>
      <c r="R46" s="176">
        <f t="shared" si="4"/>
        <v>7.0001750000000005</v>
      </c>
      <c r="S46" s="176">
        <f>$L$11*(1+$L$9)^N46*'Récapitulatif des résultats'!$I$11</f>
        <v>0</v>
      </c>
      <c r="T46" s="237"/>
      <c r="U46" s="176"/>
      <c r="V46" s="245">
        <f t="shared" si="6"/>
        <v>0</v>
      </c>
      <c r="W46" s="184">
        <f>SUM('Pin Sylvestre'!AQ30*'Pin Sylvestre'!$F$21,Douglas!AQ30*Douglas!$F$21,'Pin Maritime'!AQ30*'Pin Maritime'!$F$21,'Meleze Hybride'!AQ30*'Meleze Hybride'!$F$21,Thuya!AQ30*Thuya!$F$21,'Chêne et feuillus divers'!AQ30*'Chêne et feuillus divers'!$F$21)</f>
        <v>0</v>
      </c>
      <c r="X46" s="184">
        <f>SUM('Pin Sylvestre'!AR30*'Pin Sylvestre'!$F$21,Douglas!AR30*Douglas!$F$21,'Pin Maritime'!AR30*'Pin Maritime'!$F$21,'Meleze Hybride'!AR30*'Meleze Hybride'!$F$21,Thuya!AR30*Thuya!$F$21,'Chêne et feuillus divers'!AR30*'Chêne et feuillus divers'!$F$21)</f>
        <v>0</v>
      </c>
      <c r="Y46" s="184">
        <f>SUM('Pin Sylvestre'!AS30*'Pin Sylvestre'!$F$21,Douglas!AS30*Douglas!$F$21,'Pin Maritime'!AS30*'Pin Maritime'!$F$21,'Meleze Hybride'!AS30*'Meleze Hybride'!$F$21,Thuya!AS30*Thuya!$F$21,'Chêne et feuillus divers'!AS30*'Chêne et feuillus divers'!$F$21)</f>
        <v>0</v>
      </c>
      <c r="Z46" s="327">
        <f>SUM('Pin Sylvestre'!AT30*'Pin Sylvestre'!$F$21,Douglas!AT30*Douglas!$F$21,'Pin Maritime'!AT30*'Pin Maritime'!$F$21,'Meleze Hybride'!AT30*'Meleze Hybride'!$F$21,Thuya!AT30*Thuya!$F$21,'Chêne et feuillus divers'!AT30*'Chêne et feuillus divers'!$F$21)</f>
        <v>0</v>
      </c>
      <c r="AA46" s="174">
        <f t="shared" si="8"/>
        <v>0</v>
      </c>
      <c r="AB46" s="175">
        <f t="shared" si="7"/>
        <v>-35.603063898884749</v>
      </c>
      <c r="AC46" s="174"/>
      <c r="AD46" s="174"/>
    </row>
    <row r="47" spans="1:30">
      <c r="A47" s="389"/>
      <c r="B47" s="258">
        <f>Douglas!B90</f>
        <v>51</v>
      </c>
      <c r="C47" s="221">
        <f>Douglas!C90</f>
        <v>59</v>
      </c>
      <c r="D47" s="222">
        <f>Douglas!D90</f>
        <v>0.8</v>
      </c>
      <c r="E47" s="217">
        <f>Douglas!E90</f>
        <v>0.11199999999999999</v>
      </c>
      <c r="F47" s="217">
        <f>Douglas!F90</f>
        <v>8.7999999999999981E-2</v>
      </c>
      <c r="G47" s="223">
        <f>Douglas!G90</f>
        <v>0</v>
      </c>
      <c r="H47" s="206">
        <f>IFERROR(VLOOKUP($B$37,Tableau14582[],4,FALSE)*(1+$L$9)^$B47,0)</f>
        <v>59</v>
      </c>
      <c r="I47" s="207">
        <f>IFERROR(VLOOKUP($B$37,Tableau14582[],5,FALSE)*(1+$L$9)^$B47,0)</f>
        <v>19.375</v>
      </c>
      <c r="J47" s="207">
        <f>IFERROR(VLOOKUP($B$37,Tableau14582[],5,FALSE)*(1+$L$9)^$B47,0)</f>
        <v>19.375</v>
      </c>
      <c r="K47" s="208">
        <f>IFERROR(VLOOKUP($B$37,Tableau14582[],6,FALSE)*(1+$L$9)^$B47,0)</f>
        <v>10</v>
      </c>
      <c r="L47" s="259">
        <f t="shared" si="11"/>
        <v>502.33794749999998</v>
      </c>
      <c r="N47" s="71">
        <v>26</v>
      </c>
      <c r="O47" s="235"/>
      <c r="P47" s="176"/>
      <c r="Q47" s="236">
        <f t="shared" si="10"/>
        <v>100.0025</v>
      </c>
      <c r="R47" s="176">
        <f t="shared" si="4"/>
        <v>7.0001750000000005</v>
      </c>
      <c r="S47" s="176">
        <f>$L$11*(1+$L$9)^N47*'Récapitulatif des résultats'!$I$11</f>
        <v>0</v>
      </c>
      <c r="T47" s="237"/>
      <c r="U47" s="176"/>
      <c r="V47" s="245">
        <f t="shared" si="6"/>
        <v>95.005899999999997</v>
      </c>
      <c r="W47" s="184">
        <f>SUM('Pin Sylvestre'!AQ31*'Pin Sylvestre'!$F$21,Douglas!AQ31*Douglas!$F$21,'Pin Maritime'!AQ31*'Pin Maritime'!$F$21,'Meleze Hybride'!AQ31*'Meleze Hybride'!$F$21,Thuya!AQ31*Thuya!$F$21,'Chêne et feuillus divers'!AQ31*'Chêne et feuillus divers'!$F$21)</f>
        <v>0</v>
      </c>
      <c r="X47" s="184">
        <f>SUM('Pin Sylvestre'!AR31*'Pin Sylvestre'!$F$21,Douglas!AR31*Douglas!$F$21,'Pin Maritime'!AR31*'Pin Maritime'!$F$21,'Meleze Hybride'!AR31*'Meleze Hybride'!$F$21,Thuya!AR31*Thuya!$F$21,'Chêne et feuillus divers'!AR31*'Chêne et feuillus divers'!$F$21)</f>
        <v>44.243303999999995</v>
      </c>
      <c r="Y47" s="184">
        <f>SUM('Pin Sylvestre'!AS31*'Pin Sylvestre'!$F$21,Douglas!AS31*Douglas!$F$21,'Pin Maritime'!AS31*'Pin Maritime'!$F$21,'Meleze Hybride'!AS31*'Meleze Hybride'!$F$21,Thuya!AS31*Thuya!$F$21,'Chêne et feuillus divers'!AS31*'Chêne et feuillus divers'!$F$21)</f>
        <v>34.762596000000002</v>
      </c>
      <c r="Z47" s="327">
        <f>SUM('Pin Sylvestre'!AT31*'Pin Sylvestre'!$F$21,Douglas!AT31*Douglas!$F$21,'Pin Maritime'!AT31*'Pin Maritime'!$F$21,'Meleze Hybride'!AT31*'Meleze Hybride'!$F$21,Thuya!AT31*Thuya!$F$21,'Chêne et feuillus divers'!AT31*'Chêne et feuillus divers'!$F$21)</f>
        <v>16</v>
      </c>
      <c r="AA47" s="174">
        <f t="shared" si="8"/>
        <v>1690.7393124999999</v>
      </c>
      <c r="AB47" s="175">
        <f t="shared" si="7"/>
        <v>504.265680742656</v>
      </c>
      <c r="AC47" s="174"/>
      <c r="AD47" s="174"/>
    </row>
    <row r="48" spans="1:30">
      <c r="A48" s="389"/>
      <c r="B48" s="258">
        <f>Douglas!B91</f>
        <v>56</v>
      </c>
      <c r="C48" s="221">
        <f>Douglas!C91</f>
        <v>51</v>
      </c>
      <c r="D48" s="222">
        <f>Douglas!D91</f>
        <v>0.9</v>
      </c>
      <c r="E48" s="217">
        <f>Douglas!E91</f>
        <v>5.5999999999999994E-2</v>
      </c>
      <c r="F48" s="217">
        <f>Douglas!F91</f>
        <v>4.3999999999999991E-2</v>
      </c>
      <c r="G48" s="223">
        <f>Douglas!G91</f>
        <v>0</v>
      </c>
      <c r="H48" s="206">
        <f>IFERROR(VLOOKUP($B$37,Tableau14582[],4,FALSE)*(1+$L$9)^$B48,0)</f>
        <v>59</v>
      </c>
      <c r="I48" s="207">
        <f>IFERROR(VLOOKUP($B$37,Tableau14582[],5,FALSE)*(1+$L$9)^$B48,0)</f>
        <v>19.375</v>
      </c>
      <c r="J48" s="207">
        <f>IFERROR(VLOOKUP($B$37,Tableau14582[],5,FALSE)*(1+$L$9)^$B48,0)</f>
        <v>19.375</v>
      </c>
      <c r="K48" s="208">
        <f>IFERROR(VLOOKUP($B$37,Tableau14582[],6,FALSE)*(1+$L$9)^$B48,0)</f>
        <v>10</v>
      </c>
      <c r="L48" s="259">
        <f t="shared" si="11"/>
        <v>467.91231374999995</v>
      </c>
      <c r="N48" s="71">
        <v>27</v>
      </c>
      <c r="O48" s="235"/>
      <c r="P48" s="176"/>
      <c r="Q48" s="236">
        <f t="shared" si="10"/>
        <v>100.0025</v>
      </c>
      <c r="R48" s="176">
        <f t="shared" si="4"/>
        <v>7.0001750000000005</v>
      </c>
      <c r="S48" s="176">
        <f>$L$11*(1+$L$9)^N48*'Récapitulatif des résultats'!$I$11</f>
        <v>0</v>
      </c>
      <c r="T48" s="237"/>
      <c r="U48" s="176"/>
      <c r="V48" s="245">
        <f t="shared" si="6"/>
        <v>0</v>
      </c>
      <c r="W48" s="184">
        <f>SUM('Pin Sylvestre'!AQ32*'Pin Sylvestre'!$F$21,Douglas!AQ32*Douglas!$F$21,'Pin Maritime'!AQ32*'Pin Maritime'!$F$21,'Meleze Hybride'!AQ32*'Meleze Hybride'!$F$21,Thuya!AQ32*Thuya!$F$21,'Chêne et feuillus divers'!AQ32*'Chêne et feuillus divers'!$F$21)</f>
        <v>0</v>
      </c>
      <c r="X48" s="184">
        <f>SUM('Pin Sylvestre'!AR32*'Pin Sylvestre'!$F$21,Douglas!AR32*Douglas!$F$21,'Pin Maritime'!AR32*'Pin Maritime'!$F$21,'Meleze Hybride'!AR32*'Meleze Hybride'!$F$21,Thuya!AR32*Thuya!$F$21,'Chêne et feuillus divers'!AR32*'Chêne et feuillus divers'!$F$21)</f>
        <v>0</v>
      </c>
      <c r="Y48" s="184">
        <f>SUM('Pin Sylvestre'!AS32*'Pin Sylvestre'!$F$21,Douglas!AS32*Douglas!$F$21,'Pin Maritime'!AS32*'Pin Maritime'!$F$21,'Meleze Hybride'!AS32*'Meleze Hybride'!$F$21,Thuya!AS32*Thuya!$F$21,'Chêne et feuillus divers'!AS32*'Chêne et feuillus divers'!$F$21)</f>
        <v>0</v>
      </c>
      <c r="Z48" s="327">
        <f>SUM('Pin Sylvestre'!AT32*'Pin Sylvestre'!$F$21,Douglas!AT32*Douglas!$F$21,'Pin Maritime'!AT32*'Pin Maritime'!$F$21,'Meleze Hybride'!AT32*'Meleze Hybride'!$F$21,Thuya!AT32*Thuya!$F$21,'Chêne et feuillus divers'!AT32*'Chêne et feuillus divers'!$F$21)</f>
        <v>0</v>
      </c>
      <c r="AA48" s="174">
        <f t="shared" si="8"/>
        <v>0</v>
      </c>
      <c r="AB48" s="175">
        <f t="shared" si="7"/>
        <v>-32.60279196802707</v>
      </c>
      <c r="AC48" s="174"/>
      <c r="AD48" s="174"/>
    </row>
    <row r="49" spans="2:30">
      <c r="B49" s="258">
        <f>Douglas!B92</f>
        <v>61</v>
      </c>
      <c r="C49" s="221">
        <f>Douglas!C92</f>
        <v>45</v>
      </c>
      <c r="D49" s="222">
        <f>Douglas!D92</f>
        <v>0.9</v>
      </c>
      <c r="E49" s="217">
        <f>Douglas!E92</f>
        <v>5.5999999999999994E-2</v>
      </c>
      <c r="F49" s="217">
        <f>Douglas!F92</f>
        <v>4.3999999999999991E-2</v>
      </c>
      <c r="G49" s="223">
        <f>Douglas!G92</f>
        <v>0</v>
      </c>
      <c r="H49" s="206">
        <f>IFERROR(VLOOKUP($B$37,Tableau14582[],4,FALSE)*(1+$L$9)^$B49,0)</f>
        <v>59</v>
      </c>
      <c r="I49" s="207">
        <f>IFERROR(VLOOKUP($B$37,Tableau14582[],5,FALSE)*(1+$L$9)^$B49,0)</f>
        <v>19.375</v>
      </c>
      <c r="J49" s="207">
        <f>IFERROR(VLOOKUP($B$37,Tableau14582[],5,FALSE)*(1+$L$9)^$B49,0)</f>
        <v>19.375</v>
      </c>
      <c r="K49" s="208">
        <f>IFERROR(VLOOKUP($B$37,Tableau14582[],6,FALSE)*(1+$L$9)^$B49,0)</f>
        <v>10</v>
      </c>
      <c r="L49" s="259">
        <f t="shared" si="11"/>
        <v>412.86380624999998</v>
      </c>
      <c r="N49" s="71">
        <v>28</v>
      </c>
      <c r="O49" s="235"/>
      <c r="P49" s="176"/>
      <c r="Q49" s="236">
        <f t="shared" si="10"/>
        <v>100.0025</v>
      </c>
      <c r="R49" s="176">
        <f t="shared" si="4"/>
        <v>7.0001750000000005</v>
      </c>
      <c r="S49" s="176">
        <f>$L$11*(1+$L$9)^N49*'Récapitulatif des résultats'!$I$11</f>
        <v>0</v>
      </c>
      <c r="T49" s="237"/>
      <c r="U49" s="176"/>
      <c r="V49" s="245">
        <f t="shared" si="6"/>
        <v>0</v>
      </c>
      <c r="W49" s="184">
        <f>SUM('Pin Sylvestre'!AQ33*'Pin Sylvestre'!$F$21,Douglas!AQ33*Douglas!$F$21,'Pin Maritime'!AQ33*'Pin Maritime'!$F$21,'Meleze Hybride'!AQ33*'Meleze Hybride'!$F$21,Thuya!AQ33*Thuya!$F$21,'Chêne et feuillus divers'!AQ33*'Chêne et feuillus divers'!$F$21)</f>
        <v>0</v>
      </c>
      <c r="X49" s="184">
        <f>SUM('Pin Sylvestre'!AR33*'Pin Sylvestre'!$F$21,Douglas!AR33*Douglas!$F$21,'Pin Maritime'!AR33*'Pin Maritime'!$F$21,'Meleze Hybride'!AR33*'Meleze Hybride'!$F$21,Thuya!AR33*Thuya!$F$21,'Chêne et feuillus divers'!AR33*'Chêne et feuillus divers'!$F$21)</f>
        <v>0</v>
      </c>
      <c r="Y49" s="184">
        <f>SUM('Pin Sylvestre'!AS33*'Pin Sylvestre'!$F$21,Douglas!AS33*Douglas!$F$21,'Pin Maritime'!AS33*'Pin Maritime'!$F$21,'Meleze Hybride'!AS33*'Meleze Hybride'!$F$21,Thuya!AS33*Thuya!$F$21,'Chêne et feuillus divers'!AS33*'Chêne et feuillus divers'!$F$21)</f>
        <v>0</v>
      </c>
      <c r="Z49" s="327">
        <f>SUM('Pin Sylvestre'!AT33*'Pin Sylvestre'!$F$21,Douglas!AT33*Douglas!$F$21,'Pin Maritime'!AT33*'Pin Maritime'!$F$21,'Meleze Hybride'!AT33*'Meleze Hybride'!$F$21,Thuya!AT33*Thuya!$F$21,'Chêne et feuillus divers'!AT33*'Chêne et feuillus divers'!$F$21)</f>
        <v>0</v>
      </c>
      <c r="AA49" s="174">
        <f t="shared" si="8"/>
        <v>0</v>
      </c>
      <c r="AB49" s="175">
        <f t="shared" si="7"/>
        <v>-31.198843988542656</v>
      </c>
      <c r="AC49" s="174"/>
      <c r="AD49" s="174"/>
    </row>
    <row r="50" spans="2:30">
      <c r="B50" s="258">
        <f>Douglas!B93</f>
        <v>66</v>
      </c>
      <c r="C50" s="221">
        <f>Douglas!C93</f>
        <v>41</v>
      </c>
      <c r="D50" s="222">
        <f>Douglas!D93</f>
        <v>0.95</v>
      </c>
      <c r="E50" s="217">
        <f>Douglas!E93</f>
        <v>2.8000000000000028E-2</v>
      </c>
      <c r="F50" s="217">
        <f>Douglas!F93</f>
        <v>2.200000000000002E-2</v>
      </c>
      <c r="G50" s="223">
        <f>Douglas!G93</f>
        <v>0</v>
      </c>
      <c r="H50" s="206">
        <f>IFERROR(VLOOKUP($B$37,Tableau14582[],4,FALSE)*(1+$L$9)^$B50,0)</f>
        <v>59</v>
      </c>
      <c r="I50" s="207">
        <f>IFERROR(VLOOKUP($B$37,Tableau14582[],5,FALSE)*(1+$L$9)^$B50,0)</f>
        <v>19.375</v>
      </c>
      <c r="J50" s="207">
        <f>IFERROR(VLOOKUP($B$37,Tableau14582[],5,FALSE)*(1+$L$9)^$B50,0)</f>
        <v>19.375</v>
      </c>
      <c r="K50" s="208">
        <f>IFERROR(VLOOKUP($B$37,Tableau14582[],6,FALSE)*(1+$L$9)^$B50,0)</f>
        <v>10</v>
      </c>
      <c r="L50" s="259">
        <f t="shared" si="11"/>
        <v>389.70605062499993</v>
      </c>
      <c r="N50" s="71">
        <v>29</v>
      </c>
      <c r="O50" s="235"/>
      <c r="P50" s="176"/>
      <c r="Q50" s="236">
        <f t="shared" si="10"/>
        <v>100.0025</v>
      </c>
      <c r="R50" s="176">
        <f t="shared" si="4"/>
        <v>7.0001750000000005</v>
      </c>
      <c r="S50" s="176">
        <f>$L$11*(1+$L$9)^N50*'Récapitulatif des résultats'!$I$11</f>
        <v>0</v>
      </c>
      <c r="T50" s="237"/>
      <c r="U50" s="176"/>
      <c r="V50" s="245">
        <f t="shared" si="6"/>
        <v>0</v>
      </c>
      <c r="W50" s="184">
        <f>SUM('Pin Sylvestre'!AQ34*'Pin Sylvestre'!$F$21,Douglas!AQ34*Douglas!$F$21,'Pin Maritime'!AQ34*'Pin Maritime'!$F$21,'Meleze Hybride'!AQ34*'Meleze Hybride'!$F$21,Thuya!AQ34*Thuya!$F$21,'Chêne et feuillus divers'!AQ34*'Chêne et feuillus divers'!$F$21)</f>
        <v>0</v>
      </c>
      <c r="X50" s="184">
        <f>SUM('Pin Sylvestre'!AR34*'Pin Sylvestre'!$F$21,Douglas!AR34*Douglas!$F$21,'Pin Maritime'!AR34*'Pin Maritime'!$F$21,'Meleze Hybride'!AR34*'Meleze Hybride'!$F$21,Thuya!AR34*Thuya!$F$21,'Chêne et feuillus divers'!AR34*'Chêne et feuillus divers'!$F$21)</f>
        <v>0</v>
      </c>
      <c r="Y50" s="184">
        <f>SUM('Pin Sylvestre'!AS34*'Pin Sylvestre'!$F$21,Douglas!AS34*Douglas!$F$21,'Pin Maritime'!AS34*'Pin Maritime'!$F$21,'Meleze Hybride'!AS34*'Meleze Hybride'!$F$21,Thuya!AS34*Thuya!$F$21,'Chêne et feuillus divers'!AS34*'Chêne et feuillus divers'!$F$21)</f>
        <v>0</v>
      </c>
      <c r="Z50" s="327">
        <f>SUM('Pin Sylvestre'!AT34*'Pin Sylvestre'!$F$21,Douglas!AT34*Douglas!$F$21,'Pin Maritime'!AT34*'Pin Maritime'!$F$21,'Meleze Hybride'!AT34*'Meleze Hybride'!$F$21,Thuya!AT34*Thuya!$F$21,'Chêne et feuillus divers'!AT34*'Chêne et feuillus divers'!$F$21)</f>
        <v>0</v>
      </c>
      <c r="AA50" s="174">
        <f t="shared" si="8"/>
        <v>0</v>
      </c>
      <c r="AB50" s="175">
        <f t="shared" si="7"/>
        <v>-29.855353099083878</v>
      </c>
      <c r="AC50" s="174"/>
      <c r="AD50" s="174"/>
    </row>
    <row r="51" spans="2:30">
      <c r="B51" s="260">
        <f>Douglas!B94</f>
        <v>80</v>
      </c>
      <c r="C51" s="224">
        <f>Douglas!C94</f>
        <v>754</v>
      </c>
      <c r="D51" s="218">
        <f>Douglas!D94</f>
        <v>0.95</v>
      </c>
      <c r="E51" s="230">
        <f>Douglas!E94</f>
        <v>2.8000000000000028E-2</v>
      </c>
      <c r="F51" s="230">
        <f>Douglas!F94</f>
        <v>2.200000000000002E-2</v>
      </c>
      <c r="G51" s="225">
        <f>Douglas!G94</f>
        <v>0</v>
      </c>
      <c r="H51" s="209">
        <f>IFERROR(VLOOKUP($B$37,Tableau14582[],4,FALSE)*(1+$L$9)^$B51,0)</f>
        <v>59</v>
      </c>
      <c r="I51" s="210">
        <f>IFERROR(VLOOKUP($B$37,Tableau14582[],5,FALSE)*(1+$L$9)^$B51,0)</f>
        <v>19.375</v>
      </c>
      <c r="J51" s="210">
        <f>IFERROR(VLOOKUP($B$37,Tableau14582[],5,FALSE)*(1+$L$9)^$B51,0)</f>
        <v>19.375</v>
      </c>
      <c r="K51" s="211">
        <f>IFERROR(VLOOKUP($B$37,Tableau14582[],6,FALSE)*(1+$L$9)^$B51,0)</f>
        <v>10</v>
      </c>
      <c r="L51" s="261">
        <f t="shared" si="11"/>
        <v>7166.7893212499994</v>
      </c>
      <c r="N51" s="71">
        <v>30</v>
      </c>
      <c r="O51" s="235"/>
      <c r="P51" s="176"/>
      <c r="Q51" s="236">
        <f t="shared" si="10"/>
        <v>100.0025</v>
      </c>
      <c r="R51" s="176">
        <f t="shared" si="4"/>
        <v>7.0001750000000005</v>
      </c>
      <c r="S51" s="176">
        <f>$L$11*(1+$L$9)^N51*'Récapitulatif des résultats'!$I$11</f>
        <v>0</v>
      </c>
      <c r="T51" s="237"/>
      <c r="U51" s="176"/>
      <c r="V51" s="245">
        <f t="shared" si="6"/>
        <v>0</v>
      </c>
      <c r="W51" s="184">
        <f>SUM('Pin Sylvestre'!AQ35*'Pin Sylvestre'!$F$21,Douglas!AQ35*Douglas!$F$21,'Pin Maritime'!AQ35*'Pin Maritime'!$F$21,'Meleze Hybride'!AQ35*'Meleze Hybride'!$F$21,Thuya!AQ35*Thuya!$F$21,'Chêne et feuillus divers'!AQ35*'Chêne et feuillus divers'!$F$21)</f>
        <v>0</v>
      </c>
      <c r="X51" s="184">
        <f>SUM('Pin Sylvestre'!AR35*'Pin Sylvestre'!$F$21,Douglas!AR35*Douglas!$F$21,'Pin Maritime'!AR35*'Pin Maritime'!$F$21,'Meleze Hybride'!AR35*'Meleze Hybride'!$F$21,Thuya!AR35*Thuya!$F$21,'Chêne et feuillus divers'!AR35*'Chêne et feuillus divers'!$F$21)</f>
        <v>0</v>
      </c>
      <c r="Y51" s="184">
        <f>SUM('Pin Sylvestre'!AS35*'Pin Sylvestre'!$F$21,Douglas!AS35*Douglas!$F$21,'Pin Maritime'!AS35*'Pin Maritime'!$F$21,'Meleze Hybride'!AS35*'Meleze Hybride'!$F$21,Thuya!AS35*Thuya!$F$21,'Chêne et feuillus divers'!AS35*'Chêne et feuillus divers'!$F$21)</f>
        <v>0</v>
      </c>
      <c r="Z51" s="327">
        <f>SUM('Pin Sylvestre'!AT35*'Pin Sylvestre'!$F$21,Douglas!AT35*Douglas!$F$21,'Pin Maritime'!AT35*'Pin Maritime'!$F$21,'Meleze Hybride'!AT35*'Meleze Hybride'!$F$21,Thuya!AT35*Thuya!$F$21,'Chêne et feuillus divers'!AT35*'Chêne et feuillus divers'!$F$21)</f>
        <v>0</v>
      </c>
      <c r="AA51" s="174">
        <f t="shared" si="8"/>
        <v>0</v>
      </c>
      <c r="AB51" s="175">
        <f t="shared" si="7"/>
        <v>-28.569715884290801</v>
      </c>
      <c r="AC51" s="174"/>
      <c r="AD51" s="174"/>
    </row>
    <row r="52" spans="2:30">
      <c r="B52" s="262"/>
      <c r="C52" s="263"/>
      <c r="D52" s="263"/>
      <c r="E52" s="263"/>
      <c r="F52" s="263"/>
      <c r="G52" s="263"/>
      <c r="H52" s="263"/>
      <c r="I52" s="263"/>
      <c r="J52" s="263"/>
      <c r="K52" s="263"/>
      <c r="L52" s="264"/>
      <c r="N52" s="71">
        <v>31</v>
      </c>
      <c r="O52" s="235"/>
      <c r="P52" s="176"/>
      <c r="Q52" s="236">
        <f t="shared" si="10"/>
        <v>100.0025</v>
      </c>
      <c r="R52" s="176">
        <f t="shared" si="4"/>
        <v>7.0001750000000005</v>
      </c>
      <c r="S52" s="176">
        <f>$L$11*(1+$L$9)^N52*'Récapitulatif des résultats'!$I$11</f>
        <v>0</v>
      </c>
      <c r="T52" s="237"/>
      <c r="U52" s="176"/>
      <c r="V52" s="245">
        <f t="shared" si="6"/>
        <v>64.169000000000011</v>
      </c>
      <c r="W52" s="184">
        <f>SUM('Pin Sylvestre'!AQ36*'Pin Sylvestre'!$F$21,Douglas!AQ36*Douglas!$F$21,'Pin Maritime'!AQ36*'Pin Maritime'!$F$21,'Meleze Hybride'!AQ36*'Meleze Hybride'!$F$21,Thuya!AQ36*Thuya!$F$21,'Chêne et feuillus divers'!AQ36*'Chêne et feuillus divers'!$F$21)</f>
        <v>8.1672499999999992</v>
      </c>
      <c r="X52" s="184">
        <f>SUM('Pin Sylvestre'!AR36*'Pin Sylvestre'!$F$21,Douglas!AR36*Douglas!$F$21,'Pin Maritime'!AR36*'Pin Maritime'!$F$21,'Meleze Hybride'!AR36*'Meleze Hybride'!$F$21,Thuya!AR36*Thuya!$F$21,'Chêne et feuillus divers'!AR36*'Chêne et feuillus divers'!$F$21)</f>
        <v>31.360980000000005</v>
      </c>
      <c r="Y52" s="184">
        <f>SUM('Pin Sylvestre'!AS36*'Pin Sylvestre'!$F$21,Douglas!AS36*Douglas!$F$21,'Pin Maritime'!AS36*'Pin Maritime'!$F$21,'Meleze Hybride'!AS36*'Meleze Hybride'!$F$21,Thuya!AS36*Thuya!$F$21,'Chêne et feuillus divers'!AS36*'Chêne et feuillus divers'!$F$21)</f>
        <v>24.640770000000003</v>
      </c>
      <c r="Z52" s="327">
        <f>SUM('Pin Sylvestre'!AT36*'Pin Sylvestre'!$F$21,Douglas!AT36*Douglas!$F$21,'Pin Maritime'!AT36*'Pin Maritime'!$F$21,'Meleze Hybride'!AT36*'Meleze Hybride'!$F$21,Thuya!AT36*Thuya!$F$21,'Chêne et feuillus divers'!AT36*'Chêne et feuillus divers'!$F$21)</f>
        <v>0</v>
      </c>
      <c r="AA52" s="174">
        <f t="shared" si="8"/>
        <v>2226.4383312499999</v>
      </c>
      <c r="AB52" s="175">
        <f t="shared" si="7"/>
        <v>541.52091204291378</v>
      </c>
      <c r="AC52" s="174"/>
      <c r="AD52" s="174"/>
    </row>
    <row r="53" spans="2:30">
      <c r="B53" s="410" t="str">
        <f>'Pin Maritime'!F17</f>
        <v xml:space="preserve">Pin maritime </v>
      </c>
      <c r="C53" s="411">
        <f>'Pin Maritime'!C80</f>
        <v>0</v>
      </c>
      <c r="D53" s="411">
        <f>'Pin Maritime'!D80</f>
        <v>0</v>
      </c>
      <c r="E53" s="411">
        <f>'Pin Maritime'!E80</f>
        <v>0</v>
      </c>
      <c r="F53" s="411">
        <f>'Pin Maritime'!F80</f>
        <v>0</v>
      </c>
      <c r="G53" s="412">
        <f>'Pin Maritime'!G80</f>
        <v>0</v>
      </c>
      <c r="H53" s="396" t="s">
        <v>248</v>
      </c>
      <c r="I53" s="397"/>
      <c r="J53" s="397"/>
      <c r="K53" s="398"/>
      <c r="L53" s="253">
        <f>U5</f>
        <v>0.16669999999999999</v>
      </c>
      <c r="N53" s="71">
        <v>32</v>
      </c>
      <c r="O53" s="235"/>
      <c r="P53" s="176"/>
      <c r="Q53" s="236">
        <f t="shared" si="10"/>
        <v>100.0025</v>
      </c>
      <c r="R53" s="176">
        <f t="shared" si="4"/>
        <v>7.0001750000000005</v>
      </c>
      <c r="S53" s="176">
        <f>$L$11*(1+$L$9)^N53*'Récapitulatif des résultats'!$I$11</f>
        <v>0</v>
      </c>
      <c r="T53" s="237"/>
      <c r="U53" s="176"/>
      <c r="V53" s="245">
        <f t="shared" si="6"/>
        <v>0</v>
      </c>
      <c r="W53" s="184">
        <f>SUM('Pin Sylvestre'!AQ37*'Pin Sylvestre'!$F$21,Douglas!AQ37*Douglas!$F$21,'Pin Maritime'!AQ37*'Pin Maritime'!$F$21,'Meleze Hybride'!AQ37*'Meleze Hybride'!$F$21,Thuya!AQ37*Thuya!$F$21,'Chêne et feuillus divers'!AQ37*'Chêne et feuillus divers'!$F$21)</f>
        <v>0</v>
      </c>
      <c r="X53" s="184">
        <f>SUM('Pin Sylvestre'!AR37*'Pin Sylvestre'!$F$21,Douglas!AR37*Douglas!$F$21,'Pin Maritime'!AR37*'Pin Maritime'!$F$21,'Meleze Hybride'!AR37*'Meleze Hybride'!$F$21,Thuya!AR37*Thuya!$F$21,'Chêne et feuillus divers'!AR37*'Chêne et feuillus divers'!$F$21)</f>
        <v>0</v>
      </c>
      <c r="Y53" s="184">
        <f>SUM('Pin Sylvestre'!AS37*'Pin Sylvestre'!$F$21,Douglas!AS37*Douglas!$F$21,'Pin Maritime'!AS37*'Pin Maritime'!$F$21,'Meleze Hybride'!AS37*'Meleze Hybride'!$F$21,Thuya!AS37*Thuya!$F$21,'Chêne et feuillus divers'!AS37*'Chêne et feuillus divers'!$F$21)</f>
        <v>0</v>
      </c>
      <c r="Z53" s="327">
        <f>SUM('Pin Sylvestre'!AT37*'Pin Sylvestre'!$F$21,Douglas!AT37*Douglas!$F$21,'Pin Maritime'!AT37*'Pin Maritime'!$F$21,'Meleze Hybride'!AT37*'Meleze Hybride'!$F$21,Thuya!AT37*Thuya!$F$21,'Chêne et feuillus divers'!AT37*'Chêne et feuillus divers'!$F$21)</f>
        <v>0</v>
      </c>
      <c r="AA53" s="174">
        <f t="shared" si="8"/>
        <v>0</v>
      </c>
      <c r="AB53" s="175">
        <f t="shared" si="7"/>
        <v>-26.16214453358743</v>
      </c>
      <c r="AC53" s="174"/>
      <c r="AD53" s="174"/>
    </row>
    <row r="54" spans="2:30">
      <c r="B54" s="265" t="str">
        <f>'Pin Maritime'!B81</f>
        <v>Année</v>
      </c>
      <c r="C54" s="226" t="str">
        <f>'Pin Maritime'!C81</f>
        <v>Volume d'éclaircie</v>
      </c>
      <c r="D54" s="213" t="str">
        <f>'Pin Maritime'!D81</f>
        <v>BO</v>
      </c>
      <c r="E54" s="213" t="str">
        <f>'Pin Maritime'!E81</f>
        <v>BI - panneaux</v>
      </c>
      <c r="F54" s="213" t="str">
        <f>'Pin Maritime'!F81</f>
        <v>BI - papier</v>
      </c>
      <c r="G54" s="214" t="str">
        <f>'Pin Maritime'!G81</f>
        <v>BE</v>
      </c>
      <c r="H54" s="212" t="s">
        <v>78</v>
      </c>
      <c r="I54" s="213" t="s">
        <v>81</v>
      </c>
      <c r="J54" s="213" t="s">
        <v>80</v>
      </c>
      <c r="K54" s="214" t="s">
        <v>79</v>
      </c>
      <c r="L54" s="255" t="s">
        <v>252</v>
      </c>
      <c r="N54" s="71">
        <v>33</v>
      </c>
      <c r="O54" s="235"/>
      <c r="P54" s="176"/>
      <c r="Q54" s="236">
        <f t="shared" si="10"/>
        <v>100.0025</v>
      </c>
      <c r="R54" s="176">
        <f t="shared" si="4"/>
        <v>7.0001750000000005</v>
      </c>
      <c r="S54" s="176">
        <f>$L$11*(1+$L$9)^N54*'Récapitulatif des résultats'!$I$11</f>
        <v>0</v>
      </c>
      <c r="T54" s="237"/>
      <c r="U54" s="176"/>
      <c r="V54" s="245">
        <f t="shared" si="6"/>
        <v>0</v>
      </c>
      <c r="W54" s="184">
        <f>SUM('Pin Sylvestre'!AQ38*'Pin Sylvestre'!$F$21,Douglas!AQ38*Douglas!$F$21,'Pin Maritime'!AQ38*'Pin Maritime'!$F$21,'Meleze Hybride'!AQ38*'Meleze Hybride'!$F$21,Thuya!AQ38*Thuya!$F$21,'Chêne et feuillus divers'!AQ38*'Chêne et feuillus divers'!$F$21)</f>
        <v>0</v>
      </c>
      <c r="X54" s="184">
        <f>SUM('Pin Sylvestre'!AR38*'Pin Sylvestre'!$F$21,Douglas!AR38*Douglas!$F$21,'Pin Maritime'!AR38*'Pin Maritime'!$F$21,'Meleze Hybride'!AR38*'Meleze Hybride'!$F$21,Thuya!AR38*Thuya!$F$21,'Chêne et feuillus divers'!AR38*'Chêne et feuillus divers'!$F$21)</f>
        <v>0</v>
      </c>
      <c r="Y54" s="184">
        <f>SUM('Pin Sylvestre'!AS38*'Pin Sylvestre'!$F$21,Douglas!AS38*Douglas!$F$21,'Pin Maritime'!AS38*'Pin Maritime'!$F$21,'Meleze Hybride'!AS38*'Meleze Hybride'!$F$21,Thuya!AS38*Thuya!$F$21,'Chêne et feuillus divers'!AS38*'Chêne et feuillus divers'!$F$21)</f>
        <v>0</v>
      </c>
      <c r="Z54" s="327">
        <f>SUM('Pin Sylvestre'!AT38*'Pin Sylvestre'!$F$21,Douglas!AT38*Douglas!$F$21,'Pin Maritime'!AT38*'Pin Maritime'!$F$21,'Meleze Hybride'!AT38*'Meleze Hybride'!$F$21,Thuya!AT38*Thuya!$F$21,'Chêne et feuillus divers'!AT38*'Chêne et feuillus divers'!$F$21)</f>
        <v>0</v>
      </c>
      <c r="AA54" s="174">
        <f t="shared" si="8"/>
        <v>0</v>
      </c>
      <c r="AB54" s="175">
        <f t="shared" si="7"/>
        <v>-25.035545008217639</v>
      </c>
      <c r="AC54" s="174"/>
      <c r="AD54" s="174"/>
    </row>
    <row r="55" spans="2:30">
      <c r="B55" s="266">
        <f>'Pin Maritime'!B82</f>
        <v>16</v>
      </c>
      <c r="C55" s="219">
        <f>'Pin Maritime'!C82</f>
        <v>0</v>
      </c>
      <c r="D55" s="216">
        <f>'Pin Maritime'!D82</f>
        <v>0</v>
      </c>
      <c r="E55" s="216">
        <f>'Pin Maritime'!E82</f>
        <v>0.56000000000000005</v>
      </c>
      <c r="F55" s="216">
        <f>'Pin Maritime'!F82</f>
        <v>0.44</v>
      </c>
      <c r="G55" s="220">
        <f>'Pin Maritime'!G82</f>
        <v>0</v>
      </c>
      <c r="H55" s="227">
        <f>IFERROR(VLOOKUP($B$53,Tableau14582[],4,FALSE)*(1+$L$9)^$B55,0)</f>
        <v>42</v>
      </c>
      <c r="I55" s="228">
        <f>IFERROR(VLOOKUP($B$53,Tableau14582[],5,FALSE)*(1+$L$9)^$B55,0)</f>
        <v>19.375</v>
      </c>
      <c r="J55" s="228">
        <f>IFERROR(VLOOKUP($B$53,Tableau14582[],5,FALSE)*(1+$L$9)^$B55,0)</f>
        <v>19.375</v>
      </c>
      <c r="K55" s="229">
        <f>IFERROR(VLOOKUP($B$53,Tableau14582[],6,FALSE)*(1+$L$9)^$B55,0)</f>
        <v>10</v>
      </c>
      <c r="L55" s="257">
        <f>(C55*D55*H55+C55*E55*I55+C55*F55*J55+C55*G55*K55)*L$53</f>
        <v>0</v>
      </c>
      <c r="N55" s="71">
        <v>34</v>
      </c>
      <c r="O55" s="235"/>
      <c r="P55" s="176"/>
      <c r="Q55" s="236">
        <f t="shared" si="10"/>
        <v>100.0025</v>
      </c>
      <c r="R55" s="176">
        <f t="shared" si="4"/>
        <v>7.0001750000000005</v>
      </c>
      <c r="S55" s="176">
        <f>$L$11*(1+$L$9)^N55*'Récapitulatif des résultats'!$I$11</f>
        <v>0</v>
      </c>
      <c r="T55" s="237"/>
      <c r="U55" s="176"/>
      <c r="V55" s="245">
        <f t="shared" si="6"/>
        <v>0</v>
      </c>
      <c r="W55" s="184">
        <f>SUM('Pin Sylvestre'!AQ39*'Pin Sylvestre'!$F$21,Douglas!AQ39*Douglas!$F$21,'Pin Maritime'!AQ39*'Pin Maritime'!$F$21,'Meleze Hybride'!AQ39*'Meleze Hybride'!$F$21,Thuya!AQ39*Thuya!$F$21,'Chêne et feuillus divers'!AQ39*'Chêne et feuillus divers'!$F$21)</f>
        <v>0</v>
      </c>
      <c r="X55" s="184">
        <f>SUM('Pin Sylvestre'!AR39*'Pin Sylvestre'!$F$21,Douglas!AR39*Douglas!$F$21,'Pin Maritime'!AR39*'Pin Maritime'!$F$21,'Meleze Hybride'!AR39*'Meleze Hybride'!$F$21,Thuya!AR39*Thuya!$F$21,'Chêne et feuillus divers'!AR39*'Chêne et feuillus divers'!$F$21)</f>
        <v>0</v>
      </c>
      <c r="Y55" s="184">
        <f>SUM('Pin Sylvestre'!AS39*'Pin Sylvestre'!$F$21,Douglas!AS39*Douglas!$F$21,'Pin Maritime'!AS39*'Pin Maritime'!$F$21,'Meleze Hybride'!AS39*'Meleze Hybride'!$F$21,Thuya!AS39*Thuya!$F$21,'Chêne et feuillus divers'!AS39*'Chêne et feuillus divers'!$F$21)</f>
        <v>0</v>
      </c>
      <c r="Z55" s="327">
        <f>SUM('Pin Sylvestre'!AT39*'Pin Sylvestre'!$F$21,Douglas!AT39*Douglas!$F$21,'Pin Maritime'!AT39*'Pin Maritime'!$F$21,'Meleze Hybride'!AT39*'Meleze Hybride'!$F$21,Thuya!AT39*Thuya!$F$21,'Chêne et feuillus divers'!AT39*'Chêne et feuillus divers'!$F$21)</f>
        <v>0</v>
      </c>
      <c r="AA55" s="174">
        <f t="shared" si="8"/>
        <v>0</v>
      </c>
      <c r="AB55" s="175">
        <f t="shared" si="7"/>
        <v>-23.957459338007311</v>
      </c>
      <c r="AC55" s="174"/>
      <c r="AD55" s="174"/>
    </row>
    <row r="56" spans="2:30">
      <c r="B56" s="267">
        <f>'Pin Maritime'!B83</f>
        <v>21</v>
      </c>
      <c r="C56" s="221">
        <f>'Pin Maritime'!C83</f>
        <v>15</v>
      </c>
      <c r="D56" s="222">
        <f>'Pin Maritime'!D83</f>
        <v>0</v>
      </c>
      <c r="E56" s="217">
        <f>'Pin Maritime'!E83</f>
        <v>0.56000000000000005</v>
      </c>
      <c r="F56" s="217">
        <f>'Pin Maritime'!F83</f>
        <v>0.44</v>
      </c>
      <c r="G56" s="223">
        <f>'Pin Maritime'!G83</f>
        <v>0</v>
      </c>
      <c r="H56" s="206">
        <f>IFERROR(VLOOKUP($B$53,Tableau14582[],4,FALSE)*(1+$L$9)^$B56,0)</f>
        <v>42</v>
      </c>
      <c r="I56" s="207">
        <f>IFERROR(VLOOKUP($B$53,Tableau14582[],5,FALSE)*(1+$L$9)^$B56,0)</f>
        <v>19.375</v>
      </c>
      <c r="J56" s="207">
        <f>IFERROR(VLOOKUP($B$53,Tableau14582[],5,FALSE)*(1+$L$9)^$B56,0)</f>
        <v>19.375</v>
      </c>
      <c r="K56" s="208">
        <f>IFERROR(VLOOKUP($B$53,Tableau14582[],6,FALSE)*(1+$L$9)^$B56,0)</f>
        <v>10</v>
      </c>
      <c r="L56" s="259">
        <f t="shared" ref="L56:L67" si="12">(C56*D56*H56+C56*E56*I56+C56*F56*J56+C56*G56*K56)*L$53</f>
        <v>48.447187499999998</v>
      </c>
      <c r="N56" s="71">
        <v>35</v>
      </c>
      <c r="O56" s="235"/>
      <c r="P56" s="176"/>
      <c r="Q56" s="236">
        <f t="shared" si="10"/>
        <v>100.0025</v>
      </c>
      <c r="R56" s="176">
        <f t="shared" si="4"/>
        <v>7.0001750000000005</v>
      </c>
      <c r="S56" s="176">
        <f>$L$11*(1+$L$9)^N56*'Récapitulatif des résultats'!$I$11</f>
        <v>0</v>
      </c>
      <c r="T56" s="237"/>
      <c r="U56" s="176"/>
      <c r="V56" s="245">
        <f t="shared" si="6"/>
        <v>0</v>
      </c>
      <c r="W56" s="184">
        <f>SUM('Pin Sylvestre'!AQ40*'Pin Sylvestre'!$F$21,Douglas!AQ40*Douglas!$F$21,'Pin Maritime'!AQ40*'Pin Maritime'!$F$21,'Meleze Hybride'!AQ40*'Meleze Hybride'!$F$21,Thuya!AQ40*Thuya!$F$21,'Chêne et feuillus divers'!AQ40*'Chêne et feuillus divers'!$F$21)</f>
        <v>0</v>
      </c>
      <c r="X56" s="184">
        <f>SUM('Pin Sylvestre'!AR40*'Pin Sylvestre'!$F$21,Douglas!AR40*Douglas!$F$21,'Pin Maritime'!AR40*'Pin Maritime'!$F$21,'Meleze Hybride'!AR40*'Meleze Hybride'!$F$21,Thuya!AR40*Thuya!$F$21,'Chêne et feuillus divers'!AR40*'Chêne et feuillus divers'!$F$21)</f>
        <v>0</v>
      </c>
      <c r="Y56" s="184">
        <f>SUM('Pin Sylvestre'!AS40*'Pin Sylvestre'!$F$21,Douglas!AS40*Douglas!$F$21,'Pin Maritime'!AS40*'Pin Maritime'!$F$21,'Meleze Hybride'!AS40*'Meleze Hybride'!$F$21,Thuya!AS40*Thuya!$F$21,'Chêne et feuillus divers'!AS40*'Chêne et feuillus divers'!$F$21)</f>
        <v>0</v>
      </c>
      <c r="Z56" s="327">
        <f>SUM('Pin Sylvestre'!AT40*'Pin Sylvestre'!$F$21,Douglas!AT40*Douglas!$F$21,'Pin Maritime'!AT40*'Pin Maritime'!$F$21,'Meleze Hybride'!AT40*'Meleze Hybride'!$F$21,Thuya!AT40*Thuya!$F$21,'Chêne et feuillus divers'!AT40*'Chêne et feuillus divers'!$F$21)</f>
        <v>0</v>
      </c>
      <c r="AA56" s="174">
        <f t="shared" si="8"/>
        <v>0</v>
      </c>
      <c r="AB56" s="175">
        <f t="shared" si="7"/>
        <v>-22.925798409576377</v>
      </c>
      <c r="AC56" s="174"/>
      <c r="AD56" s="174"/>
    </row>
    <row r="57" spans="2:30">
      <c r="B57" s="267">
        <f>'Pin Maritime'!B84</f>
        <v>26</v>
      </c>
      <c r="C57" s="221">
        <f>'Pin Maritime'!C84</f>
        <v>35</v>
      </c>
      <c r="D57" s="222">
        <f>'Pin Maritime'!D84</f>
        <v>0</v>
      </c>
      <c r="E57" s="217">
        <f>'Pin Maritime'!E84</f>
        <v>0.56000000000000005</v>
      </c>
      <c r="F57" s="217">
        <f>'Pin Maritime'!F84</f>
        <v>0.44</v>
      </c>
      <c r="G57" s="223">
        <f>'Pin Maritime'!G84</f>
        <v>0</v>
      </c>
      <c r="H57" s="206">
        <f>IFERROR(VLOOKUP($B$53,Tableau14582[],4,FALSE)*(1+$L$9)^$B57,0)</f>
        <v>42</v>
      </c>
      <c r="I57" s="207">
        <f>IFERROR(VLOOKUP($B$53,Tableau14582[],5,FALSE)*(1+$L$9)^$B57,0)</f>
        <v>19.375</v>
      </c>
      <c r="J57" s="207">
        <f>IFERROR(VLOOKUP($B$53,Tableau14582[],5,FALSE)*(1+$L$9)^$B57,0)</f>
        <v>19.375</v>
      </c>
      <c r="K57" s="208">
        <f>IFERROR(VLOOKUP($B$53,Tableau14582[],6,FALSE)*(1+$L$9)^$B57,0)</f>
        <v>10</v>
      </c>
      <c r="L57" s="259">
        <f t="shared" si="12"/>
        <v>113.0434375</v>
      </c>
      <c r="N57" s="71">
        <v>36</v>
      </c>
      <c r="O57" s="235"/>
      <c r="P57" s="176"/>
      <c r="Q57" s="236">
        <f t="shared" si="10"/>
        <v>100.0025</v>
      </c>
      <c r="R57" s="176">
        <f t="shared" si="4"/>
        <v>7.0001750000000005</v>
      </c>
      <c r="S57" s="176">
        <f>$L$11*(1+$L$9)^N57*'Récapitulatif des résultats'!$I$11</f>
        <v>0</v>
      </c>
      <c r="T57" s="237"/>
      <c r="U57" s="176"/>
      <c r="V57" s="245">
        <f t="shared" si="6"/>
        <v>64.169000000000011</v>
      </c>
      <c r="W57" s="184">
        <f>SUM('Pin Sylvestre'!AQ41*'Pin Sylvestre'!$F$21,Douglas!AQ41*Douglas!$F$21,'Pin Maritime'!AQ41*'Pin Maritime'!$F$21,'Meleze Hybride'!AQ41*'Meleze Hybride'!$F$21,Thuya!AQ41*Thuya!$F$21,'Chêne et feuillus divers'!AQ41*'Chêne et feuillus divers'!$F$21)</f>
        <v>12.834849999999999</v>
      </c>
      <c r="X57" s="184">
        <f>SUM('Pin Sylvestre'!AR41*'Pin Sylvestre'!$F$21,Douglas!AR41*Douglas!$F$21,'Pin Maritime'!AR41*'Pin Maritime'!$F$21,'Meleze Hybride'!AR41*'Meleze Hybride'!$F$21,Thuya!AR41*Thuya!$F$21,'Chêne et feuillus divers'!AR41*'Chêne et feuillus divers'!$F$21)</f>
        <v>28.747123999999999</v>
      </c>
      <c r="Y57" s="184">
        <f>SUM('Pin Sylvestre'!AS41*'Pin Sylvestre'!$F$21,Douglas!AS41*Douglas!$F$21,'Pin Maritime'!AS41*'Pin Maritime'!$F$21,'Meleze Hybride'!AS41*'Meleze Hybride'!$F$21,Thuya!AS41*Thuya!$F$21,'Chêne et feuillus divers'!AS41*'Chêne et feuillus divers'!$F$21)</f>
        <v>22.587026000000002</v>
      </c>
      <c r="Z57" s="327">
        <f>SUM('Pin Sylvestre'!AT41*'Pin Sylvestre'!$F$21,Douglas!AT41*Douglas!$F$21,'Pin Maritime'!AT41*'Pin Maritime'!$F$21,'Meleze Hybride'!AT41*'Meleze Hybride'!$F$21,Thuya!AT41*Thuya!$F$21,'Chêne et feuillus divers'!AT41*'Chêne et feuillus divers'!$F$21)</f>
        <v>0</v>
      </c>
      <c r="AA57" s="174">
        <f t="shared" si="8"/>
        <v>2430.7187624999997</v>
      </c>
      <c r="AB57" s="175">
        <f t="shared" si="7"/>
        <v>476.42726637968769</v>
      </c>
      <c r="AC57" s="174"/>
      <c r="AD57" s="174"/>
    </row>
    <row r="58" spans="2:30">
      <c r="B58" s="267">
        <f>'Pin Maritime'!B85</f>
        <v>31</v>
      </c>
      <c r="C58" s="221">
        <f>'Pin Maritime'!C85</f>
        <v>35</v>
      </c>
      <c r="D58" s="222">
        <f>'Pin Maritime'!D85</f>
        <v>0</v>
      </c>
      <c r="E58" s="217">
        <f>'Pin Maritime'!E85</f>
        <v>0.56000000000000005</v>
      </c>
      <c r="F58" s="217">
        <f>'Pin Maritime'!F85</f>
        <v>0.44</v>
      </c>
      <c r="G58" s="223">
        <f>'Pin Maritime'!G85</f>
        <v>0</v>
      </c>
      <c r="H58" s="206">
        <f>IFERROR(VLOOKUP($B$53,Tableau14582[],4,FALSE)*(1+$L$9)^$B58,0)</f>
        <v>42</v>
      </c>
      <c r="I58" s="207">
        <f>IFERROR(VLOOKUP($B$53,Tableau14582[],5,FALSE)*(1+$L$9)^$B58,0)</f>
        <v>19.375</v>
      </c>
      <c r="J58" s="207">
        <f>IFERROR(VLOOKUP($B$53,Tableau14582[],5,FALSE)*(1+$L$9)^$B58,0)</f>
        <v>19.375</v>
      </c>
      <c r="K58" s="208">
        <f>IFERROR(VLOOKUP($B$53,Tableau14582[],6,FALSE)*(1+$L$9)^$B58,0)</f>
        <v>10</v>
      </c>
      <c r="L58" s="259">
        <f t="shared" si="12"/>
        <v>113.0434375</v>
      </c>
      <c r="N58" s="71">
        <v>37</v>
      </c>
      <c r="O58" s="235"/>
      <c r="P58" s="176"/>
      <c r="Q58" s="236">
        <f t="shared" si="10"/>
        <v>100.0025</v>
      </c>
      <c r="R58" s="176">
        <f t="shared" si="4"/>
        <v>7.0001750000000005</v>
      </c>
      <c r="S58" s="176">
        <f>$L$11*(1+$L$9)^N58*'Récapitulatif des résultats'!$I$11</f>
        <v>0</v>
      </c>
      <c r="T58" s="237"/>
      <c r="U58" s="176"/>
      <c r="V58" s="245">
        <f t="shared" si="6"/>
        <v>0</v>
      </c>
      <c r="W58" s="184">
        <f>SUM('Pin Sylvestre'!AQ42*'Pin Sylvestre'!$F$21,Douglas!AQ42*Douglas!$F$21,'Pin Maritime'!AQ42*'Pin Maritime'!$F$21,'Meleze Hybride'!AQ42*'Meleze Hybride'!$F$21,Thuya!AQ42*Thuya!$F$21,'Chêne et feuillus divers'!AQ42*'Chêne et feuillus divers'!$F$21)</f>
        <v>0</v>
      </c>
      <c r="X58" s="184">
        <f>SUM('Pin Sylvestre'!AR42*'Pin Sylvestre'!$F$21,Douglas!AR42*Douglas!$F$21,'Pin Maritime'!AR42*'Pin Maritime'!$F$21,'Meleze Hybride'!AR42*'Meleze Hybride'!$F$21,Thuya!AR42*Thuya!$F$21,'Chêne et feuillus divers'!AR42*'Chêne et feuillus divers'!$F$21)</f>
        <v>0</v>
      </c>
      <c r="Y58" s="184">
        <f>SUM('Pin Sylvestre'!AS42*'Pin Sylvestre'!$F$21,Douglas!AS42*Douglas!$F$21,'Pin Maritime'!AS42*'Pin Maritime'!$F$21,'Meleze Hybride'!AS42*'Meleze Hybride'!$F$21,Thuya!AS42*Thuya!$F$21,'Chêne et feuillus divers'!AS42*'Chêne et feuillus divers'!$F$21)</f>
        <v>0</v>
      </c>
      <c r="Z58" s="327">
        <f>SUM('Pin Sylvestre'!AT42*'Pin Sylvestre'!$F$21,Douglas!AT42*Douglas!$F$21,'Pin Maritime'!AT42*'Pin Maritime'!$F$21,'Meleze Hybride'!AT42*'Meleze Hybride'!$F$21,Thuya!AT42*Thuya!$F$21,'Chêne et feuillus divers'!AT42*'Chêne et feuillus divers'!$F$21)</f>
        <v>0</v>
      </c>
      <c r="AA58" s="174">
        <f t="shared" si="8"/>
        <v>0</v>
      </c>
      <c r="AB58" s="175">
        <f t="shared" si="7"/>
        <v>-20.993840259679384</v>
      </c>
      <c r="AC58" s="174"/>
      <c r="AD58" s="174"/>
    </row>
    <row r="59" spans="2:30">
      <c r="B59" s="267">
        <f>'Pin Maritime'!B86</f>
        <v>36</v>
      </c>
      <c r="C59" s="221">
        <f>'Pin Maritime'!C86</f>
        <v>35</v>
      </c>
      <c r="D59" s="222">
        <f>'Pin Maritime'!D86</f>
        <v>0.4</v>
      </c>
      <c r="E59" s="217">
        <f>'Pin Maritime'!E86</f>
        <v>0.33600000000000002</v>
      </c>
      <c r="F59" s="217">
        <f>'Pin Maritime'!F86</f>
        <v>0.26400000000000001</v>
      </c>
      <c r="G59" s="223">
        <f>'Pin Maritime'!G86</f>
        <v>0</v>
      </c>
      <c r="H59" s="206">
        <f>IFERROR(VLOOKUP($B$53,Tableau14582[],4,FALSE)*(1+$L$9)^$B59,0)</f>
        <v>42</v>
      </c>
      <c r="I59" s="207">
        <f>IFERROR(VLOOKUP($B$53,Tableau14582[],5,FALSE)*(1+$L$9)^$B59,0)</f>
        <v>19.375</v>
      </c>
      <c r="J59" s="207">
        <f>IFERROR(VLOOKUP($B$53,Tableau14582[],5,FALSE)*(1+$L$9)^$B59,0)</f>
        <v>19.375</v>
      </c>
      <c r="K59" s="208">
        <f>IFERROR(VLOOKUP($B$53,Tableau14582[],6,FALSE)*(1+$L$9)^$B59,0)</f>
        <v>10</v>
      </c>
      <c r="L59" s="259">
        <f t="shared" si="12"/>
        <v>165.84566249999997</v>
      </c>
      <c r="N59" s="71">
        <v>38</v>
      </c>
      <c r="O59" s="235"/>
      <c r="P59" s="176"/>
      <c r="Q59" s="236">
        <f t="shared" ref="Q59:Q90" si="13">$L$13*(1+$L$9)^N59*$L$5</f>
        <v>100.0025</v>
      </c>
      <c r="R59" s="176">
        <f t="shared" si="4"/>
        <v>7.0001750000000005</v>
      </c>
      <c r="S59" s="176">
        <f>$L$11*(1+$L$9)^N59*'Récapitulatif des résultats'!$I$11</f>
        <v>0</v>
      </c>
      <c r="T59" s="237"/>
      <c r="U59" s="176"/>
      <c r="V59" s="245">
        <f t="shared" si="6"/>
        <v>0</v>
      </c>
      <c r="W59" s="184">
        <f>SUM('Pin Sylvestre'!AQ43*'Pin Sylvestre'!$F$21,Douglas!AQ43*Douglas!$F$21,'Pin Maritime'!AQ43*'Pin Maritime'!$F$21,'Meleze Hybride'!AQ43*'Meleze Hybride'!$F$21,Thuya!AQ43*Thuya!$F$21,'Chêne et feuillus divers'!AQ43*'Chêne et feuillus divers'!$F$21)</f>
        <v>0</v>
      </c>
      <c r="X59" s="184">
        <f>SUM('Pin Sylvestre'!AR43*'Pin Sylvestre'!$F$21,Douglas!AR43*Douglas!$F$21,'Pin Maritime'!AR43*'Pin Maritime'!$F$21,'Meleze Hybride'!AR43*'Meleze Hybride'!$F$21,Thuya!AR43*Thuya!$F$21,'Chêne et feuillus divers'!AR43*'Chêne et feuillus divers'!$F$21)</f>
        <v>0</v>
      </c>
      <c r="Y59" s="184">
        <f>SUM('Pin Sylvestre'!AS43*'Pin Sylvestre'!$F$21,Douglas!AS43*Douglas!$F$21,'Pin Maritime'!AS43*'Pin Maritime'!$F$21,'Meleze Hybride'!AS43*'Meleze Hybride'!$F$21,Thuya!AS43*Thuya!$F$21,'Chêne et feuillus divers'!AS43*'Chêne et feuillus divers'!$F$21)</f>
        <v>0</v>
      </c>
      <c r="Z59" s="327">
        <f>SUM('Pin Sylvestre'!AT43*'Pin Sylvestre'!$F$21,Douglas!AT43*Douglas!$F$21,'Pin Maritime'!AT43*'Pin Maritime'!$F$21,'Meleze Hybride'!AT43*'Meleze Hybride'!$F$21,Thuya!AT43*Thuya!$F$21,'Chêne et feuillus divers'!AT43*'Chêne et feuillus divers'!$F$21)</f>
        <v>0</v>
      </c>
      <c r="AA59" s="174">
        <f t="shared" si="8"/>
        <v>0</v>
      </c>
      <c r="AB59" s="175">
        <f t="shared" si="7"/>
        <v>-20.089799291559224</v>
      </c>
      <c r="AC59" s="174"/>
      <c r="AD59" s="174"/>
    </row>
    <row r="60" spans="2:30">
      <c r="B60" s="267">
        <f>'Pin Maritime'!B87</f>
        <v>41</v>
      </c>
      <c r="C60" s="221">
        <f>'Pin Maritime'!C87</f>
        <v>35</v>
      </c>
      <c r="D60" s="222">
        <f>'Pin Maritime'!D87</f>
        <v>0.5</v>
      </c>
      <c r="E60" s="217">
        <f>'Pin Maritime'!E87</f>
        <v>0.28000000000000003</v>
      </c>
      <c r="F60" s="217">
        <f>'Pin Maritime'!F87</f>
        <v>0.22</v>
      </c>
      <c r="G60" s="223">
        <f>'Pin Maritime'!G87</f>
        <v>0</v>
      </c>
      <c r="H60" s="206">
        <f>IFERROR(VLOOKUP($B$53,Tableau14582[],4,FALSE)*(1+$L$9)^$B60,0)</f>
        <v>42</v>
      </c>
      <c r="I60" s="207">
        <f>IFERROR(VLOOKUP($B$53,Tableau14582[],5,FALSE)*(1+$L$9)^$B60,0)</f>
        <v>19.375</v>
      </c>
      <c r="J60" s="207">
        <f>IFERROR(VLOOKUP($B$53,Tableau14582[],5,FALSE)*(1+$L$9)^$B60,0)</f>
        <v>19.375</v>
      </c>
      <c r="K60" s="208">
        <f>IFERROR(VLOOKUP($B$53,Tableau14582[],6,FALSE)*(1+$L$9)^$B60,0)</f>
        <v>10</v>
      </c>
      <c r="L60" s="259">
        <f t="shared" si="12"/>
        <v>179.04621874999998</v>
      </c>
      <c r="N60" s="71">
        <v>39</v>
      </c>
      <c r="O60" s="235"/>
      <c r="P60" s="176"/>
      <c r="Q60" s="236">
        <f t="shared" si="13"/>
        <v>100.0025</v>
      </c>
      <c r="R60" s="176">
        <f t="shared" si="4"/>
        <v>7.0001750000000005</v>
      </c>
      <c r="S60" s="176">
        <f>$L$11*(1+$L$9)^N60*'Récapitulatif des résultats'!$I$11</f>
        <v>0</v>
      </c>
      <c r="T60" s="237"/>
      <c r="U60" s="176"/>
      <c r="V60" s="245">
        <f t="shared" si="6"/>
        <v>0</v>
      </c>
      <c r="W60" s="184">
        <f>SUM('Pin Sylvestre'!AQ44*'Pin Sylvestre'!$F$21,Douglas!AQ44*Douglas!$F$21,'Pin Maritime'!AQ44*'Pin Maritime'!$F$21,'Meleze Hybride'!AQ44*'Meleze Hybride'!$F$21,Thuya!AQ44*Thuya!$F$21,'Chêne et feuillus divers'!AQ44*'Chêne et feuillus divers'!$F$21)</f>
        <v>0</v>
      </c>
      <c r="X60" s="184">
        <f>SUM('Pin Sylvestre'!AR44*'Pin Sylvestre'!$F$21,Douglas!AR44*Douglas!$F$21,'Pin Maritime'!AR44*'Pin Maritime'!$F$21,'Meleze Hybride'!AR44*'Meleze Hybride'!$F$21,Thuya!AR44*Thuya!$F$21,'Chêne et feuillus divers'!AR44*'Chêne et feuillus divers'!$F$21)</f>
        <v>0</v>
      </c>
      <c r="Y60" s="184">
        <f>SUM('Pin Sylvestre'!AS44*'Pin Sylvestre'!$F$21,Douglas!AS44*Douglas!$F$21,'Pin Maritime'!AS44*'Pin Maritime'!$F$21,'Meleze Hybride'!AS44*'Meleze Hybride'!$F$21,Thuya!AS44*Thuya!$F$21,'Chêne et feuillus divers'!AS44*'Chêne et feuillus divers'!$F$21)</f>
        <v>0</v>
      </c>
      <c r="Z60" s="327">
        <f>SUM('Pin Sylvestre'!AT44*'Pin Sylvestre'!$F$21,Douglas!AT44*Douglas!$F$21,'Pin Maritime'!AT44*'Pin Maritime'!$F$21,'Meleze Hybride'!AT44*'Meleze Hybride'!$F$21,Thuya!AT44*Thuya!$F$21,'Chêne et feuillus divers'!AT44*'Chêne et feuillus divers'!$F$21)</f>
        <v>0</v>
      </c>
      <c r="AA60" s="174">
        <f t="shared" si="8"/>
        <v>0</v>
      </c>
      <c r="AB60" s="175">
        <f t="shared" si="7"/>
        <v>-19.224688317281554</v>
      </c>
      <c r="AC60" s="174"/>
      <c r="AD60" s="174"/>
    </row>
    <row r="61" spans="2:30">
      <c r="B61" s="267">
        <f>'Pin Maritime'!B88</f>
        <v>46</v>
      </c>
      <c r="C61" s="221">
        <f>'Pin Maritime'!C88</f>
        <v>35</v>
      </c>
      <c r="D61" s="222">
        <f>'Pin Maritime'!D88</f>
        <v>0.6</v>
      </c>
      <c r="E61" s="217">
        <f>'Pin Maritime'!E88</f>
        <v>0.22400000000000003</v>
      </c>
      <c r="F61" s="217">
        <f>'Pin Maritime'!F88</f>
        <v>0.17600000000000002</v>
      </c>
      <c r="G61" s="223">
        <f>'Pin Maritime'!G88</f>
        <v>0</v>
      </c>
      <c r="H61" s="206">
        <f>IFERROR(VLOOKUP($B$53,Tableau14582[],4,FALSE)*(1+$L$9)^$B61,0)</f>
        <v>42</v>
      </c>
      <c r="I61" s="207">
        <f>IFERROR(VLOOKUP($B$53,Tableau14582[],5,FALSE)*(1+$L$9)^$B61,0)</f>
        <v>19.375</v>
      </c>
      <c r="J61" s="207">
        <f>IFERROR(VLOOKUP($B$53,Tableau14582[],5,FALSE)*(1+$L$9)^$B61,0)</f>
        <v>19.375</v>
      </c>
      <c r="K61" s="208">
        <f>IFERROR(VLOOKUP($B$53,Tableau14582[],6,FALSE)*(1+$L$9)^$B61,0)</f>
        <v>10</v>
      </c>
      <c r="L61" s="259">
        <f t="shared" si="12"/>
        <v>192.24677499999999</v>
      </c>
      <c r="N61" s="71">
        <v>40</v>
      </c>
      <c r="O61" s="235"/>
      <c r="P61" s="176"/>
      <c r="Q61" s="236">
        <f t="shared" si="13"/>
        <v>100.0025</v>
      </c>
      <c r="R61" s="176">
        <f t="shared" si="4"/>
        <v>7.0001750000000005</v>
      </c>
      <c r="S61" s="176">
        <f>$L$11*(1+$L$9)^N61*'Récapitulatif des résultats'!$I$11</f>
        <v>0</v>
      </c>
      <c r="T61" s="237"/>
      <c r="U61" s="176"/>
      <c r="V61" s="245">
        <f t="shared" si="6"/>
        <v>0</v>
      </c>
      <c r="W61" s="184">
        <f>SUM('Pin Sylvestre'!AQ45*'Pin Sylvestre'!$F$21,Douglas!AQ45*Douglas!$F$21,'Pin Maritime'!AQ45*'Pin Maritime'!$F$21,'Meleze Hybride'!AQ45*'Meleze Hybride'!$F$21,Thuya!AQ45*Thuya!$F$21,'Chêne et feuillus divers'!AQ45*'Chêne et feuillus divers'!$F$21)</f>
        <v>0</v>
      </c>
      <c r="X61" s="184">
        <f>SUM('Pin Sylvestre'!AR45*'Pin Sylvestre'!$F$21,Douglas!AR45*Douglas!$F$21,'Pin Maritime'!AR45*'Pin Maritime'!$F$21,'Meleze Hybride'!AR45*'Meleze Hybride'!$F$21,Thuya!AR45*Thuya!$F$21,'Chêne et feuillus divers'!AR45*'Chêne et feuillus divers'!$F$21)</f>
        <v>0</v>
      </c>
      <c r="Y61" s="184">
        <f>SUM('Pin Sylvestre'!AS45*'Pin Sylvestre'!$F$21,Douglas!AS45*Douglas!$F$21,'Pin Maritime'!AS45*'Pin Maritime'!$F$21,'Meleze Hybride'!AS45*'Meleze Hybride'!$F$21,Thuya!AS45*Thuya!$F$21,'Chêne et feuillus divers'!AS45*'Chêne et feuillus divers'!$F$21)</f>
        <v>0</v>
      </c>
      <c r="Z61" s="327">
        <f>SUM('Pin Sylvestre'!AT45*'Pin Sylvestre'!$F$21,Douglas!AT45*Douglas!$F$21,'Pin Maritime'!AT45*'Pin Maritime'!$F$21,'Meleze Hybride'!AT45*'Meleze Hybride'!$F$21,Thuya!AT45*Thuya!$F$21,'Chêne et feuillus divers'!AT45*'Chêne et feuillus divers'!$F$21)</f>
        <v>0</v>
      </c>
      <c r="AA61" s="174">
        <f t="shared" si="8"/>
        <v>0</v>
      </c>
      <c r="AB61" s="175">
        <f t="shared" si="7"/>
        <v>-18.396830925628286</v>
      </c>
      <c r="AC61" s="174"/>
      <c r="AD61" s="174"/>
    </row>
    <row r="62" spans="2:30">
      <c r="B62" s="267">
        <f>'Pin Maritime'!B89</f>
        <v>51</v>
      </c>
      <c r="C62" s="221">
        <f>'Pin Maritime'!C89</f>
        <v>35</v>
      </c>
      <c r="D62" s="222">
        <f>'Pin Maritime'!D89</f>
        <v>0.7</v>
      </c>
      <c r="E62" s="217">
        <f>'Pin Maritime'!E89</f>
        <v>0.16800000000000004</v>
      </c>
      <c r="F62" s="217">
        <f>'Pin Maritime'!F89</f>
        <v>0.13200000000000003</v>
      </c>
      <c r="G62" s="223">
        <f>'Pin Maritime'!G89</f>
        <v>0</v>
      </c>
      <c r="H62" s="206">
        <f>IFERROR(VLOOKUP($B$53,Tableau14582[],4,FALSE)*(1+$L$9)^$B62,0)</f>
        <v>42</v>
      </c>
      <c r="I62" s="207">
        <f>IFERROR(VLOOKUP($B$53,Tableau14582[],5,FALSE)*(1+$L$9)^$B62,0)</f>
        <v>19.375</v>
      </c>
      <c r="J62" s="207">
        <f>IFERROR(VLOOKUP($B$53,Tableau14582[],5,FALSE)*(1+$L$9)^$B62,0)</f>
        <v>19.375</v>
      </c>
      <c r="K62" s="208">
        <f>IFERROR(VLOOKUP($B$53,Tableau14582[],6,FALSE)*(1+$L$9)^$B62,0)</f>
        <v>10</v>
      </c>
      <c r="L62" s="259">
        <f t="shared" si="12"/>
        <v>205.44733124999999</v>
      </c>
      <c r="N62" s="71">
        <v>41</v>
      </c>
      <c r="O62" s="235"/>
      <c r="P62" s="176"/>
      <c r="Q62" s="236">
        <f t="shared" si="13"/>
        <v>100.0025</v>
      </c>
      <c r="R62" s="176">
        <f t="shared" si="4"/>
        <v>7.0001750000000005</v>
      </c>
      <c r="S62" s="176">
        <f>$L$11*(1+$L$9)^N62*'Récapitulatif des résultats'!$I$11</f>
        <v>0</v>
      </c>
      <c r="T62" s="237"/>
      <c r="U62" s="176"/>
      <c r="V62" s="245">
        <f t="shared" si="6"/>
        <v>64.169000000000011</v>
      </c>
      <c r="W62" s="184">
        <f>SUM('Pin Sylvestre'!AQ46*'Pin Sylvestre'!$F$21,Douglas!AQ46*Douglas!$F$21,'Pin Maritime'!AQ46*'Pin Maritime'!$F$21,'Meleze Hybride'!AQ46*'Meleze Hybride'!$F$21,Thuya!AQ46*Thuya!$F$21,'Chêne et feuillus divers'!AQ46*'Chêne et feuillus divers'!$F$21)</f>
        <v>19.251749999999998</v>
      </c>
      <c r="X62" s="184">
        <f>SUM('Pin Sylvestre'!AR46*'Pin Sylvestre'!$F$21,Douglas!AR46*Douglas!$F$21,'Pin Maritime'!AR46*'Pin Maritime'!$F$21,'Meleze Hybride'!AR46*'Meleze Hybride'!$F$21,Thuya!AR46*Thuya!$F$21,'Chêne et feuillus divers'!AR46*'Chêne et feuillus divers'!$F$21)</f>
        <v>25.153660000000002</v>
      </c>
      <c r="Y62" s="184">
        <f>SUM('Pin Sylvestre'!AS46*'Pin Sylvestre'!$F$21,Douglas!AS46*Douglas!$F$21,'Pin Maritime'!AS46*'Pin Maritime'!$F$21,'Meleze Hybride'!AS46*'Meleze Hybride'!$F$21,Thuya!AS46*Thuya!$F$21,'Chêne et feuillus divers'!AS46*'Chêne et feuillus divers'!$F$21)</f>
        <v>19.763590000000004</v>
      </c>
      <c r="Z62" s="327">
        <f>SUM('Pin Sylvestre'!AT46*'Pin Sylvestre'!$F$21,Douglas!AT46*Douglas!$F$21,'Pin Maritime'!AT46*'Pin Maritime'!$F$21,'Meleze Hybride'!AT46*'Meleze Hybride'!$F$21,Thuya!AT46*Thuya!$F$21,'Chêne et feuillus divers'!AT46*'Chêne et feuillus divers'!$F$21)</f>
        <v>0</v>
      </c>
      <c r="AA62" s="174">
        <f t="shared" si="8"/>
        <v>2567.6308187499999</v>
      </c>
      <c r="AB62" s="175">
        <f t="shared" si="7"/>
        <v>404.83502451106455</v>
      </c>
      <c r="AC62" s="174"/>
      <c r="AD62" s="174"/>
    </row>
    <row r="63" spans="2:30">
      <c r="B63" s="267">
        <f>'Pin Maritime'!B90</f>
        <v>56</v>
      </c>
      <c r="C63" s="221">
        <f>'Pin Maritime'!C90</f>
        <v>33</v>
      </c>
      <c r="D63" s="222">
        <f>'Pin Maritime'!D90</f>
        <v>0.8</v>
      </c>
      <c r="E63" s="217">
        <f>'Pin Maritime'!E90</f>
        <v>0.11199999999999999</v>
      </c>
      <c r="F63" s="217">
        <f>'Pin Maritime'!F90</f>
        <v>8.7999999999999981E-2</v>
      </c>
      <c r="G63" s="223">
        <f>'Pin Maritime'!G90</f>
        <v>0</v>
      </c>
      <c r="H63" s="206">
        <f>IFERROR(VLOOKUP($B$53,Tableau14582[],4,FALSE)*(1+$L$9)^$B63,0)</f>
        <v>42</v>
      </c>
      <c r="I63" s="207">
        <f>IFERROR(VLOOKUP($B$53,Tableau14582[],5,FALSE)*(1+$L$9)^$B63,0)</f>
        <v>19.375</v>
      </c>
      <c r="J63" s="207">
        <f>IFERROR(VLOOKUP($B$53,Tableau14582[],5,FALSE)*(1+$L$9)^$B63,0)</f>
        <v>19.375</v>
      </c>
      <c r="K63" s="208">
        <f>IFERROR(VLOOKUP($B$53,Tableau14582[],6,FALSE)*(1+$L$9)^$B63,0)</f>
        <v>10</v>
      </c>
      <c r="L63" s="259">
        <f t="shared" si="12"/>
        <v>206.15372250000001</v>
      </c>
      <c r="N63" s="71">
        <v>42</v>
      </c>
      <c r="O63" s="235"/>
      <c r="P63" s="176"/>
      <c r="Q63" s="236">
        <f t="shared" si="13"/>
        <v>100.0025</v>
      </c>
      <c r="R63" s="176">
        <f t="shared" si="4"/>
        <v>7.0001750000000005</v>
      </c>
      <c r="S63" s="176">
        <f>$L$11*(1+$L$9)^N63*'Récapitulatif des résultats'!$I$11</f>
        <v>0</v>
      </c>
      <c r="T63" s="237"/>
      <c r="U63" s="176"/>
      <c r="V63" s="245">
        <f t="shared" si="6"/>
        <v>0</v>
      </c>
      <c r="W63" s="184">
        <f>SUM('Pin Sylvestre'!AQ47*'Pin Sylvestre'!$F$21,Douglas!AQ47*Douglas!$F$21,'Pin Maritime'!AQ47*'Pin Maritime'!$F$21,'Meleze Hybride'!AQ47*'Meleze Hybride'!$F$21,Thuya!AQ47*Thuya!$F$21,'Chêne et feuillus divers'!AQ47*'Chêne et feuillus divers'!$F$21)</f>
        <v>0</v>
      </c>
      <c r="X63" s="184">
        <f>SUM('Pin Sylvestre'!AR47*'Pin Sylvestre'!$F$21,Douglas!AR47*Douglas!$F$21,'Pin Maritime'!AR47*'Pin Maritime'!$F$21,'Meleze Hybride'!AR47*'Meleze Hybride'!$F$21,Thuya!AR47*Thuya!$F$21,'Chêne et feuillus divers'!AR47*'Chêne et feuillus divers'!$F$21)</f>
        <v>0</v>
      </c>
      <c r="Y63" s="184">
        <f>SUM('Pin Sylvestre'!AS47*'Pin Sylvestre'!$F$21,Douglas!AS47*Douglas!$F$21,'Pin Maritime'!AS47*'Pin Maritime'!$F$21,'Meleze Hybride'!AS47*'Meleze Hybride'!$F$21,Thuya!AS47*Thuya!$F$21,'Chêne et feuillus divers'!AS47*'Chêne et feuillus divers'!$F$21)</f>
        <v>0</v>
      </c>
      <c r="Z63" s="327">
        <f>SUM('Pin Sylvestre'!AT47*'Pin Sylvestre'!$F$21,Douglas!AT47*Douglas!$F$21,'Pin Maritime'!AT47*'Pin Maritime'!$F$21,'Meleze Hybride'!AT47*'Meleze Hybride'!$F$21,Thuya!AT47*Thuya!$F$21,'Chêne et feuillus divers'!AT47*'Chêne et feuillus divers'!$F$21)</f>
        <v>0</v>
      </c>
      <c r="AA63" s="174">
        <f t="shared" si="8"/>
        <v>0</v>
      </c>
      <c r="AB63" s="175">
        <f t="shared" si="7"/>
        <v>-16.846529086447923</v>
      </c>
      <c r="AC63" s="174"/>
      <c r="AD63" s="174"/>
    </row>
    <row r="64" spans="2:30">
      <c r="B64" s="267">
        <f>'Pin Maritime'!B91</f>
        <v>61</v>
      </c>
      <c r="C64" s="221">
        <f>'Pin Maritime'!C91</f>
        <v>30</v>
      </c>
      <c r="D64" s="222">
        <f>'Pin Maritime'!D91</f>
        <v>0.9</v>
      </c>
      <c r="E64" s="217">
        <f>'Pin Maritime'!E91</f>
        <v>5.5999999999999994E-2</v>
      </c>
      <c r="F64" s="217">
        <f>'Pin Maritime'!F91</f>
        <v>4.3999999999999991E-2</v>
      </c>
      <c r="G64" s="223">
        <f>'Pin Maritime'!G91</f>
        <v>0</v>
      </c>
      <c r="H64" s="206">
        <f>IFERROR(VLOOKUP($B$53,Tableau14582[],4,FALSE)*(1+$L$9)^$B64,0)</f>
        <v>42</v>
      </c>
      <c r="I64" s="207">
        <f>IFERROR(VLOOKUP($B$53,Tableau14582[],5,FALSE)*(1+$L$9)^$B64,0)</f>
        <v>19.375</v>
      </c>
      <c r="J64" s="207">
        <f>IFERROR(VLOOKUP($B$53,Tableau14582[],5,FALSE)*(1+$L$9)^$B64,0)</f>
        <v>19.375</v>
      </c>
      <c r="K64" s="208">
        <f>IFERROR(VLOOKUP($B$53,Tableau14582[],6,FALSE)*(1+$L$9)^$B64,0)</f>
        <v>10</v>
      </c>
      <c r="L64" s="259">
        <f t="shared" si="12"/>
        <v>198.72723749999997</v>
      </c>
      <c r="N64" s="71">
        <v>43</v>
      </c>
      <c r="O64" s="235"/>
      <c r="P64" s="176"/>
      <c r="Q64" s="236">
        <f t="shared" si="13"/>
        <v>100.0025</v>
      </c>
      <c r="R64" s="176">
        <f t="shared" si="4"/>
        <v>7.0001750000000005</v>
      </c>
      <c r="S64" s="176">
        <f>$L$11*(1+$L$9)^N64*'Récapitulatif des résultats'!$I$11</f>
        <v>0</v>
      </c>
      <c r="T64" s="237"/>
      <c r="U64" s="176"/>
      <c r="V64" s="245">
        <f t="shared" si="6"/>
        <v>0</v>
      </c>
      <c r="W64" s="184">
        <f>SUM('Pin Sylvestre'!AQ48*'Pin Sylvestre'!$F$21,Douglas!AQ48*Douglas!$F$21,'Pin Maritime'!AQ48*'Pin Maritime'!$F$21,'Meleze Hybride'!AQ48*'Meleze Hybride'!$F$21,Thuya!AQ48*Thuya!$F$21,'Chêne et feuillus divers'!AQ48*'Chêne et feuillus divers'!$F$21)</f>
        <v>0</v>
      </c>
      <c r="X64" s="184">
        <f>SUM('Pin Sylvestre'!AR48*'Pin Sylvestre'!$F$21,Douglas!AR48*Douglas!$F$21,'Pin Maritime'!AR48*'Pin Maritime'!$F$21,'Meleze Hybride'!AR48*'Meleze Hybride'!$F$21,Thuya!AR48*Thuya!$F$21,'Chêne et feuillus divers'!AR48*'Chêne et feuillus divers'!$F$21)</f>
        <v>0</v>
      </c>
      <c r="Y64" s="184">
        <f>SUM('Pin Sylvestre'!AS48*'Pin Sylvestre'!$F$21,Douglas!AS48*Douglas!$F$21,'Pin Maritime'!AS48*'Pin Maritime'!$F$21,'Meleze Hybride'!AS48*'Meleze Hybride'!$F$21,Thuya!AS48*Thuya!$F$21,'Chêne et feuillus divers'!AS48*'Chêne et feuillus divers'!$F$21)</f>
        <v>0</v>
      </c>
      <c r="Z64" s="327">
        <f>SUM('Pin Sylvestre'!AT48*'Pin Sylvestre'!$F$21,Douglas!AT48*Douglas!$F$21,'Pin Maritime'!AT48*'Pin Maritime'!$F$21,'Meleze Hybride'!AT48*'Meleze Hybride'!$F$21,Thuya!AT48*Thuya!$F$21,'Chêne et feuillus divers'!AT48*'Chêne et feuillus divers'!$F$21)</f>
        <v>0</v>
      </c>
      <c r="AA64" s="174">
        <f t="shared" si="8"/>
        <v>0</v>
      </c>
      <c r="AB64" s="175">
        <f t="shared" si="7"/>
        <v>-16.121080465500402</v>
      </c>
      <c r="AC64" s="174"/>
      <c r="AD64" s="174"/>
    </row>
    <row r="65" spans="2:30">
      <c r="B65" s="267">
        <f>'Pin Maritime'!B92</f>
        <v>66</v>
      </c>
      <c r="C65" s="221">
        <f>'Pin Maritime'!C92</f>
        <v>28</v>
      </c>
      <c r="D65" s="222">
        <f>'Pin Maritime'!D92</f>
        <v>0.9</v>
      </c>
      <c r="E65" s="217">
        <f>'Pin Maritime'!E92</f>
        <v>5.5999999999999994E-2</v>
      </c>
      <c r="F65" s="217">
        <f>'Pin Maritime'!F92</f>
        <v>4.3999999999999991E-2</v>
      </c>
      <c r="G65" s="223">
        <f>'Pin Maritime'!G92</f>
        <v>0</v>
      </c>
      <c r="H65" s="206">
        <f>IFERROR(VLOOKUP($B$53,Tableau14582[],4,FALSE)*(1+$L$9)^$B65,0)</f>
        <v>42</v>
      </c>
      <c r="I65" s="207">
        <f>IFERROR(VLOOKUP($B$53,Tableau14582[],5,FALSE)*(1+$L$9)^$B65,0)</f>
        <v>19.375</v>
      </c>
      <c r="J65" s="207">
        <f>IFERROR(VLOOKUP($B$53,Tableau14582[],5,FALSE)*(1+$L$9)^$B65,0)</f>
        <v>19.375</v>
      </c>
      <c r="K65" s="208">
        <f>IFERROR(VLOOKUP($B$53,Tableau14582[],6,FALSE)*(1+$L$9)^$B65,0)</f>
        <v>10</v>
      </c>
      <c r="L65" s="259">
        <f t="shared" si="12"/>
        <v>185.47875499999992</v>
      </c>
      <c r="N65" s="71">
        <v>44</v>
      </c>
      <c r="O65" s="235"/>
      <c r="P65" s="176"/>
      <c r="Q65" s="236">
        <f t="shared" si="13"/>
        <v>100.0025</v>
      </c>
      <c r="R65" s="176">
        <f t="shared" si="4"/>
        <v>7.0001750000000005</v>
      </c>
      <c r="S65" s="176">
        <f>$L$11*(1+$L$9)^N65*'Récapitulatif des résultats'!$I$11</f>
        <v>0</v>
      </c>
      <c r="T65" s="237"/>
      <c r="U65" s="176"/>
      <c r="V65" s="245">
        <f t="shared" si="6"/>
        <v>0</v>
      </c>
      <c r="W65" s="184">
        <f>SUM('Pin Sylvestre'!AQ49*'Pin Sylvestre'!$F$21,Douglas!AQ49*Douglas!$F$21,'Pin Maritime'!AQ49*'Pin Maritime'!$F$21,'Meleze Hybride'!AQ49*'Meleze Hybride'!$F$21,Thuya!AQ49*Thuya!$F$21,'Chêne et feuillus divers'!AQ49*'Chêne et feuillus divers'!$F$21)</f>
        <v>0</v>
      </c>
      <c r="X65" s="184">
        <f>SUM('Pin Sylvestre'!AR49*'Pin Sylvestre'!$F$21,Douglas!AR49*Douglas!$F$21,'Pin Maritime'!AR49*'Pin Maritime'!$F$21,'Meleze Hybride'!AR49*'Meleze Hybride'!$F$21,Thuya!AR49*Thuya!$F$21,'Chêne et feuillus divers'!AR49*'Chêne et feuillus divers'!$F$21)</f>
        <v>0</v>
      </c>
      <c r="Y65" s="184">
        <f>SUM('Pin Sylvestre'!AS49*'Pin Sylvestre'!$F$21,Douglas!AS49*Douglas!$F$21,'Pin Maritime'!AS49*'Pin Maritime'!$F$21,'Meleze Hybride'!AS49*'Meleze Hybride'!$F$21,Thuya!AS49*Thuya!$F$21,'Chêne et feuillus divers'!AS49*'Chêne et feuillus divers'!$F$21)</f>
        <v>0</v>
      </c>
      <c r="Z65" s="327">
        <f>SUM('Pin Sylvestre'!AT49*'Pin Sylvestre'!$F$21,Douglas!AT49*Douglas!$F$21,'Pin Maritime'!AT49*'Pin Maritime'!$F$21,'Meleze Hybride'!AT49*'Meleze Hybride'!$F$21,Thuya!AT49*Thuya!$F$21,'Chêne et feuillus divers'!AT49*'Chêne et feuillus divers'!$F$21)</f>
        <v>0</v>
      </c>
      <c r="AA65" s="174">
        <f t="shared" si="8"/>
        <v>0</v>
      </c>
      <c r="AB65" s="175">
        <f t="shared" si="7"/>
        <v>-15.426871258852062</v>
      </c>
      <c r="AC65" s="174"/>
      <c r="AD65" s="174"/>
    </row>
    <row r="66" spans="2:30">
      <c r="B66" s="267">
        <f>'Pin Maritime'!B93</f>
        <v>71</v>
      </c>
      <c r="C66" s="221">
        <f>'Pin Maritime'!C93</f>
        <v>27</v>
      </c>
      <c r="D66" s="222">
        <f>'Pin Maritime'!D93</f>
        <v>0.9</v>
      </c>
      <c r="E66" s="217">
        <f>'Pin Maritime'!E93</f>
        <v>5.5999999999999994E-2</v>
      </c>
      <c r="F66" s="217">
        <f>'Pin Maritime'!F93</f>
        <v>4.3999999999999991E-2</v>
      </c>
      <c r="G66" s="223">
        <f>'Pin Maritime'!G93</f>
        <v>0</v>
      </c>
      <c r="H66" s="206">
        <f>IFERROR(VLOOKUP($B$53,Tableau14582[],4,FALSE)*(1+$L$9)^$B66,0)</f>
        <v>42</v>
      </c>
      <c r="I66" s="207">
        <f>IFERROR(VLOOKUP($B$53,Tableau14582[],5,FALSE)*(1+$L$9)^$B66,0)</f>
        <v>19.375</v>
      </c>
      <c r="J66" s="207">
        <f>IFERROR(VLOOKUP($B$53,Tableau14582[],5,FALSE)*(1+$L$9)^$B66,0)</f>
        <v>19.375</v>
      </c>
      <c r="K66" s="208">
        <f>IFERROR(VLOOKUP($B$53,Tableau14582[],6,FALSE)*(1+$L$9)^$B66,0)</f>
        <v>10</v>
      </c>
      <c r="L66" s="259">
        <f t="shared" si="12"/>
        <v>178.85451374999997</v>
      </c>
      <c r="N66" s="71">
        <v>45</v>
      </c>
      <c r="O66" s="235"/>
      <c r="P66" s="176"/>
      <c r="Q66" s="236">
        <f t="shared" si="13"/>
        <v>100.0025</v>
      </c>
      <c r="R66" s="176">
        <f t="shared" si="4"/>
        <v>7.0001750000000005</v>
      </c>
      <c r="S66" s="176">
        <f>$L$11*(1+$L$9)^N66*'Récapitulatif des résultats'!$I$11</f>
        <v>0</v>
      </c>
      <c r="T66" s="237"/>
      <c r="U66" s="176"/>
      <c r="V66" s="245">
        <f t="shared" si="6"/>
        <v>0</v>
      </c>
      <c r="W66" s="184">
        <f>SUM('Pin Sylvestre'!AQ50*'Pin Sylvestre'!$F$21,Douglas!AQ50*Douglas!$F$21,'Pin Maritime'!AQ50*'Pin Maritime'!$F$21,'Meleze Hybride'!AQ50*'Meleze Hybride'!$F$21,Thuya!AQ50*Thuya!$F$21,'Chêne et feuillus divers'!AQ50*'Chêne et feuillus divers'!$F$21)</f>
        <v>0</v>
      </c>
      <c r="X66" s="184">
        <f>SUM('Pin Sylvestre'!AR50*'Pin Sylvestre'!$F$21,Douglas!AR50*Douglas!$F$21,'Pin Maritime'!AR50*'Pin Maritime'!$F$21,'Meleze Hybride'!AR50*'Meleze Hybride'!$F$21,Thuya!AR50*Thuya!$F$21,'Chêne et feuillus divers'!AR50*'Chêne et feuillus divers'!$F$21)</f>
        <v>0</v>
      </c>
      <c r="Y66" s="184">
        <f>SUM('Pin Sylvestre'!AS50*'Pin Sylvestre'!$F$21,Douglas!AS50*Douglas!$F$21,'Pin Maritime'!AS50*'Pin Maritime'!$F$21,'Meleze Hybride'!AS50*'Meleze Hybride'!$F$21,Thuya!AS50*Thuya!$F$21,'Chêne et feuillus divers'!AS50*'Chêne et feuillus divers'!$F$21)</f>
        <v>0</v>
      </c>
      <c r="Z66" s="327">
        <f>SUM('Pin Sylvestre'!AT50*'Pin Sylvestre'!$F$21,Douglas!AT50*Douglas!$F$21,'Pin Maritime'!AT50*'Pin Maritime'!$F$21,'Meleze Hybride'!AT50*'Meleze Hybride'!$F$21,Thuya!AT50*Thuya!$F$21,'Chêne et feuillus divers'!AT50*'Chêne et feuillus divers'!$F$21)</f>
        <v>0</v>
      </c>
      <c r="AA66" s="174">
        <f t="shared" si="8"/>
        <v>0</v>
      </c>
      <c r="AB66" s="175">
        <f t="shared" si="7"/>
        <v>-14.762556228566567</v>
      </c>
      <c r="AC66" s="174"/>
      <c r="AD66" s="174"/>
    </row>
    <row r="67" spans="2:30">
      <c r="B67" s="260">
        <f>'Pin Maritime'!B94</f>
        <v>80</v>
      </c>
      <c r="C67" s="224">
        <f>'Pin Maritime'!C94</f>
        <v>414</v>
      </c>
      <c r="D67" s="218">
        <f>'Pin Maritime'!D94</f>
        <v>0.95</v>
      </c>
      <c r="E67" s="230">
        <f>'Pin Maritime'!E94</f>
        <v>2.8000000000000028E-2</v>
      </c>
      <c r="F67" s="230">
        <f>'Pin Maritime'!F94</f>
        <v>2.200000000000002E-2</v>
      </c>
      <c r="G67" s="225">
        <f>'Pin Maritime'!G94</f>
        <v>0</v>
      </c>
      <c r="H67" s="209">
        <f>IFERROR(VLOOKUP($B$53,Tableau14582[],4,FALSE)*(1+$L$9)^$B67,0)</f>
        <v>42</v>
      </c>
      <c r="I67" s="210">
        <f>IFERROR(VLOOKUP($B$53,Tableau14582[],5,FALSE)*(1+$L$9)^$B67,0)</f>
        <v>19.375</v>
      </c>
      <c r="J67" s="210">
        <f>IFERROR(VLOOKUP($B$53,Tableau14582[],5,FALSE)*(1+$L$9)^$B67,0)</f>
        <v>19.375</v>
      </c>
      <c r="K67" s="211">
        <f>IFERROR(VLOOKUP($B$53,Tableau14582[],6,FALSE)*(1+$L$9)^$B67,0)</f>
        <v>10</v>
      </c>
      <c r="L67" s="261">
        <f t="shared" si="12"/>
        <v>2820.5077387499996</v>
      </c>
      <c r="N67" s="71">
        <v>46</v>
      </c>
      <c r="O67" s="235"/>
      <c r="P67" s="176"/>
      <c r="Q67" s="236">
        <f t="shared" si="13"/>
        <v>100.0025</v>
      </c>
      <c r="R67" s="176">
        <f t="shared" si="4"/>
        <v>7.0001750000000005</v>
      </c>
      <c r="S67" s="176">
        <f>$L$11*(1+$L$9)^N67*'Récapitulatif des résultats'!$I$11</f>
        <v>0</v>
      </c>
      <c r="T67" s="237"/>
      <c r="U67" s="176"/>
      <c r="V67" s="245">
        <f t="shared" si="6"/>
        <v>64.168999999999997</v>
      </c>
      <c r="W67" s="184">
        <f>SUM('Pin Sylvestre'!AQ51*'Pin Sylvestre'!$F$21,Douglas!AQ51*Douglas!$F$21,'Pin Maritime'!AQ51*'Pin Maritime'!$F$21,'Meleze Hybride'!AQ51*'Meleze Hybride'!$F$21,Thuya!AQ51*Thuya!$F$21,'Chêne et feuillus divers'!AQ51*'Chêne et feuillus divers'!$F$21)</f>
        <v>21.002099999999995</v>
      </c>
      <c r="X67" s="184">
        <f>SUM('Pin Sylvestre'!AR51*'Pin Sylvestre'!$F$21,Douglas!AR51*Douglas!$F$21,'Pin Maritime'!AR51*'Pin Maritime'!$F$21,'Meleze Hybride'!AR51*'Meleze Hybride'!$F$21,Thuya!AR51*Thuya!$F$21,'Chêne et feuillus divers'!AR51*'Chêne et feuillus divers'!$F$21)</f>
        <v>24.173463999999999</v>
      </c>
      <c r="Y67" s="184">
        <f>SUM('Pin Sylvestre'!AS51*'Pin Sylvestre'!$F$21,Douglas!AS51*Douglas!$F$21,'Pin Maritime'!AS51*'Pin Maritime'!$F$21,'Meleze Hybride'!AS51*'Meleze Hybride'!$F$21,Thuya!AS51*Thuya!$F$21,'Chêne et feuillus divers'!AS51*'Chêne et feuillus divers'!$F$21)</f>
        <v>18.993436000000003</v>
      </c>
      <c r="Z67" s="327">
        <f>SUM('Pin Sylvestre'!AT51*'Pin Sylvestre'!$F$21,Douglas!AT51*Douglas!$F$21,'Pin Maritime'!AT51*'Pin Maritime'!$F$21,'Meleze Hybride'!AT51*'Meleze Hybride'!$F$21,Thuya!AT51*Thuya!$F$21,'Chêne et feuillus divers'!AT51*'Chêne et feuillus divers'!$F$21)</f>
        <v>0</v>
      </c>
      <c r="AA67" s="174">
        <f t="shared" si="8"/>
        <v>3817.3538937499998</v>
      </c>
      <c r="AB67" s="175">
        <f t="shared" si="7"/>
        <v>489.85287458791817</v>
      </c>
      <c r="AC67" s="174"/>
      <c r="AD67" s="174"/>
    </row>
    <row r="68" spans="2:30">
      <c r="B68" s="262"/>
      <c r="C68" s="263"/>
      <c r="D68" s="263"/>
      <c r="E68" s="263"/>
      <c r="F68" s="263"/>
      <c r="G68" s="263"/>
      <c r="H68" s="263"/>
      <c r="I68" s="263"/>
      <c r="J68" s="263"/>
      <c r="K68" s="263"/>
      <c r="L68" s="264"/>
      <c r="N68" s="71">
        <v>47</v>
      </c>
      <c r="O68" s="235"/>
      <c r="P68" s="176"/>
      <c r="Q68" s="236">
        <f t="shared" si="13"/>
        <v>100.0025</v>
      </c>
      <c r="R68" s="176">
        <f t="shared" si="4"/>
        <v>7.0001750000000005</v>
      </c>
      <c r="S68" s="176">
        <f>$L$11*(1+$L$9)^N68*'Récapitulatif des résultats'!$I$11</f>
        <v>0</v>
      </c>
      <c r="T68" s="237"/>
      <c r="U68" s="176"/>
      <c r="V68" s="245">
        <f t="shared" si="6"/>
        <v>0</v>
      </c>
      <c r="W68" s="184">
        <f>SUM('Pin Sylvestre'!AQ52*'Pin Sylvestre'!$F$21,Douglas!AQ52*Douglas!$F$21,'Pin Maritime'!AQ52*'Pin Maritime'!$F$21,'Meleze Hybride'!AQ52*'Meleze Hybride'!$F$21,Thuya!AQ52*Thuya!$F$21,'Chêne et feuillus divers'!AQ52*'Chêne et feuillus divers'!$F$21)</f>
        <v>0</v>
      </c>
      <c r="X68" s="184">
        <f>SUM('Pin Sylvestre'!AR52*'Pin Sylvestre'!$F$21,Douglas!AR52*Douglas!$F$21,'Pin Maritime'!AR52*'Pin Maritime'!$F$21,'Meleze Hybride'!AR52*'Meleze Hybride'!$F$21,Thuya!AR52*Thuya!$F$21,'Chêne et feuillus divers'!AR52*'Chêne et feuillus divers'!$F$21)</f>
        <v>0</v>
      </c>
      <c r="Y68" s="184">
        <f>SUM('Pin Sylvestre'!AS52*'Pin Sylvestre'!$F$21,Douglas!AS52*Douglas!$F$21,'Pin Maritime'!AS52*'Pin Maritime'!$F$21,'Meleze Hybride'!AS52*'Meleze Hybride'!$F$21,Thuya!AS52*Thuya!$F$21,'Chêne et feuillus divers'!AS52*'Chêne et feuillus divers'!$F$21)</f>
        <v>0</v>
      </c>
      <c r="Z68" s="327">
        <f>SUM('Pin Sylvestre'!AT52*'Pin Sylvestre'!$F$21,Douglas!AT52*Douglas!$F$21,'Pin Maritime'!AT52*'Pin Maritime'!$F$21,'Meleze Hybride'!AT52*'Meleze Hybride'!$F$21,Thuya!AT52*Thuya!$F$21,'Chêne et feuillus divers'!AT52*'Chêne et feuillus divers'!$F$21)</f>
        <v>0</v>
      </c>
      <c r="AA68" s="174">
        <f t="shared" si="8"/>
        <v>0</v>
      </c>
      <c r="AB68" s="175">
        <f t="shared" si="7"/>
        <v>-13.518514895324346</v>
      </c>
      <c r="AC68" s="174"/>
      <c r="AD68" s="174"/>
    </row>
    <row r="69" spans="2:30">
      <c r="B69" s="410" t="str">
        <f>'Meleze Hybride'!F17</f>
        <v xml:space="preserve">Mélèze du Japon </v>
      </c>
      <c r="C69" s="411">
        <f>'Meleze Hybride'!C80</f>
        <v>0</v>
      </c>
      <c r="D69" s="411">
        <f>'Meleze Hybride'!D80</f>
        <v>0</v>
      </c>
      <c r="E69" s="411">
        <f>'Meleze Hybride'!E80</f>
        <v>0</v>
      </c>
      <c r="F69" s="411">
        <f>'Meleze Hybride'!F80</f>
        <v>0</v>
      </c>
      <c r="G69" s="412">
        <f>'Meleze Hybride'!G80</f>
        <v>0</v>
      </c>
      <c r="H69" s="396" t="s">
        <v>248</v>
      </c>
      <c r="I69" s="397"/>
      <c r="J69" s="397"/>
      <c r="K69" s="398"/>
      <c r="L69" s="253">
        <f>X5</f>
        <v>0.16669999999999999</v>
      </c>
      <c r="N69" s="71">
        <v>48</v>
      </c>
      <c r="O69" s="235"/>
      <c r="P69" s="176"/>
      <c r="Q69" s="236">
        <f t="shared" si="13"/>
        <v>100.0025</v>
      </c>
      <c r="R69" s="176">
        <f t="shared" si="4"/>
        <v>7.0001750000000005</v>
      </c>
      <c r="S69" s="176">
        <f>$L$11*(1+$L$9)^N69*'Récapitulatif des résultats'!$I$11</f>
        <v>0</v>
      </c>
      <c r="T69" s="237"/>
      <c r="U69" s="176"/>
      <c r="V69" s="245">
        <f t="shared" si="6"/>
        <v>0</v>
      </c>
      <c r="W69" s="184">
        <f>SUM('Pin Sylvestre'!AQ53*'Pin Sylvestre'!$F$21,Douglas!AQ53*Douglas!$F$21,'Pin Maritime'!AQ53*'Pin Maritime'!$F$21,'Meleze Hybride'!AQ53*'Meleze Hybride'!$F$21,Thuya!AQ53*Thuya!$F$21,'Chêne et feuillus divers'!AQ53*'Chêne et feuillus divers'!$F$21)</f>
        <v>0</v>
      </c>
      <c r="X69" s="184">
        <f>SUM('Pin Sylvestre'!AR53*'Pin Sylvestre'!$F$21,Douglas!AR53*Douglas!$F$21,'Pin Maritime'!AR53*'Pin Maritime'!$F$21,'Meleze Hybride'!AR53*'Meleze Hybride'!$F$21,Thuya!AR53*Thuya!$F$21,'Chêne et feuillus divers'!AR53*'Chêne et feuillus divers'!$F$21)</f>
        <v>0</v>
      </c>
      <c r="Y69" s="184">
        <f>SUM('Pin Sylvestre'!AS53*'Pin Sylvestre'!$F$21,Douglas!AS53*Douglas!$F$21,'Pin Maritime'!AS53*'Pin Maritime'!$F$21,'Meleze Hybride'!AS53*'Meleze Hybride'!$F$21,Thuya!AS53*Thuya!$F$21,'Chêne et feuillus divers'!AS53*'Chêne et feuillus divers'!$F$21)</f>
        <v>0</v>
      </c>
      <c r="Z69" s="327">
        <f>SUM('Pin Sylvestre'!AT53*'Pin Sylvestre'!$F$21,Douglas!AT53*Douglas!$F$21,'Pin Maritime'!AT53*'Pin Maritime'!$F$21,'Meleze Hybride'!AT53*'Meleze Hybride'!$F$21,Thuya!AT53*Thuya!$F$21,'Chêne et feuillus divers'!AT53*'Chêne et feuillus divers'!$F$21)</f>
        <v>0</v>
      </c>
      <c r="AA69" s="174">
        <f t="shared" si="8"/>
        <v>0</v>
      </c>
      <c r="AB69" s="175">
        <f t="shared" si="7"/>
        <v>-12.936377890262538</v>
      </c>
      <c r="AC69" s="174"/>
      <c r="AD69" s="174"/>
    </row>
    <row r="70" spans="2:30">
      <c r="B70" s="265" t="str">
        <f>'Meleze Hybride'!B81</f>
        <v>Année</v>
      </c>
      <c r="C70" s="226" t="str">
        <f>'Meleze Hybride'!C81</f>
        <v>Volume d'éclaircie</v>
      </c>
      <c r="D70" s="213" t="str">
        <f>'Meleze Hybride'!D81</f>
        <v>BO</v>
      </c>
      <c r="E70" s="213" t="str">
        <f>'Meleze Hybride'!E81</f>
        <v>BI - panneaux</v>
      </c>
      <c r="F70" s="213" t="str">
        <f>'Meleze Hybride'!F81</f>
        <v>BI - papier</v>
      </c>
      <c r="G70" s="214" t="str">
        <f>'Meleze Hybride'!G81</f>
        <v>BE</v>
      </c>
      <c r="H70" s="212" t="s">
        <v>78</v>
      </c>
      <c r="I70" s="213" t="s">
        <v>81</v>
      </c>
      <c r="J70" s="213" t="s">
        <v>80</v>
      </c>
      <c r="K70" s="214" t="s">
        <v>79</v>
      </c>
      <c r="L70" s="255" t="s">
        <v>252</v>
      </c>
      <c r="N70" s="71">
        <v>49</v>
      </c>
      <c r="O70" s="235"/>
      <c r="P70" s="176"/>
      <c r="Q70" s="236">
        <f t="shared" si="13"/>
        <v>100.0025</v>
      </c>
      <c r="R70" s="176">
        <f t="shared" si="4"/>
        <v>7.0001750000000005</v>
      </c>
      <c r="S70" s="176">
        <f>$L$11*(1+$L$9)^N70*'Récapitulatif des résultats'!$I$11</f>
        <v>0</v>
      </c>
      <c r="T70" s="237"/>
      <c r="U70" s="176"/>
      <c r="V70" s="245">
        <f t="shared" si="6"/>
        <v>0</v>
      </c>
      <c r="W70" s="184">
        <f>SUM('Pin Sylvestre'!AQ54*'Pin Sylvestre'!$F$21,Douglas!AQ54*Douglas!$F$21,'Pin Maritime'!AQ54*'Pin Maritime'!$F$21,'Meleze Hybride'!AQ54*'Meleze Hybride'!$F$21,Thuya!AQ54*Thuya!$F$21,'Chêne et feuillus divers'!AQ54*'Chêne et feuillus divers'!$F$21)</f>
        <v>0</v>
      </c>
      <c r="X70" s="184">
        <f>SUM('Pin Sylvestre'!AR54*'Pin Sylvestre'!$F$21,Douglas!AR54*Douglas!$F$21,'Pin Maritime'!AR54*'Pin Maritime'!$F$21,'Meleze Hybride'!AR54*'Meleze Hybride'!$F$21,Thuya!AR54*Thuya!$F$21,'Chêne et feuillus divers'!AR54*'Chêne et feuillus divers'!$F$21)</f>
        <v>0</v>
      </c>
      <c r="Y70" s="184">
        <f>SUM('Pin Sylvestre'!AS54*'Pin Sylvestre'!$F$21,Douglas!AS54*Douglas!$F$21,'Pin Maritime'!AS54*'Pin Maritime'!$F$21,'Meleze Hybride'!AS54*'Meleze Hybride'!$F$21,Thuya!AS54*Thuya!$F$21,'Chêne et feuillus divers'!AS54*'Chêne et feuillus divers'!$F$21)</f>
        <v>0</v>
      </c>
      <c r="Z70" s="327">
        <f>SUM('Pin Sylvestre'!AT54*'Pin Sylvestre'!$F$21,Douglas!AT54*Douglas!$F$21,'Pin Maritime'!AT54*'Pin Maritime'!$F$21,'Meleze Hybride'!AT54*'Meleze Hybride'!$F$21,Thuya!AT54*Thuya!$F$21,'Chêne et feuillus divers'!AT54*'Chêne et feuillus divers'!$F$21)</f>
        <v>0</v>
      </c>
      <c r="AA70" s="174">
        <f t="shared" si="8"/>
        <v>0</v>
      </c>
      <c r="AB70" s="175">
        <f t="shared" si="7"/>
        <v>-12.379308985897165</v>
      </c>
      <c r="AC70" s="174"/>
      <c r="AD70" s="174"/>
    </row>
    <row r="71" spans="2:30">
      <c r="B71" s="266">
        <f>'Meleze Hybride'!B82</f>
        <v>11</v>
      </c>
      <c r="C71" s="219">
        <f>'Meleze Hybride'!C82</f>
        <v>0</v>
      </c>
      <c r="D71" s="216">
        <f>'Meleze Hybride'!D82</f>
        <v>0</v>
      </c>
      <c r="E71" s="216">
        <f>'Meleze Hybride'!E82</f>
        <v>0.56000000000000005</v>
      </c>
      <c r="F71" s="216">
        <f>'Meleze Hybride'!F82</f>
        <v>0.44</v>
      </c>
      <c r="G71" s="220">
        <f>'Meleze Hybride'!G82</f>
        <v>0</v>
      </c>
      <c r="H71" s="206">
        <f>IFERROR(VLOOKUP($B$69,Tableau14582[],4,FALSE)*(1+$L$9)^$B71,0)</f>
        <v>50</v>
      </c>
      <c r="I71" s="207">
        <f>IFERROR(VLOOKUP($B$69,Tableau14582[],5,FALSE)*(1+$L$9)^$B71,0)</f>
        <v>19.375</v>
      </c>
      <c r="J71" s="207">
        <f>IFERROR(VLOOKUP($B$69,Tableau14582[],5,FALSE)*(1+$L$9)^$B71,0)</f>
        <v>19.375</v>
      </c>
      <c r="K71" s="208">
        <f>IFERROR(VLOOKUP($B$69,Tableau14582[],6,FALSE)*(1+$L$9)^$B71,0)</f>
        <v>10</v>
      </c>
      <c r="L71" s="257">
        <f>(C71*D71*H71+C71*E71*I71+C71*F71*J71+C71*G71*K71)*L$69</f>
        <v>0</v>
      </c>
      <c r="N71" s="71">
        <v>50</v>
      </c>
      <c r="O71" s="235"/>
      <c r="P71" s="176"/>
      <c r="Q71" s="236">
        <f t="shared" si="13"/>
        <v>100.0025</v>
      </c>
      <c r="R71" s="176">
        <f t="shared" si="4"/>
        <v>7.0001750000000005</v>
      </c>
      <c r="S71" s="176">
        <f>$L$11*(1+$L$9)^N71*'Récapitulatif des résultats'!$I$11</f>
        <v>0</v>
      </c>
      <c r="T71" s="237"/>
      <c r="U71" s="176"/>
      <c r="V71" s="245">
        <f t="shared" si="6"/>
        <v>0</v>
      </c>
      <c r="W71" s="184">
        <f>SUM('Pin Sylvestre'!AQ55*'Pin Sylvestre'!$F$21,Douglas!AQ55*Douglas!$F$21,'Pin Maritime'!AQ55*'Pin Maritime'!$F$21,'Meleze Hybride'!AQ55*'Meleze Hybride'!$F$21,Thuya!AQ55*Thuya!$F$21,'Chêne et feuillus divers'!AQ55*'Chêne et feuillus divers'!$F$21)</f>
        <v>0</v>
      </c>
      <c r="X71" s="184">
        <f>SUM('Pin Sylvestre'!AR55*'Pin Sylvestre'!$F$21,Douglas!AR55*Douglas!$F$21,'Pin Maritime'!AR55*'Pin Maritime'!$F$21,'Meleze Hybride'!AR55*'Meleze Hybride'!$F$21,Thuya!AR55*Thuya!$F$21,'Chêne et feuillus divers'!AR55*'Chêne et feuillus divers'!$F$21)</f>
        <v>0</v>
      </c>
      <c r="Y71" s="184">
        <f>SUM('Pin Sylvestre'!AS55*'Pin Sylvestre'!$F$21,Douglas!AS55*Douglas!$F$21,'Pin Maritime'!AS55*'Pin Maritime'!$F$21,'Meleze Hybride'!AS55*'Meleze Hybride'!$F$21,Thuya!AS55*Thuya!$F$21,'Chêne et feuillus divers'!AS55*'Chêne et feuillus divers'!$F$21)</f>
        <v>0</v>
      </c>
      <c r="Z71" s="327">
        <f>SUM('Pin Sylvestre'!AT55*'Pin Sylvestre'!$F$21,Douglas!AT55*Douglas!$F$21,'Pin Maritime'!AT55*'Pin Maritime'!$F$21,'Meleze Hybride'!AT55*'Meleze Hybride'!$F$21,Thuya!AT55*Thuya!$F$21,'Chêne et feuillus divers'!AT55*'Chêne et feuillus divers'!$F$21)</f>
        <v>0</v>
      </c>
      <c r="AA71" s="174">
        <f t="shared" si="8"/>
        <v>0</v>
      </c>
      <c r="AB71" s="175">
        <f t="shared" si="7"/>
        <v>-11.846228694638437</v>
      </c>
      <c r="AC71" s="174"/>
      <c r="AD71" s="174"/>
    </row>
    <row r="72" spans="2:30">
      <c r="B72" s="267">
        <f>'Meleze Hybride'!B83</f>
        <v>16</v>
      </c>
      <c r="C72" s="221">
        <f>'Meleze Hybride'!C83</f>
        <v>22</v>
      </c>
      <c r="D72" s="222">
        <f>'Meleze Hybride'!D83</f>
        <v>0</v>
      </c>
      <c r="E72" s="217">
        <f>'Meleze Hybride'!E83</f>
        <v>0.56000000000000005</v>
      </c>
      <c r="F72" s="217">
        <f>'Meleze Hybride'!F83</f>
        <v>0.44</v>
      </c>
      <c r="G72" s="223">
        <f>'Meleze Hybride'!G83</f>
        <v>0</v>
      </c>
      <c r="H72" s="206">
        <f>IFERROR(VLOOKUP($B$69,Tableau14582[],4,FALSE)*(1+$L$9)^$B72,0)</f>
        <v>50</v>
      </c>
      <c r="I72" s="207">
        <f>IFERROR(VLOOKUP($B$69,Tableau14582[],5,FALSE)*(1+$L$9)^$B72,0)</f>
        <v>19.375</v>
      </c>
      <c r="J72" s="207">
        <f>IFERROR(VLOOKUP($B$69,Tableau14582[],5,FALSE)*(1+$L$9)^$B72,0)</f>
        <v>19.375</v>
      </c>
      <c r="K72" s="208">
        <f>IFERROR(VLOOKUP($B$69,Tableau14582[],6,FALSE)*(1+$L$9)^$B72,0)</f>
        <v>10</v>
      </c>
      <c r="L72" s="259">
        <f t="shared" ref="L72:L83" si="14">(C72*D72*H72+C72*E72*I72+C72*F72*J72+C72*G72*K72)*L$69</f>
        <v>71.055875</v>
      </c>
      <c r="N72" s="71">
        <v>51</v>
      </c>
      <c r="O72" s="235"/>
      <c r="P72" s="176"/>
      <c r="Q72" s="236">
        <f t="shared" si="13"/>
        <v>100.0025</v>
      </c>
      <c r="R72" s="176">
        <f t="shared" si="4"/>
        <v>7.0001750000000005</v>
      </c>
      <c r="S72" s="176">
        <f>$L$11*(1+$L$9)^N72*'Récapitulatif des résultats'!$I$11</f>
        <v>0</v>
      </c>
      <c r="T72" s="237"/>
      <c r="U72" s="176"/>
      <c r="V72" s="245">
        <f t="shared" si="6"/>
        <v>62.335299999999997</v>
      </c>
      <c r="W72" s="184">
        <f>SUM('Pin Sylvestre'!AQ56*'Pin Sylvestre'!$F$21,Douglas!AQ56*Douglas!$F$21,'Pin Maritime'!AQ56*'Pin Maritime'!$F$21,'Meleze Hybride'!AQ56*'Meleze Hybride'!$F$21,Thuya!AQ56*Thuya!$F$21,'Chêne et feuillus divers'!AQ56*'Chêne et feuillus divers'!$F$21)</f>
        <v>25.952039999999997</v>
      </c>
      <c r="X72" s="184">
        <f>SUM('Pin Sylvestre'!AR56*'Pin Sylvestre'!$F$21,Douglas!AR56*Douglas!$F$21,'Pin Maritime'!AR56*'Pin Maritime'!$F$21,'Meleze Hybride'!AR56*'Meleze Hybride'!$F$21,Thuya!AR56*Thuya!$F$21,'Chêne et feuillus divers'!AR56*'Chêne et feuillus divers'!$F$21)</f>
        <v>20.374625599999998</v>
      </c>
      <c r="Y72" s="184">
        <f>SUM('Pin Sylvestre'!AS56*'Pin Sylvestre'!$F$21,Douglas!AS56*Douglas!$F$21,'Pin Maritime'!AS56*'Pin Maritime'!$F$21,'Meleze Hybride'!AS56*'Meleze Hybride'!$F$21,Thuya!AS56*Thuya!$F$21,'Chêne et feuillus divers'!AS56*'Chêne et feuillus divers'!$F$21)</f>
        <v>16.008634399999998</v>
      </c>
      <c r="Z72" s="327">
        <f>SUM('Pin Sylvestre'!AT56*'Pin Sylvestre'!$F$21,Douglas!AT56*Douglas!$F$21,'Pin Maritime'!AT56*'Pin Maritime'!$F$21,'Meleze Hybride'!AT56*'Meleze Hybride'!$F$21,Thuya!AT56*Thuya!$F$21,'Chêne et feuillus divers'!AT56*'Chêne et feuillus divers'!$F$21)</f>
        <v>0</v>
      </c>
      <c r="AA72" s="174">
        <f t="shared" si="8"/>
        <v>4437.2116100000003</v>
      </c>
      <c r="AB72" s="175">
        <f t="shared" si="7"/>
        <v>458.75207222199947</v>
      </c>
      <c r="AC72" s="174"/>
      <c r="AD72" s="174"/>
    </row>
    <row r="73" spans="2:30">
      <c r="B73" s="267">
        <f>'Meleze Hybride'!B84</f>
        <v>21</v>
      </c>
      <c r="C73" s="221">
        <f>'Meleze Hybride'!C84</f>
        <v>35</v>
      </c>
      <c r="D73" s="222">
        <f>'Meleze Hybride'!D84</f>
        <v>0</v>
      </c>
      <c r="E73" s="217">
        <f>'Meleze Hybride'!E84</f>
        <v>0.56000000000000005</v>
      </c>
      <c r="F73" s="217">
        <f>'Meleze Hybride'!F84</f>
        <v>0.44</v>
      </c>
      <c r="G73" s="223">
        <f>'Meleze Hybride'!G84</f>
        <v>0</v>
      </c>
      <c r="H73" s="206">
        <f>IFERROR(VLOOKUP($B$69,Tableau14582[],4,FALSE)*(1+$L$9)^$B73,0)</f>
        <v>50</v>
      </c>
      <c r="I73" s="207">
        <f>IFERROR(VLOOKUP($B$69,Tableau14582[],5,FALSE)*(1+$L$9)^$B73,0)</f>
        <v>19.375</v>
      </c>
      <c r="J73" s="207">
        <f>IFERROR(VLOOKUP($B$69,Tableau14582[],5,FALSE)*(1+$L$9)^$B73,0)</f>
        <v>19.375</v>
      </c>
      <c r="K73" s="208">
        <f>IFERROR(VLOOKUP($B$69,Tableau14582[],6,FALSE)*(1+$L$9)^$B73,0)</f>
        <v>10</v>
      </c>
      <c r="L73" s="259">
        <f t="shared" si="14"/>
        <v>113.0434375</v>
      </c>
      <c r="N73" s="71">
        <v>52</v>
      </c>
      <c r="O73" s="235"/>
      <c r="P73" s="176"/>
      <c r="Q73" s="236">
        <f t="shared" si="13"/>
        <v>100.0025</v>
      </c>
      <c r="R73" s="176">
        <f t="shared" si="4"/>
        <v>7.0001750000000005</v>
      </c>
      <c r="S73" s="176">
        <f>$L$11*(1+$L$9)^N73*'Récapitulatif des résultats'!$I$11</f>
        <v>0</v>
      </c>
      <c r="T73" s="237"/>
      <c r="U73" s="176"/>
      <c r="V73" s="245">
        <f t="shared" si="6"/>
        <v>0</v>
      </c>
      <c r="W73" s="184">
        <f>SUM('Pin Sylvestre'!AQ57*'Pin Sylvestre'!$F$21,Douglas!AQ57*Douglas!$F$21,'Pin Maritime'!AQ57*'Pin Maritime'!$F$21,'Meleze Hybride'!AQ57*'Meleze Hybride'!$F$21,Thuya!AQ57*Thuya!$F$21,'Chêne et feuillus divers'!AQ57*'Chêne et feuillus divers'!$F$21)</f>
        <v>0</v>
      </c>
      <c r="X73" s="184">
        <f>SUM('Pin Sylvestre'!AR57*'Pin Sylvestre'!$F$21,Douglas!AR57*Douglas!$F$21,'Pin Maritime'!AR57*'Pin Maritime'!$F$21,'Meleze Hybride'!AR57*'Meleze Hybride'!$F$21,Thuya!AR57*Thuya!$F$21,'Chêne et feuillus divers'!AR57*'Chêne et feuillus divers'!$F$21)</f>
        <v>0</v>
      </c>
      <c r="Y73" s="184">
        <f>SUM('Pin Sylvestre'!AS57*'Pin Sylvestre'!$F$21,Douglas!AS57*Douglas!$F$21,'Pin Maritime'!AS57*'Pin Maritime'!$F$21,'Meleze Hybride'!AS57*'Meleze Hybride'!$F$21,Thuya!AS57*Thuya!$F$21,'Chêne et feuillus divers'!AS57*'Chêne et feuillus divers'!$F$21)</f>
        <v>0</v>
      </c>
      <c r="Z73" s="327">
        <f>SUM('Pin Sylvestre'!AT57*'Pin Sylvestre'!$F$21,Douglas!AT57*Douglas!$F$21,'Pin Maritime'!AT57*'Pin Maritime'!$F$21,'Meleze Hybride'!AT57*'Meleze Hybride'!$F$21,Thuya!AT57*Thuya!$F$21,'Chêne et feuillus divers'!AT57*'Chêne et feuillus divers'!$F$21)</f>
        <v>0</v>
      </c>
      <c r="AA73" s="174">
        <f t="shared" si="8"/>
        <v>0</v>
      </c>
      <c r="AB73" s="175">
        <f t="shared" si="7"/>
        <v>-10.847946424888113</v>
      </c>
      <c r="AC73" s="174"/>
      <c r="AD73" s="174"/>
    </row>
    <row r="74" spans="2:30">
      <c r="B74" s="267">
        <f>'Meleze Hybride'!B85</f>
        <v>26</v>
      </c>
      <c r="C74" s="221">
        <f>'Meleze Hybride'!C85</f>
        <v>35</v>
      </c>
      <c r="D74" s="222">
        <f>'Meleze Hybride'!D85</f>
        <v>0</v>
      </c>
      <c r="E74" s="217">
        <f>'Meleze Hybride'!E85</f>
        <v>0.56000000000000005</v>
      </c>
      <c r="F74" s="217">
        <f>'Meleze Hybride'!F85</f>
        <v>0.44</v>
      </c>
      <c r="G74" s="223">
        <f>'Meleze Hybride'!G85</f>
        <v>0</v>
      </c>
      <c r="H74" s="206">
        <f>IFERROR(VLOOKUP($B$69,Tableau14582[],4,FALSE)*(1+$L$9)^$B74,0)</f>
        <v>50</v>
      </c>
      <c r="I74" s="207">
        <f>IFERROR(VLOOKUP($B$69,Tableau14582[],5,FALSE)*(1+$L$9)^$B74,0)</f>
        <v>19.375</v>
      </c>
      <c r="J74" s="207">
        <f>IFERROR(VLOOKUP($B$69,Tableau14582[],5,FALSE)*(1+$L$9)^$B74,0)</f>
        <v>19.375</v>
      </c>
      <c r="K74" s="208">
        <f>IFERROR(VLOOKUP($B$69,Tableau14582[],6,FALSE)*(1+$L$9)^$B74,0)</f>
        <v>10</v>
      </c>
      <c r="L74" s="259">
        <f t="shared" si="14"/>
        <v>113.0434375</v>
      </c>
      <c r="N74" s="71">
        <v>53</v>
      </c>
      <c r="O74" s="235"/>
      <c r="P74" s="176"/>
      <c r="Q74" s="236">
        <f t="shared" si="13"/>
        <v>100.0025</v>
      </c>
      <c r="R74" s="176">
        <f t="shared" si="4"/>
        <v>7.0001750000000005</v>
      </c>
      <c r="S74" s="176">
        <f>$L$11*(1+$L$9)^N74*'Récapitulatif des résultats'!$I$11</f>
        <v>0</v>
      </c>
      <c r="T74" s="237"/>
      <c r="U74" s="176"/>
      <c r="V74" s="245">
        <f t="shared" si="6"/>
        <v>0</v>
      </c>
      <c r="W74" s="184">
        <f>SUM('Pin Sylvestre'!AQ58*'Pin Sylvestre'!$F$21,Douglas!AQ58*Douglas!$F$21,'Pin Maritime'!AQ58*'Pin Maritime'!$F$21,'Meleze Hybride'!AQ58*'Meleze Hybride'!$F$21,Thuya!AQ58*Thuya!$F$21,'Chêne et feuillus divers'!AQ58*'Chêne et feuillus divers'!$F$21)</f>
        <v>0</v>
      </c>
      <c r="X74" s="184">
        <f>SUM('Pin Sylvestre'!AR58*'Pin Sylvestre'!$F$21,Douglas!AR58*Douglas!$F$21,'Pin Maritime'!AR58*'Pin Maritime'!$F$21,'Meleze Hybride'!AR58*'Meleze Hybride'!$F$21,Thuya!AR58*Thuya!$F$21,'Chêne et feuillus divers'!AR58*'Chêne et feuillus divers'!$F$21)</f>
        <v>0</v>
      </c>
      <c r="Y74" s="184">
        <f>SUM('Pin Sylvestre'!AS58*'Pin Sylvestre'!$F$21,Douglas!AS58*Douglas!$F$21,'Pin Maritime'!AS58*'Pin Maritime'!$F$21,'Meleze Hybride'!AS58*'Meleze Hybride'!$F$21,Thuya!AS58*Thuya!$F$21,'Chêne et feuillus divers'!AS58*'Chêne et feuillus divers'!$F$21)</f>
        <v>0</v>
      </c>
      <c r="Z74" s="327">
        <f>SUM('Pin Sylvestre'!AT58*'Pin Sylvestre'!$F$21,Douglas!AT58*Douglas!$F$21,'Pin Maritime'!AT58*'Pin Maritime'!$F$21,'Meleze Hybride'!AT58*'Meleze Hybride'!$F$21,Thuya!AT58*Thuya!$F$21,'Chêne et feuillus divers'!AT58*'Chêne et feuillus divers'!$F$21)</f>
        <v>0</v>
      </c>
      <c r="AA74" s="174">
        <f t="shared" si="8"/>
        <v>0</v>
      </c>
      <c r="AB74" s="175">
        <f t="shared" si="7"/>
        <v>-10.380809975969484</v>
      </c>
      <c r="AC74" s="174"/>
      <c r="AD74" s="174"/>
    </row>
    <row r="75" spans="2:30">
      <c r="B75" s="267">
        <f>'Meleze Hybride'!B86</f>
        <v>31</v>
      </c>
      <c r="C75" s="221">
        <f>'Meleze Hybride'!C86</f>
        <v>35</v>
      </c>
      <c r="D75" s="222">
        <f>'Meleze Hybride'!D86</f>
        <v>0.2</v>
      </c>
      <c r="E75" s="217">
        <f>'Meleze Hybride'!E86</f>
        <v>0.44800000000000006</v>
      </c>
      <c r="F75" s="217">
        <f>'Meleze Hybride'!F86</f>
        <v>0.35200000000000004</v>
      </c>
      <c r="G75" s="223">
        <f>'Meleze Hybride'!G86</f>
        <v>0</v>
      </c>
      <c r="H75" s="206">
        <f>IFERROR(VLOOKUP($B$69,Tableau14582[],4,FALSE)*(1+$L$9)^$B75,0)</f>
        <v>50</v>
      </c>
      <c r="I75" s="207">
        <f>IFERROR(VLOOKUP($B$69,Tableau14582[],5,FALSE)*(1+$L$9)^$B75,0)</f>
        <v>19.375</v>
      </c>
      <c r="J75" s="207">
        <f>IFERROR(VLOOKUP($B$69,Tableau14582[],5,FALSE)*(1+$L$9)^$B75,0)</f>
        <v>19.375</v>
      </c>
      <c r="K75" s="208">
        <f>IFERROR(VLOOKUP($B$69,Tableau14582[],6,FALSE)*(1+$L$9)^$B75,0)</f>
        <v>10</v>
      </c>
      <c r="L75" s="259">
        <f t="shared" si="14"/>
        <v>148.77974999999998</v>
      </c>
      <c r="N75" s="71">
        <v>54</v>
      </c>
      <c r="O75" s="235"/>
      <c r="P75" s="176"/>
      <c r="Q75" s="236">
        <f t="shared" si="13"/>
        <v>100.0025</v>
      </c>
      <c r="R75" s="176">
        <f t="shared" si="4"/>
        <v>7.0001750000000005</v>
      </c>
      <c r="S75" s="176">
        <f>$L$11*(1+$L$9)^N75*'Récapitulatif des résultats'!$I$11</f>
        <v>0</v>
      </c>
      <c r="T75" s="237"/>
      <c r="U75" s="176"/>
      <c r="V75" s="245">
        <f t="shared" si="6"/>
        <v>0</v>
      </c>
      <c r="W75" s="184">
        <f>SUM('Pin Sylvestre'!AQ59*'Pin Sylvestre'!$F$21,Douglas!AQ59*Douglas!$F$21,'Pin Maritime'!AQ59*'Pin Maritime'!$F$21,'Meleze Hybride'!AQ59*'Meleze Hybride'!$F$21,Thuya!AQ59*Thuya!$F$21,'Chêne et feuillus divers'!AQ59*'Chêne et feuillus divers'!$F$21)</f>
        <v>0</v>
      </c>
      <c r="X75" s="184">
        <f>SUM('Pin Sylvestre'!AR59*'Pin Sylvestre'!$F$21,Douglas!AR59*Douglas!$F$21,'Pin Maritime'!AR59*'Pin Maritime'!$F$21,'Meleze Hybride'!AR59*'Meleze Hybride'!$F$21,Thuya!AR59*Thuya!$F$21,'Chêne et feuillus divers'!AR59*'Chêne et feuillus divers'!$F$21)</f>
        <v>0</v>
      </c>
      <c r="Y75" s="184">
        <f>SUM('Pin Sylvestre'!AS59*'Pin Sylvestre'!$F$21,Douglas!AS59*Douglas!$F$21,'Pin Maritime'!AS59*'Pin Maritime'!$F$21,'Meleze Hybride'!AS59*'Meleze Hybride'!$F$21,Thuya!AS59*Thuya!$F$21,'Chêne et feuillus divers'!AS59*'Chêne et feuillus divers'!$F$21)</f>
        <v>0</v>
      </c>
      <c r="Z75" s="327">
        <f>SUM('Pin Sylvestre'!AT59*'Pin Sylvestre'!$F$21,Douglas!AT59*Douglas!$F$21,'Pin Maritime'!AT59*'Pin Maritime'!$F$21,'Meleze Hybride'!AT59*'Meleze Hybride'!$F$21,Thuya!AT59*Thuya!$F$21,'Chêne et feuillus divers'!AT59*'Chêne et feuillus divers'!$F$21)</f>
        <v>0</v>
      </c>
      <c r="AA75" s="174">
        <f t="shared" si="8"/>
        <v>0</v>
      </c>
      <c r="AB75" s="175">
        <f t="shared" si="7"/>
        <v>-9.9337894506885061</v>
      </c>
      <c r="AC75" s="174"/>
      <c r="AD75" s="174"/>
    </row>
    <row r="76" spans="2:30">
      <c r="B76" s="267">
        <f>'Meleze Hybride'!B87</f>
        <v>36</v>
      </c>
      <c r="C76" s="221">
        <f>'Meleze Hybride'!C87</f>
        <v>35</v>
      </c>
      <c r="D76" s="222">
        <f>'Meleze Hybride'!D87</f>
        <v>0.3</v>
      </c>
      <c r="E76" s="217">
        <f>'Meleze Hybride'!E87</f>
        <v>0.39200000000000002</v>
      </c>
      <c r="F76" s="217">
        <f>'Meleze Hybride'!F87</f>
        <v>0.308</v>
      </c>
      <c r="G76" s="223">
        <f>'Meleze Hybride'!G87</f>
        <v>0</v>
      </c>
      <c r="H76" s="206">
        <f>IFERROR(VLOOKUP($B$69,Tableau14582[],4,FALSE)*(1+$L$9)^$B76,0)</f>
        <v>50</v>
      </c>
      <c r="I76" s="207">
        <f>IFERROR(VLOOKUP($B$69,Tableau14582[],5,FALSE)*(1+$L$9)^$B76,0)</f>
        <v>19.375</v>
      </c>
      <c r="J76" s="207">
        <f>IFERROR(VLOOKUP($B$69,Tableau14582[],5,FALSE)*(1+$L$9)^$B76,0)</f>
        <v>19.375</v>
      </c>
      <c r="K76" s="208">
        <f>IFERROR(VLOOKUP($B$69,Tableau14582[],6,FALSE)*(1+$L$9)^$B76,0)</f>
        <v>10</v>
      </c>
      <c r="L76" s="259">
        <f t="shared" si="14"/>
        <v>166.64790624999998</v>
      </c>
      <c r="N76" s="71">
        <v>55</v>
      </c>
      <c r="O76" s="235"/>
      <c r="P76" s="176"/>
      <c r="Q76" s="236">
        <f t="shared" si="13"/>
        <v>100.0025</v>
      </c>
      <c r="R76" s="176">
        <f t="shared" si="4"/>
        <v>7.0001750000000005</v>
      </c>
      <c r="S76" s="176">
        <f>$L$11*(1+$L$9)^N76*'Récapitulatif des résultats'!$I$11</f>
        <v>0</v>
      </c>
      <c r="T76" s="237"/>
      <c r="U76" s="176"/>
      <c r="V76" s="245">
        <f t="shared" si="6"/>
        <v>0</v>
      </c>
      <c r="W76" s="184">
        <f>SUM('Pin Sylvestre'!AQ60*'Pin Sylvestre'!$F$21,Douglas!AQ60*Douglas!$F$21,'Pin Maritime'!AQ60*'Pin Maritime'!$F$21,'Meleze Hybride'!AQ60*'Meleze Hybride'!$F$21,Thuya!AQ60*Thuya!$F$21,'Chêne et feuillus divers'!AQ60*'Chêne et feuillus divers'!$F$21)</f>
        <v>0</v>
      </c>
      <c r="X76" s="184">
        <f>SUM('Pin Sylvestre'!AR60*'Pin Sylvestre'!$F$21,Douglas!AR60*Douglas!$F$21,'Pin Maritime'!AR60*'Pin Maritime'!$F$21,'Meleze Hybride'!AR60*'Meleze Hybride'!$F$21,Thuya!AR60*Thuya!$F$21,'Chêne et feuillus divers'!AR60*'Chêne et feuillus divers'!$F$21)</f>
        <v>0</v>
      </c>
      <c r="Y76" s="184">
        <f>SUM('Pin Sylvestre'!AS60*'Pin Sylvestre'!$F$21,Douglas!AS60*Douglas!$F$21,'Pin Maritime'!AS60*'Pin Maritime'!$F$21,'Meleze Hybride'!AS60*'Meleze Hybride'!$F$21,Thuya!AS60*Thuya!$F$21,'Chêne et feuillus divers'!AS60*'Chêne et feuillus divers'!$F$21)</f>
        <v>0</v>
      </c>
      <c r="Z76" s="327">
        <f>SUM('Pin Sylvestre'!AT60*'Pin Sylvestre'!$F$21,Douglas!AT60*Douglas!$F$21,'Pin Maritime'!AT60*'Pin Maritime'!$F$21,'Meleze Hybride'!AT60*'Meleze Hybride'!$F$21,Thuya!AT60*Thuya!$F$21,'Chêne et feuillus divers'!AT60*'Chêne et feuillus divers'!$F$21)</f>
        <v>0</v>
      </c>
      <c r="AA76" s="174">
        <f t="shared" si="8"/>
        <v>0</v>
      </c>
      <c r="AB76" s="175">
        <f t="shared" si="7"/>
        <v>-9.5060186130990481</v>
      </c>
      <c r="AC76" s="174"/>
      <c r="AD76" s="174"/>
    </row>
    <row r="77" spans="2:30">
      <c r="B77" s="267">
        <f>'Meleze Hybride'!B88</f>
        <v>41</v>
      </c>
      <c r="C77" s="221">
        <f>'Meleze Hybride'!C88</f>
        <v>33</v>
      </c>
      <c r="D77" s="222">
        <f>'Meleze Hybride'!D88</f>
        <v>0.4</v>
      </c>
      <c r="E77" s="217">
        <f>'Meleze Hybride'!E88</f>
        <v>0.33600000000000002</v>
      </c>
      <c r="F77" s="217">
        <f>'Meleze Hybride'!F88</f>
        <v>0.26400000000000001</v>
      </c>
      <c r="G77" s="223">
        <f>'Meleze Hybride'!G88</f>
        <v>0</v>
      </c>
      <c r="H77" s="206">
        <f>IFERROR(VLOOKUP($B$69,Tableau14582[],4,FALSE)*(1+$L$9)^$B77,0)</f>
        <v>50</v>
      </c>
      <c r="I77" s="207">
        <f>IFERROR(VLOOKUP($B$69,Tableau14582[],5,FALSE)*(1+$L$9)^$B77,0)</f>
        <v>19.375</v>
      </c>
      <c r="J77" s="207">
        <f>IFERROR(VLOOKUP($B$69,Tableau14582[],5,FALSE)*(1+$L$9)^$B77,0)</f>
        <v>19.375</v>
      </c>
      <c r="K77" s="208">
        <f>IFERROR(VLOOKUP($B$69,Tableau14582[],6,FALSE)*(1+$L$9)^$B77,0)</f>
        <v>10</v>
      </c>
      <c r="L77" s="259">
        <f t="shared" si="14"/>
        <v>173.97228749999999</v>
      </c>
      <c r="N77" s="71">
        <v>56</v>
      </c>
      <c r="O77" s="235"/>
      <c r="P77" s="176"/>
      <c r="Q77" s="236">
        <f t="shared" si="13"/>
        <v>100.0025</v>
      </c>
      <c r="R77" s="176">
        <f t="shared" si="4"/>
        <v>7.0001750000000005</v>
      </c>
      <c r="S77" s="176">
        <f>$L$11*(1+$L$9)^N77*'Récapitulatif des résultats'!$I$11</f>
        <v>0</v>
      </c>
      <c r="T77" s="237"/>
      <c r="U77" s="176"/>
      <c r="V77" s="245">
        <f t="shared" si="6"/>
        <v>60.668299999999995</v>
      </c>
      <c r="W77" s="184">
        <f>SUM('Pin Sylvestre'!AQ61*'Pin Sylvestre'!$F$21,Douglas!AQ61*Douglas!$F$21,'Pin Maritime'!AQ61*'Pin Maritime'!$F$21,'Meleze Hybride'!AQ61*'Meleze Hybride'!$F$21,Thuya!AQ61*Thuya!$F$21,'Chêne et feuillus divers'!AQ61*'Chêne et feuillus divers'!$F$21)</f>
        <v>26.052059999999997</v>
      </c>
      <c r="X77" s="184">
        <f>SUM('Pin Sylvestre'!AR61*'Pin Sylvestre'!$F$21,Douglas!AR61*Douglas!$F$21,'Pin Maritime'!AR61*'Pin Maritime'!$F$21,'Meleze Hybride'!AR61*'Meleze Hybride'!$F$21,Thuya!AR61*Thuya!$F$21,'Chêne et feuillus divers'!AR61*'Chêne et feuillus divers'!$F$21)</f>
        <v>19.3850944</v>
      </c>
      <c r="Y77" s="184">
        <f>SUM('Pin Sylvestre'!AS61*'Pin Sylvestre'!$F$21,Douglas!AS61*Douglas!$F$21,'Pin Maritime'!AS61*'Pin Maritime'!$F$21,'Meleze Hybride'!AS61*'Meleze Hybride'!$F$21,Thuya!AS61*Thuya!$F$21,'Chêne et feuillus divers'!AS61*'Chêne et feuillus divers'!$F$21)</f>
        <v>15.2311456</v>
      </c>
      <c r="Z77" s="327">
        <f>SUM('Pin Sylvestre'!AT61*'Pin Sylvestre'!$F$21,Douglas!AT61*Douglas!$F$21,'Pin Maritime'!AT61*'Pin Maritime'!$F$21,'Meleze Hybride'!AT61*'Meleze Hybride'!$F$21,Thuya!AT61*Thuya!$F$21,'Chêne et feuillus divers'!AT61*'Chêne et feuillus divers'!$F$21)</f>
        <v>0</v>
      </c>
      <c r="AA77" s="174">
        <f t="shared" si="8"/>
        <v>4976.7769250000001</v>
      </c>
      <c r="AB77" s="175">
        <f t="shared" si="7"/>
        <v>413.99639929263333</v>
      </c>
      <c r="AC77" s="174"/>
      <c r="AD77" s="174"/>
    </row>
    <row r="78" spans="2:30">
      <c r="B78" s="267">
        <f>'Meleze Hybride'!B89</f>
        <v>46</v>
      </c>
      <c r="C78" s="221">
        <f>'Meleze Hybride'!C89</f>
        <v>29</v>
      </c>
      <c r="D78" s="222">
        <f>'Meleze Hybride'!D89</f>
        <v>0.5</v>
      </c>
      <c r="E78" s="217">
        <f>'Meleze Hybride'!E89</f>
        <v>0.28000000000000003</v>
      </c>
      <c r="F78" s="217">
        <f>'Meleze Hybride'!F89</f>
        <v>0.22</v>
      </c>
      <c r="G78" s="223">
        <f>'Meleze Hybride'!G89</f>
        <v>0</v>
      </c>
      <c r="H78" s="206">
        <f>IFERROR(VLOOKUP($B$69,Tableau14582[],4,FALSE)*(1+$L$9)^$B78,0)</f>
        <v>50</v>
      </c>
      <c r="I78" s="207">
        <f>IFERROR(VLOOKUP($B$69,Tableau14582[],5,FALSE)*(1+$L$9)^$B78,0)</f>
        <v>19.375</v>
      </c>
      <c r="J78" s="207">
        <f>IFERROR(VLOOKUP($B$69,Tableau14582[],5,FALSE)*(1+$L$9)^$B78,0)</f>
        <v>19.375</v>
      </c>
      <c r="K78" s="208">
        <f>IFERROR(VLOOKUP($B$69,Tableau14582[],6,FALSE)*(1+$L$9)^$B78,0)</f>
        <v>10</v>
      </c>
      <c r="L78" s="259">
        <f t="shared" si="14"/>
        <v>167.68978124999998</v>
      </c>
      <c r="N78" s="71">
        <v>57</v>
      </c>
      <c r="O78" s="235"/>
      <c r="P78" s="176"/>
      <c r="Q78" s="236">
        <f t="shared" si="13"/>
        <v>100.0025</v>
      </c>
      <c r="R78" s="176">
        <f t="shared" si="4"/>
        <v>7.0001750000000005</v>
      </c>
      <c r="S78" s="176">
        <f>$L$11*(1+$L$9)^N78*'Récapitulatif des résultats'!$I$11</f>
        <v>0</v>
      </c>
      <c r="T78" s="237"/>
      <c r="U78" s="176"/>
      <c r="V78" s="245">
        <f t="shared" si="6"/>
        <v>0</v>
      </c>
      <c r="W78" s="184">
        <f>SUM('Pin Sylvestre'!AQ62*'Pin Sylvestre'!$F$21,Douglas!AQ62*Douglas!$F$21,'Pin Maritime'!AQ62*'Pin Maritime'!$F$21,'Meleze Hybride'!AQ62*'Meleze Hybride'!$F$21,Thuya!AQ62*Thuya!$F$21,'Chêne et feuillus divers'!AQ62*'Chêne et feuillus divers'!$F$21)</f>
        <v>0</v>
      </c>
      <c r="X78" s="184">
        <f>SUM('Pin Sylvestre'!AR62*'Pin Sylvestre'!$F$21,Douglas!AR62*Douglas!$F$21,'Pin Maritime'!AR62*'Pin Maritime'!$F$21,'Meleze Hybride'!AR62*'Meleze Hybride'!$F$21,Thuya!AR62*Thuya!$F$21,'Chêne et feuillus divers'!AR62*'Chêne et feuillus divers'!$F$21)</f>
        <v>0</v>
      </c>
      <c r="Y78" s="184">
        <f>SUM('Pin Sylvestre'!AS62*'Pin Sylvestre'!$F$21,Douglas!AS62*Douglas!$F$21,'Pin Maritime'!AS62*'Pin Maritime'!$F$21,'Meleze Hybride'!AS62*'Meleze Hybride'!$F$21,Thuya!AS62*Thuya!$F$21,'Chêne et feuillus divers'!AS62*'Chêne et feuillus divers'!$F$21)</f>
        <v>0</v>
      </c>
      <c r="Z78" s="327">
        <f>SUM('Pin Sylvestre'!AT62*'Pin Sylvestre'!$F$21,Douglas!AT62*Douglas!$F$21,'Pin Maritime'!AT62*'Pin Maritime'!$F$21,'Meleze Hybride'!AT62*'Meleze Hybride'!$F$21,Thuya!AT62*Thuya!$F$21,'Chêne et feuillus divers'!AT62*'Chêne et feuillus divers'!$F$21)</f>
        <v>0</v>
      </c>
      <c r="AA78" s="174">
        <f t="shared" si="8"/>
        <v>0</v>
      </c>
      <c r="AB78" s="175">
        <f t="shared" si="7"/>
        <v>-8.7049459610348219</v>
      </c>
      <c r="AC78" s="174"/>
      <c r="AD78" s="174"/>
    </row>
    <row r="79" spans="2:30">
      <c r="B79" s="267">
        <f>'Meleze Hybride'!B90</f>
        <v>51</v>
      </c>
      <c r="C79" s="221">
        <f>'Meleze Hybride'!C90</f>
        <v>26</v>
      </c>
      <c r="D79" s="222">
        <f>'Meleze Hybride'!D90</f>
        <v>0.6</v>
      </c>
      <c r="E79" s="217">
        <f>'Meleze Hybride'!E90</f>
        <v>0.22400000000000003</v>
      </c>
      <c r="F79" s="217">
        <f>'Meleze Hybride'!F90</f>
        <v>0.17600000000000002</v>
      </c>
      <c r="G79" s="223">
        <f>'Meleze Hybride'!G90</f>
        <v>0</v>
      </c>
      <c r="H79" s="206">
        <f>IFERROR(VLOOKUP($B$69,Tableau14582[],4,FALSE)*(1+$L$9)^$B79,0)</f>
        <v>50</v>
      </c>
      <c r="I79" s="207">
        <f>IFERROR(VLOOKUP($B$69,Tableau14582[],5,FALSE)*(1+$L$9)^$B79,0)</f>
        <v>19.375</v>
      </c>
      <c r="J79" s="207">
        <f>IFERROR(VLOOKUP($B$69,Tableau14582[],5,FALSE)*(1+$L$9)^$B79,0)</f>
        <v>19.375</v>
      </c>
      <c r="K79" s="208">
        <f>IFERROR(VLOOKUP($B$69,Tableau14582[],6,FALSE)*(1+$L$9)^$B79,0)</f>
        <v>10</v>
      </c>
      <c r="L79" s="259">
        <f t="shared" si="14"/>
        <v>163.61605</v>
      </c>
      <c r="N79" s="71">
        <v>58</v>
      </c>
      <c r="O79" s="235"/>
      <c r="P79" s="176"/>
      <c r="Q79" s="236">
        <f t="shared" si="13"/>
        <v>100.0025</v>
      </c>
      <c r="R79" s="176">
        <f t="shared" si="4"/>
        <v>7.0001750000000005</v>
      </c>
      <c r="S79" s="176">
        <f>$L$11*(1+$L$9)^N79*'Récapitulatif des résultats'!$I$11</f>
        <v>0</v>
      </c>
      <c r="T79" s="237"/>
      <c r="U79" s="176"/>
      <c r="V79" s="245">
        <f t="shared" si="6"/>
        <v>0</v>
      </c>
      <c r="W79" s="184">
        <f>SUM('Pin Sylvestre'!AQ63*'Pin Sylvestre'!$F$21,Douglas!AQ63*Douglas!$F$21,'Pin Maritime'!AQ63*'Pin Maritime'!$F$21,'Meleze Hybride'!AQ63*'Meleze Hybride'!$F$21,Thuya!AQ63*Thuya!$F$21,'Chêne et feuillus divers'!AQ63*'Chêne et feuillus divers'!$F$21)</f>
        <v>0</v>
      </c>
      <c r="X79" s="184">
        <f>SUM('Pin Sylvestre'!AR63*'Pin Sylvestre'!$F$21,Douglas!AR63*Douglas!$F$21,'Pin Maritime'!AR63*'Pin Maritime'!$F$21,'Meleze Hybride'!AR63*'Meleze Hybride'!$F$21,Thuya!AR63*Thuya!$F$21,'Chêne et feuillus divers'!AR63*'Chêne et feuillus divers'!$F$21)</f>
        <v>0</v>
      </c>
      <c r="Y79" s="184">
        <f>SUM('Pin Sylvestre'!AS63*'Pin Sylvestre'!$F$21,Douglas!AS63*Douglas!$F$21,'Pin Maritime'!AS63*'Pin Maritime'!$F$21,'Meleze Hybride'!AS63*'Meleze Hybride'!$F$21,Thuya!AS63*Thuya!$F$21,'Chêne et feuillus divers'!AS63*'Chêne et feuillus divers'!$F$21)</f>
        <v>0</v>
      </c>
      <c r="Z79" s="327">
        <f>SUM('Pin Sylvestre'!AT63*'Pin Sylvestre'!$F$21,Douglas!AT63*Douglas!$F$21,'Pin Maritime'!AT63*'Pin Maritime'!$F$21,'Meleze Hybride'!AT63*'Meleze Hybride'!$F$21,Thuya!AT63*Thuya!$F$21,'Chêne et feuillus divers'!AT63*'Chêne et feuillus divers'!$F$21)</f>
        <v>0</v>
      </c>
      <c r="AA79" s="174">
        <f t="shared" si="8"/>
        <v>0</v>
      </c>
      <c r="AB79" s="175">
        <f t="shared" si="7"/>
        <v>-8.3300918287414571</v>
      </c>
      <c r="AC79" s="174"/>
      <c r="AD79" s="174"/>
    </row>
    <row r="80" spans="2:30">
      <c r="B80" s="267">
        <f>'Meleze Hybride'!B91</f>
        <v>56</v>
      </c>
      <c r="C80" s="221">
        <f>'Meleze Hybride'!C91</f>
        <v>24</v>
      </c>
      <c r="D80" s="222">
        <f>'Meleze Hybride'!D91</f>
        <v>0.7</v>
      </c>
      <c r="E80" s="217">
        <f>'Meleze Hybride'!E91</f>
        <v>0.16800000000000004</v>
      </c>
      <c r="F80" s="217">
        <f>'Meleze Hybride'!F91</f>
        <v>0.13200000000000003</v>
      </c>
      <c r="G80" s="223">
        <f>'Meleze Hybride'!G91</f>
        <v>0</v>
      </c>
      <c r="H80" s="206">
        <f>IFERROR(VLOOKUP($B$69,Tableau14582[],4,FALSE)*(1+$L$9)^$B80,0)</f>
        <v>50</v>
      </c>
      <c r="I80" s="207">
        <f>IFERROR(VLOOKUP($B$69,Tableau14582[],5,FALSE)*(1+$L$9)^$B80,0)</f>
        <v>19.375</v>
      </c>
      <c r="J80" s="207">
        <f>IFERROR(VLOOKUP($B$69,Tableau14582[],5,FALSE)*(1+$L$9)^$B80,0)</f>
        <v>19.375</v>
      </c>
      <c r="K80" s="208">
        <f>IFERROR(VLOOKUP($B$69,Tableau14582[],6,FALSE)*(1+$L$9)^$B80,0)</f>
        <v>10</v>
      </c>
      <c r="L80" s="259">
        <f t="shared" si="14"/>
        <v>163.28264999999996</v>
      </c>
      <c r="N80" s="71">
        <v>59</v>
      </c>
      <c r="O80" s="235"/>
      <c r="P80" s="176"/>
      <c r="Q80" s="236">
        <f t="shared" si="13"/>
        <v>100.0025</v>
      </c>
      <c r="R80" s="176">
        <f t="shared" si="4"/>
        <v>7.0001750000000005</v>
      </c>
      <c r="S80" s="176">
        <f>$L$11*(1+$L$9)^N80*'Récapitulatif des résultats'!$I$11</f>
        <v>0</v>
      </c>
      <c r="T80" s="237"/>
      <c r="U80" s="176"/>
      <c r="V80" s="245">
        <f t="shared" si="6"/>
        <v>0</v>
      </c>
      <c r="W80" s="184">
        <f>SUM('Pin Sylvestre'!AQ64*'Pin Sylvestre'!$F$21,Douglas!AQ64*Douglas!$F$21,'Pin Maritime'!AQ64*'Pin Maritime'!$F$21,'Meleze Hybride'!AQ64*'Meleze Hybride'!$F$21,Thuya!AQ64*Thuya!$F$21,'Chêne et feuillus divers'!AQ64*'Chêne et feuillus divers'!$F$21)</f>
        <v>0</v>
      </c>
      <c r="X80" s="184">
        <f>SUM('Pin Sylvestre'!AR64*'Pin Sylvestre'!$F$21,Douglas!AR64*Douglas!$F$21,'Pin Maritime'!AR64*'Pin Maritime'!$F$21,'Meleze Hybride'!AR64*'Meleze Hybride'!$F$21,Thuya!AR64*Thuya!$F$21,'Chêne et feuillus divers'!AR64*'Chêne et feuillus divers'!$F$21)</f>
        <v>0</v>
      </c>
      <c r="Y80" s="184">
        <f>SUM('Pin Sylvestre'!AS64*'Pin Sylvestre'!$F$21,Douglas!AS64*Douglas!$F$21,'Pin Maritime'!AS64*'Pin Maritime'!$F$21,'Meleze Hybride'!AS64*'Meleze Hybride'!$F$21,Thuya!AS64*Thuya!$F$21,'Chêne et feuillus divers'!AS64*'Chêne et feuillus divers'!$F$21)</f>
        <v>0</v>
      </c>
      <c r="Z80" s="327">
        <f>SUM('Pin Sylvestre'!AT64*'Pin Sylvestre'!$F$21,Douglas!AT64*Douglas!$F$21,'Pin Maritime'!AT64*'Pin Maritime'!$F$21,'Meleze Hybride'!AT64*'Meleze Hybride'!$F$21,Thuya!AT64*Thuya!$F$21,'Chêne et feuillus divers'!AT64*'Chêne et feuillus divers'!$F$21)</f>
        <v>0</v>
      </c>
      <c r="AA80" s="174">
        <f t="shared" si="8"/>
        <v>0</v>
      </c>
      <c r="AB80" s="175">
        <f t="shared" si="7"/>
        <v>-7.9713797404224476</v>
      </c>
      <c r="AC80" s="174"/>
      <c r="AD80" s="174"/>
    </row>
    <row r="81" spans="2:30">
      <c r="B81" s="267">
        <f>'Meleze Hybride'!B92</f>
        <v>61</v>
      </c>
      <c r="C81" s="221">
        <f>'Meleze Hybride'!C92</f>
        <v>22</v>
      </c>
      <c r="D81" s="222">
        <f>'Meleze Hybride'!D92</f>
        <v>0.8</v>
      </c>
      <c r="E81" s="217">
        <f>'Meleze Hybride'!E92</f>
        <v>0.11199999999999999</v>
      </c>
      <c r="F81" s="217">
        <f>'Meleze Hybride'!F92</f>
        <v>8.7999999999999981E-2</v>
      </c>
      <c r="G81" s="223">
        <f>'Meleze Hybride'!G92</f>
        <v>0</v>
      </c>
      <c r="H81" s="206">
        <f>IFERROR(VLOOKUP($B$69,Tableau14582[],4,FALSE)*(1+$L$9)^$B81,0)</f>
        <v>50</v>
      </c>
      <c r="I81" s="207">
        <f>IFERROR(VLOOKUP($B$69,Tableau14582[],5,FALSE)*(1+$L$9)^$B81,0)</f>
        <v>19.375</v>
      </c>
      <c r="J81" s="207">
        <f>IFERROR(VLOOKUP($B$69,Tableau14582[],5,FALSE)*(1+$L$9)^$B81,0)</f>
        <v>19.375</v>
      </c>
      <c r="K81" s="208">
        <f>IFERROR(VLOOKUP($B$69,Tableau14582[],6,FALSE)*(1+$L$9)^$B81,0)</f>
        <v>10</v>
      </c>
      <c r="L81" s="259">
        <f t="shared" si="14"/>
        <v>160.907175</v>
      </c>
      <c r="N81" s="71">
        <v>60</v>
      </c>
      <c r="O81" s="235"/>
      <c r="P81" s="176"/>
      <c r="Q81" s="236">
        <f t="shared" si="13"/>
        <v>100.0025</v>
      </c>
      <c r="R81" s="176">
        <f t="shared" si="4"/>
        <v>7.0001750000000005</v>
      </c>
      <c r="S81" s="176">
        <f>$L$11*(1+$L$9)^N81*'Récapitulatif des résultats'!$I$11</f>
        <v>0</v>
      </c>
      <c r="T81" s="237"/>
      <c r="U81" s="176"/>
      <c r="V81" s="245">
        <f t="shared" si="6"/>
        <v>0</v>
      </c>
      <c r="W81" s="184">
        <f>SUM('Pin Sylvestre'!AQ65*'Pin Sylvestre'!$F$21,Douglas!AQ65*Douglas!$F$21,'Pin Maritime'!AQ65*'Pin Maritime'!$F$21,'Meleze Hybride'!AQ65*'Meleze Hybride'!$F$21,Thuya!AQ65*Thuya!$F$21,'Chêne et feuillus divers'!AQ65*'Chêne et feuillus divers'!$F$21)</f>
        <v>0</v>
      </c>
      <c r="X81" s="184">
        <f>SUM('Pin Sylvestre'!AR65*'Pin Sylvestre'!$F$21,Douglas!AR65*Douglas!$F$21,'Pin Maritime'!AR65*'Pin Maritime'!$F$21,'Meleze Hybride'!AR65*'Meleze Hybride'!$F$21,Thuya!AR65*Thuya!$F$21,'Chêne et feuillus divers'!AR65*'Chêne et feuillus divers'!$F$21)</f>
        <v>0</v>
      </c>
      <c r="Y81" s="184">
        <f>SUM('Pin Sylvestre'!AS65*'Pin Sylvestre'!$F$21,Douglas!AS65*Douglas!$F$21,'Pin Maritime'!AS65*'Pin Maritime'!$F$21,'Meleze Hybride'!AS65*'Meleze Hybride'!$F$21,Thuya!AS65*Thuya!$F$21,'Chêne et feuillus divers'!AS65*'Chêne et feuillus divers'!$F$21)</f>
        <v>0</v>
      </c>
      <c r="Z81" s="327">
        <f>SUM('Pin Sylvestre'!AT65*'Pin Sylvestre'!$F$21,Douglas!AT65*Douglas!$F$21,'Pin Maritime'!AT65*'Pin Maritime'!$F$21,'Meleze Hybride'!AT65*'Meleze Hybride'!$F$21,Thuya!AT65*Thuya!$F$21,'Chêne et feuillus divers'!AT65*'Chêne et feuillus divers'!$F$21)</f>
        <v>0</v>
      </c>
      <c r="AA81" s="174">
        <f t="shared" si="8"/>
        <v>0</v>
      </c>
      <c r="AB81" s="175">
        <f t="shared" si="7"/>
        <v>-7.6281145841363145</v>
      </c>
      <c r="AC81" s="174"/>
      <c r="AD81" s="174"/>
    </row>
    <row r="82" spans="2:30">
      <c r="B82" s="267">
        <f>'Meleze Hybride'!B93</f>
        <v>66</v>
      </c>
      <c r="C82" s="221">
        <f>'Meleze Hybride'!C93</f>
        <v>21</v>
      </c>
      <c r="D82" s="222">
        <f>'Meleze Hybride'!D93</f>
        <v>0.9</v>
      </c>
      <c r="E82" s="217">
        <f>'Meleze Hybride'!E93</f>
        <v>5.5999999999999994E-2</v>
      </c>
      <c r="F82" s="217">
        <f>'Meleze Hybride'!F93</f>
        <v>4.3999999999999991E-2</v>
      </c>
      <c r="G82" s="223">
        <f>'Meleze Hybride'!G93</f>
        <v>0</v>
      </c>
      <c r="H82" s="206">
        <f>IFERROR(VLOOKUP($B$69,Tableau14582[],4,FALSE)*(1+$L$9)^$B82,0)</f>
        <v>50</v>
      </c>
      <c r="I82" s="207">
        <f>IFERROR(VLOOKUP($B$69,Tableau14582[],5,FALSE)*(1+$L$9)^$B82,0)</f>
        <v>19.375</v>
      </c>
      <c r="J82" s="207">
        <f>IFERROR(VLOOKUP($B$69,Tableau14582[],5,FALSE)*(1+$L$9)^$B82,0)</f>
        <v>19.375</v>
      </c>
      <c r="K82" s="208">
        <f>IFERROR(VLOOKUP($B$69,Tableau14582[],6,FALSE)*(1+$L$9)^$B82,0)</f>
        <v>10</v>
      </c>
      <c r="L82" s="259">
        <f t="shared" si="14"/>
        <v>164.31410625000001</v>
      </c>
      <c r="N82" s="71">
        <v>61</v>
      </c>
      <c r="O82" s="235"/>
      <c r="P82" s="176"/>
      <c r="Q82" s="236">
        <f t="shared" si="13"/>
        <v>100.0025</v>
      </c>
      <c r="R82" s="176">
        <f t="shared" si="4"/>
        <v>7.0001750000000005</v>
      </c>
      <c r="S82" s="176">
        <f>$L$11*(1+$L$9)^N82*'Récapitulatif des résultats'!$I$11</f>
        <v>0</v>
      </c>
      <c r="T82" s="237"/>
      <c r="U82" s="176"/>
      <c r="V82" s="245">
        <f t="shared" si="6"/>
        <v>59.167999999999999</v>
      </c>
      <c r="W82" s="184">
        <f>SUM('Pin Sylvestre'!AQ66*'Pin Sylvestre'!$F$21,Douglas!AQ66*Douglas!$F$21,'Pin Maritime'!AQ66*'Pin Maritime'!$F$21,'Meleze Hybride'!AQ66*'Meleze Hybride'!$F$21,Thuya!AQ66*Thuya!$F$21,'Chêne et feuillus divers'!AQ66*'Chêne et feuillus divers'!$F$21)</f>
        <v>29.91845</v>
      </c>
      <c r="X82" s="184">
        <f>SUM('Pin Sylvestre'!AR66*'Pin Sylvestre'!$F$21,Douglas!AR66*Douglas!$F$21,'Pin Maritime'!AR66*'Pin Maritime'!$F$21,'Meleze Hybride'!AR66*'Meleze Hybride'!$F$21,Thuya!AR66*Thuya!$F$21,'Chêne et feuillus divers'!AR66*'Chêne et feuillus divers'!$F$21)</f>
        <v>16.379747999999999</v>
      </c>
      <c r="Y82" s="184">
        <f>SUM('Pin Sylvestre'!AS66*'Pin Sylvestre'!$F$21,Douglas!AS66*Douglas!$F$21,'Pin Maritime'!AS66*'Pin Maritime'!$F$21,'Meleze Hybride'!AS66*'Meleze Hybride'!$F$21,Thuya!AS66*Thuya!$F$21,'Chêne et feuillus divers'!AS66*'Chêne et feuillus divers'!$F$21)</f>
        <v>12.869802</v>
      </c>
      <c r="Z82" s="327">
        <f>SUM('Pin Sylvestre'!AT66*'Pin Sylvestre'!$F$21,Douglas!AT66*Douglas!$F$21,'Pin Maritime'!AT66*'Pin Maritime'!$F$21,'Meleze Hybride'!AT66*'Meleze Hybride'!$F$21,Thuya!AT66*Thuya!$F$21,'Chêne et feuillus divers'!AT66*'Chêne et feuillus divers'!$F$21)</f>
        <v>0</v>
      </c>
      <c r="AA82" s="174">
        <f t="shared" si="8"/>
        <v>5531.0131862500002</v>
      </c>
      <c r="AB82" s="175">
        <f t="shared" si="7"/>
        <v>370.02136866155138</v>
      </c>
      <c r="AC82" s="174"/>
      <c r="AD82" s="174"/>
    </row>
    <row r="83" spans="2:30">
      <c r="B83" s="260">
        <f>'Meleze Hybride'!B94</f>
        <v>80</v>
      </c>
      <c r="C83" s="224">
        <f>'Meleze Hybride'!C94</f>
        <v>352</v>
      </c>
      <c r="D83" s="218">
        <f>'Meleze Hybride'!D94</f>
        <v>0.95</v>
      </c>
      <c r="E83" s="230">
        <f>'Meleze Hybride'!E94</f>
        <v>2.8000000000000028E-2</v>
      </c>
      <c r="F83" s="230">
        <f>'Meleze Hybride'!F94</f>
        <v>2.200000000000002E-2</v>
      </c>
      <c r="G83" s="225">
        <f>'Meleze Hybride'!G94</f>
        <v>0</v>
      </c>
      <c r="H83" s="209">
        <f>IFERROR(VLOOKUP($B$69,Tableau14582[],4,FALSE)*(1+$L$9)^$B83,0)</f>
        <v>50</v>
      </c>
      <c r="I83" s="210">
        <f>IFERROR(VLOOKUP($B$69,Tableau14582[],5,FALSE)*(1+$L$9)^$B83,0)</f>
        <v>19.375</v>
      </c>
      <c r="J83" s="210">
        <f>IFERROR(VLOOKUP($B$69,Tableau14582[],5,FALSE)*(1+$L$9)^$B83,0)</f>
        <v>19.375</v>
      </c>
      <c r="K83" s="211">
        <f>IFERROR(VLOOKUP($B$69,Tableau14582[],6,FALSE)*(1+$L$9)^$B83,0)</f>
        <v>10</v>
      </c>
      <c r="L83" s="261">
        <f t="shared" si="14"/>
        <v>2844.0686999999998</v>
      </c>
      <c r="N83" s="71">
        <v>62</v>
      </c>
      <c r="O83" s="235"/>
      <c r="P83" s="176"/>
      <c r="Q83" s="236">
        <f t="shared" si="13"/>
        <v>100.0025</v>
      </c>
      <c r="R83" s="176">
        <f t="shared" si="4"/>
        <v>7.0001750000000005</v>
      </c>
      <c r="S83" s="176">
        <f>$L$11*(1+$L$9)^N83*'Récapitulatif des résultats'!$I$11</f>
        <v>0</v>
      </c>
      <c r="T83" s="237"/>
      <c r="U83" s="176"/>
      <c r="V83" s="245">
        <f t="shared" si="6"/>
        <v>0</v>
      </c>
      <c r="W83" s="184">
        <f>SUM('Pin Sylvestre'!AQ67*'Pin Sylvestre'!$F$21,Douglas!AQ67*Douglas!$F$21,'Pin Maritime'!AQ67*'Pin Maritime'!$F$21,'Meleze Hybride'!AQ67*'Meleze Hybride'!$F$21,Thuya!AQ67*Thuya!$F$21,'Chêne et feuillus divers'!AQ67*'Chêne et feuillus divers'!$F$21)</f>
        <v>0</v>
      </c>
      <c r="X83" s="184">
        <f>SUM('Pin Sylvestre'!AR67*'Pin Sylvestre'!$F$21,Douglas!AR67*Douglas!$F$21,'Pin Maritime'!AR67*'Pin Maritime'!$F$21,'Meleze Hybride'!AR67*'Meleze Hybride'!$F$21,Thuya!AR67*Thuya!$F$21,'Chêne et feuillus divers'!AR67*'Chêne et feuillus divers'!$F$21)</f>
        <v>0</v>
      </c>
      <c r="Y83" s="184">
        <f>SUM('Pin Sylvestre'!AS67*'Pin Sylvestre'!$F$21,Douglas!AS67*Douglas!$F$21,'Pin Maritime'!AS67*'Pin Maritime'!$F$21,'Meleze Hybride'!AS67*'Meleze Hybride'!$F$21,Thuya!AS67*Thuya!$F$21,'Chêne et feuillus divers'!AS67*'Chêne et feuillus divers'!$F$21)</f>
        <v>0</v>
      </c>
      <c r="Z83" s="327">
        <f>SUM('Pin Sylvestre'!AT67*'Pin Sylvestre'!$F$21,Douglas!AT67*Douglas!$F$21,'Pin Maritime'!AT67*'Pin Maritime'!$F$21,'Meleze Hybride'!AT67*'Meleze Hybride'!$F$21,Thuya!AT67*Thuya!$F$21,'Chêne et feuillus divers'!AT67*'Chêne et feuillus divers'!$F$21)</f>
        <v>0</v>
      </c>
      <c r="AA83" s="174">
        <f t="shared" si="8"/>
        <v>0</v>
      </c>
      <c r="AB83" s="175">
        <f t="shared" si="7"/>
        <v>-6.9852929961642971</v>
      </c>
      <c r="AC83" s="174"/>
      <c r="AD83" s="174"/>
    </row>
    <row r="84" spans="2:30">
      <c r="B84" s="262"/>
      <c r="C84" s="263"/>
      <c r="D84" s="263"/>
      <c r="E84" s="263"/>
      <c r="F84" s="263"/>
      <c r="G84" s="263"/>
      <c r="H84" s="263"/>
      <c r="I84" s="263"/>
      <c r="J84" s="263"/>
      <c r="K84" s="263"/>
      <c r="L84" s="264"/>
      <c r="N84" s="71">
        <v>63</v>
      </c>
      <c r="O84" s="235"/>
      <c r="P84" s="176"/>
      <c r="Q84" s="236">
        <f t="shared" si="13"/>
        <v>100.0025</v>
      </c>
      <c r="R84" s="176">
        <f t="shared" si="4"/>
        <v>7.0001750000000005</v>
      </c>
      <c r="S84" s="176">
        <f>$L$11*(1+$L$9)^N84*'Récapitulatif des résultats'!$I$11</f>
        <v>0</v>
      </c>
      <c r="T84" s="237"/>
      <c r="U84" s="176"/>
      <c r="V84" s="245">
        <f t="shared" si="6"/>
        <v>0</v>
      </c>
      <c r="W84" s="184">
        <f>SUM('Pin Sylvestre'!AQ68*'Pin Sylvestre'!$F$21,Douglas!AQ68*Douglas!$F$21,'Pin Maritime'!AQ68*'Pin Maritime'!$F$21,'Meleze Hybride'!AQ68*'Meleze Hybride'!$F$21,Thuya!AQ68*Thuya!$F$21,'Chêne et feuillus divers'!AQ68*'Chêne et feuillus divers'!$F$21)</f>
        <v>0</v>
      </c>
      <c r="X84" s="184">
        <f>SUM('Pin Sylvestre'!AR68*'Pin Sylvestre'!$F$21,Douglas!AR68*Douglas!$F$21,'Pin Maritime'!AR68*'Pin Maritime'!$F$21,'Meleze Hybride'!AR68*'Meleze Hybride'!$F$21,Thuya!AR68*Thuya!$F$21,'Chêne et feuillus divers'!AR68*'Chêne et feuillus divers'!$F$21)</f>
        <v>0</v>
      </c>
      <c r="Y84" s="184">
        <f>SUM('Pin Sylvestre'!AS68*'Pin Sylvestre'!$F$21,Douglas!AS68*Douglas!$F$21,'Pin Maritime'!AS68*'Pin Maritime'!$F$21,'Meleze Hybride'!AS68*'Meleze Hybride'!$F$21,Thuya!AS68*Thuya!$F$21,'Chêne et feuillus divers'!AS68*'Chêne et feuillus divers'!$F$21)</f>
        <v>0</v>
      </c>
      <c r="Z84" s="327">
        <f>SUM('Pin Sylvestre'!AT68*'Pin Sylvestre'!$F$21,Douglas!AT68*Douglas!$F$21,'Pin Maritime'!AT68*'Pin Maritime'!$F$21,'Meleze Hybride'!AT68*'Meleze Hybride'!$F$21,Thuya!AT68*Thuya!$F$21,'Chêne et feuillus divers'!AT68*'Chêne et feuillus divers'!$F$21)</f>
        <v>0</v>
      </c>
      <c r="AA84" s="174">
        <f t="shared" si="8"/>
        <v>0</v>
      </c>
      <c r="AB84" s="175">
        <f t="shared" si="7"/>
        <v>-6.6844909054203789</v>
      </c>
      <c r="AC84" s="174"/>
      <c r="AD84" s="174"/>
    </row>
    <row r="85" spans="2:30">
      <c r="B85" s="410" t="str">
        <f>Thuya!F17</f>
        <v xml:space="preserve">Sapin pectiné </v>
      </c>
      <c r="C85" s="411">
        <f>Thuya!C80</f>
        <v>0</v>
      </c>
      <c r="D85" s="411">
        <f>Thuya!D80</f>
        <v>0</v>
      </c>
      <c r="E85" s="411">
        <f>Thuya!E80</f>
        <v>0</v>
      </c>
      <c r="F85" s="411">
        <f>Thuya!F80</f>
        <v>0</v>
      </c>
      <c r="G85" s="412">
        <f>Thuya!G80</f>
        <v>0</v>
      </c>
      <c r="H85" s="396" t="s">
        <v>248</v>
      </c>
      <c r="I85" s="397"/>
      <c r="J85" s="397"/>
      <c r="K85" s="398"/>
      <c r="L85" s="253">
        <f>AA5</f>
        <v>0.16669999999999999</v>
      </c>
      <c r="N85" s="71">
        <v>64</v>
      </c>
      <c r="O85" s="235"/>
      <c r="P85" s="176"/>
      <c r="Q85" s="236">
        <f t="shared" si="13"/>
        <v>100.0025</v>
      </c>
      <c r="R85" s="176">
        <f t="shared" ref="R85:R148" si="15">$L$10*SUM(O85:Q85)</f>
        <v>7.0001750000000005</v>
      </c>
      <c r="S85" s="176">
        <f>$L$11*(1+$L$9)^N85*'Récapitulatif des résultats'!$I$11</f>
        <v>0</v>
      </c>
      <c r="T85" s="237"/>
      <c r="U85" s="176"/>
      <c r="V85" s="245">
        <f t="shared" ref="V85:V148" si="16">SUM(W85:Z85)</f>
        <v>0</v>
      </c>
      <c r="W85" s="184">
        <f>SUM('Pin Sylvestre'!AQ69*'Pin Sylvestre'!$F$21,Douglas!AQ69*Douglas!$F$21,'Pin Maritime'!AQ69*'Pin Maritime'!$F$21,'Meleze Hybride'!AQ69*'Meleze Hybride'!$F$21,Thuya!AQ69*Thuya!$F$21,'Chêne et feuillus divers'!AQ69*'Chêne et feuillus divers'!$F$21)</f>
        <v>0</v>
      </c>
      <c r="X85" s="184">
        <f>SUM('Pin Sylvestre'!AR69*'Pin Sylvestre'!$F$21,Douglas!AR69*Douglas!$F$21,'Pin Maritime'!AR69*'Pin Maritime'!$F$21,'Meleze Hybride'!AR69*'Meleze Hybride'!$F$21,Thuya!AR69*Thuya!$F$21,'Chêne et feuillus divers'!AR69*'Chêne et feuillus divers'!$F$21)</f>
        <v>0</v>
      </c>
      <c r="Y85" s="184">
        <f>SUM('Pin Sylvestre'!AS69*'Pin Sylvestre'!$F$21,Douglas!AS69*Douglas!$F$21,'Pin Maritime'!AS69*'Pin Maritime'!$F$21,'Meleze Hybride'!AS69*'Meleze Hybride'!$F$21,Thuya!AS69*Thuya!$F$21,'Chêne et feuillus divers'!AS69*'Chêne et feuillus divers'!$F$21)</f>
        <v>0</v>
      </c>
      <c r="Z85" s="327">
        <f>SUM('Pin Sylvestre'!AT69*'Pin Sylvestre'!$F$21,Douglas!AT69*Douglas!$F$21,'Pin Maritime'!AT69*'Pin Maritime'!$F$21,'Meleze Hybride'!AT69*'Meleze Hybride'!$F$21,Thuya!AT69*Thuya!$F$21,'Chêne et feuillus divers'!AT69*'Chêne et feuillus divers'!$F$21)</f>
        <v>0</v>
      </c>
      <c r="AA85" s="174">
        <f t="shared" si="8"/>
        <v>0</v>
      </c>
      <c r="AB85" s="175">
        <f t="shared" ref="AB85:AB148" si="17">IF(N85&lt;=$L$4,(AA85-SUM(O85:T85))/((1+4.5%)^N85),)</f>
        <v>-6.3966420147563472</v>
      </c>
      <c r="AC85" s="174"/>
      <c r="AD85" s="174"/>
    </row>
    <row r="86" spans="2:30">
      <c r="B86" s="265" t="str">
        <f>Thuya!B81</f>
        <v>Année</v>
      </c>
      <c r="C86" s="226" t="str">
        <f>Thuya!C81</f>
        <v>Volume d'éclaircie</v>
      </c>
      <c r="D86" s="213" t="str">
        <f>Thuya!D81</f>
        <v>BO</v>
      </c>
      <c r="E86" s="213" t="str">
        <f>Thuya!E81</f>
        <v>BI - panneaux</v>
      </c>
      <c r="F86" s="213" t="str">
        <f>Thuya!F81</f>
        <v>BI - papier</v>
      </c>
      <c r="G86" s="214" t="str">
        <f>Thuya!G81</f>
        <v>BE</v>
      </c>
      <c r="H86" s="212" t="s">
        <v>78</v>
      </c>
      <c r="I86" s="213" t="s">
        <v>81</v>
      </c>
      <c r="J86" s="213" t="s">
        <v>80</v>
      </c>
      <c r="K86" s="214" t="s">
        <v>79</v>
      </c>
      <c r="L86" s="255" t="s">
        <v>252</v>
      </c>
      <c r="N86" s="71">
        <v>65</v>
      </c>
      <c r="O86" s="235"/>
      <c r="P86" s="176"/>
      <c r="Q86" s="236">
        <f t="shared" si="13"/>
        <v>100.0025</v>
      </c>
      <c r="R86" s="176">
        <f t="shared" si="15"/>
        <v>7.0001750000000005</v>
      </c>
      <c r="S86" s="176">
        <f>$L$11*(1+$L$9)^N86*'Récapitulatif des résultats'!$I$11</f>
        <v>0</v>
      </c>
      <c r="T86" s="237"/>
      <c r="U86" s="176"/>
      <c r="V86" s="245">
        <f t="shared" si="16"/>
        <v>0</v>
      </c>
      <c r="W86" s="184">
        <f>SUM('Pin Sylvestre'!AQ70*'Pin Sylvestre'!$F$21,Douglas!AQ70*Douglas!$F$21,'Pin Maritime'!AQ70*'Pin Maritime'!$F$21,'Meleze Hybride'!AQ70*'Meleze Hybride'!$F$21,Thuya!AQ70*Thuya!$F$21,'Chêne et feuillus divers'!AQ70*'Chêne et feuillus divers'!$F$21)</f>
        <v>0</v>
      </c>
      <c r="X86" s="184">
        <f>SUM('Pin Sylvestre'!AR70*'Pin Sylvestre'!$F$21,Douglas!AR70*Douglas!$F$21,'Pin Maritime'!AR70*'Pin Maritime'!$F$21,'Meleze Hybride'!AR70*'Meleze Hybride'!$F$21,Thuya!AR70*Thuya!$F$21,'Chêne et feuillus divers'!AR70*'Chêne et feuillus divers'!$F$21)</f>
        <v>0</v>
      </c>
      <c r="Y86" s="184">
        <f>SUM('Pin Sylvestre'!AS70*'Pin Sylvestre'!$F$21,Douglas!AS70*Douglas!$F$21,'Pin Maritime'!AS70*'Pin Maritime'!$F$21,'Meleze Hybride'!AS70*'Meleze Hybride'!$F$21,Thuya!AS70*Thuya!$F$21,'Chêne et feuillus divers'!AS70*'Chêne et feuillus divers'!$F$21)</f>
        <v>0</v>
      </c>
      <c r="Z86" s="327">
        <f>SUM('Pin Sylvestre'!AT70*'Pin Sylvestre'!$F$21,Douglas!AT70*Douglas!$F$21,'Pin Maritime'!AT70*'Pin Maritime'!$F$21,'Meleze Hybride'!AT70*'Meleze Hybride'!$F$21,Thuya!AT70*Thuya!$F$21,'Chêne et feuillus divers'!AT70*'Chêne et feuillus divers'!$F$21)</f>
        <v>0</v>
      </c>
      <c r="AA86" s="174">
        <f t="shared" ref="AA86:AA149" si="18">SUMIF(B$23:B$115,N86,L$23:L$115)+U86</f>
        <v>0</v>
      </c>
      <c r="AB86" s="175">
        <f t="shared" si="17"/>
        <v>-6.1211885308673182</v>
      </c>
      <c r="AC86" s="174"/>
      <c r="AD86" s="174"/>
    </row>
    <row r="87" spans="2:30">
      <c r="B87" s="256">
        <f>Thuya!B82</f>
        <v>16</v>
      </c>
      <c r="C87" s="219">
        <f>Thuya!C82</f>
        <v>0</v>
      </c>
      <c r="D87" s="216">
        <f>Thuya!D82</f>
        <v>0</v>
      </c>
      <c r="E87" s="216">
        <f>Thuya!E82</f>
        <v>0.56000000000000005</v>
      </c>
      <c r="F87" s="216">
        <f>Thuya!F82</f>
        <v>0.44</v>
      </c>
      <c r="G87" s="220">
        <f>Thuya!G82</f>
        <v>0</v>
      </c>
      <c r="H87" s="206">
        <f>IFERROR(VLOOKUP($B$85,Tableau14582[],4,FALSE)*(1+$L$9)^$B87,0)</f>
        <v>37</v>
      </c>
      <c r="I87" s="207">
        <f>IFERROR(VLOOKUP($B$85,Tableau14582[],5,FALSE)*(1+$L$9)^$B87,0)</f>
        <v>19.375</v>
      </c>
      <c r="J87" s="207">
        <f>IFERROR(VLOOKUP($B$85,Tableau14582[],5,FALSE)*(1+$L$9)^$B87,0)</f>
        <v>19.375</v>
      </c>
      <c r="K87" s="208">
        <f>IFERROR(VLOOKUP($B$85,Tableau14582[],6,FALSE)*(1+$L$9)^$B87,0)</f>
        <v>10</v>
      </c>
      <c r="L87" s="257">
        <f>(C87*D87*H87+C87*E87*I87+C87*F87*J87+C87*G87*K87)*L$85</f>
        <v>0</v>
      </c>
      <c r="N87" s="71">
        <v>66</v>
      </c>
      <c r="O87" s="235"/>
      <c r="P87" s="176"/>
      <c r="Q87" s="236">
        <f t="shared" si="13"/>
        <v>100.0025</v>
      </c>
      <c r="R87" s="176">
        <f t="shared" si="15"/>
        <v>7.0001750000000005</v>
      </c>
      <c r="S87" s="176">
        <f>$L$11*(1+$L$9)^N87*'Récapitulatif des résultats'!$I$11</f>
        <v>0</v>
      </c>
      <c r="T87" s="237"/>
      <c r="U87" s="176"/>
      <c r="V87" s="245">
        <f t="shared" si="16"/>
        <v>55.501199999999997</v>
      </c>
      <c r="W87" s="184">
        <f>SUM('Pin Sylvestre'!AQ71*'Pin Sylvestre'!$F$21,Douglas!AQ71*Douglas!$F$21,'Pin Maritime'!AQ71*'Pin Maritime'!$F$21,'Meleze Hybride'!AQ71*'Meleze Hybride'!$F$21,Thuya!AQ71*Thuya!$F$21,'Chêne et feuillus divers'!AQ71*'Chêne et feuillus divers'!$F$21)</f>
        <v>28.293364999999998</v>
      </c>
      <c r="X87" s="184">
        <f>SUM('Pin Sylvestre'!AR71*'Pin Sylvestre'!$F$21,Douglas!AR71*Douglas!$F$21,'Pin Maritime'!AR71*'Pin Maritime'!$F$21,'Meleze Hybride'!AR71*'Meleze Hybride'!$F$21,Thuya!AR71*Thuya!$F$21,'Chêne et feuillus divers'!AR71*'Chêne et feuillus divers'!$F$21)</f>
        <v>15.2363876</v>
      </c>
      <c r="Y87" s="184">
        <f>SUM('Pin Sylvestre'!AS71*'Pin Sylvestre'!$F$21,Douglas!AS71*Douglas!$F$21,'Pin Maritime'!AS71*'Pin Maritime'!$F$21,'Meleze Hybride'!AS71*'Meleze Hybride'!$F$21,Thuya!AS71*Thuya!$F$21,'Chêne et feuillus divers'!AS71*'Chêne et feuillus divers'!$F$21)</f>
        <v>11.971447399999999</v>
      </c>
      <c r="Z87" s="327">
        <f>SUM('Pin Sylvestre'!AT71*'Pin Sylvestre'!$F$21,Douglas!AT71*Douglas!$F$21,'Pin Maritime'!AT71*'Pin Maritime'!$F$21,'Meleze Hybride'!AT71*'Meleze Hybride'!$F$21,Thuya!AT71*Thuya!$F$21,'Chêne et feuillus divers'!AT71*'Chêne et feuillus divers'!$F$21)</f>
        <v>0</v>
      </c>
      <c r="AA87" s="174">
        <f t="shared" si="18"/>
        <v>6017.1476143749996</v>
      </c>
      <c r="AB87" s="175">
        <f t="shared" si="17"/>
        <v>323.53626090855829</v>
      </c>
      <c r="AC87" s="174"/>
      <c r="AD87" s="174"/>
    </row>
    <row r="88" spans="2:30">
      <c r="B88" s="258">
        <f>Thuya!B83</f>
        <v>21</v>
      </c>
      <c r="C88" s="221">
        <f>Thuya!C83</f>
        <v>26</v>
      </c>
      <c r="D88" s="222">
        <f>Thuya!D83</f>
        <v>0</v>
      </c>
      <c r="E88" s="217">
        <f>Thuya!E83</f>
        <v>0.56000000000000005</v>
      </c>
      <c r="F88" s="217">
        <f>Thuya!F83</f>
        <v>0.44</v>
      </c>
      <c r="G88" s="223">
        <f>Thuya!G83</f>
        <v>0</v>
      </c>
      <c r="H88" s="206">
        <f>IFERROR(VLOOKUP($B$85,Tableau14582[],4,FALSE)*(1+$L$9)^$B88,0)</f>
        <v>37</v>
      </c>
      <c r="I88" s="207">
        <f>IFERROR(VLOOKUP($B$85,Tableau14582[],5,FALSE)*(1+$L$9)^$B88,0)</f>
        <v>19.375</v>
      </c>
      <c r="J88" s="207">
        <f>IFERROR(VLOOKUP($B$85,Tableau14582[],5,FALSE)*(1+$L$9)^$B88,0)</f>
        <v>19.375</v>
      </c>
      <c r="K88" s="208">
        <f>IFERROR(VLOOKUP($B$85,Tableau14582[],6,FALSE)*(1+$L$9)^$B88,0)</f>
        <v>10</v>
      </c>
      <c r="L88" s="259">
        <f t="shared" ref="L88:L99" si="19">(C88*D88*H88+C88*E88*I88+C88*F88*J88+C88*G88*K88)*L$85</f>
        <v>83.975124999999991</v>
      </c>
      <c r="N88" s="71">
        <v>67</v>
      </c>
      <c r="O88" s="235"/>
      <c r="P88" s="176"/>
      <c r="Q88" s="236">
        <f t="shared" si="13"/>
        <v>100.0025</v>
      </c>
      <c r="R88" s="176">
        <f t="shared" si="15"/>
        <v>7.0001750000000005</v>
      </c>
      <c r="S88" s="176">
        <f>$L$11*(1+$L$9)^N88*'Récapitulatif des résultats'!$I$11</f>
        <v>0</v>
      </c>
      <c r="T88" s="237"/>
      <c r="U88" s="176"/>
      <c r="V88" s="245">
        <f t="shared" si="16"/>
        <v>0</v>
      </c>
      <c r="W88" s="184">
        <f>SUM('Pin Sylvestre'!AQ72*'Pin Sylvestre'!$F$21,Douglas!AQ72*Douglas!$F$21,'Pin Maritime'!AQ72*'Pin Maritime'!$F$21,'Meleze Hybride'!AQ72*'Meleze Hybride'!$F$21,Thuya!AQ72*Thuya!$F$21,'Chêne et feuillus divers'!AQ72*'Chêne et feuillus divers'!$F$21)</f>
        <v>0</v>
      </c>
      <c r="X88" s="184">
        <f>SUM('Pin Sylvestre'!AR72*'Pin Sylvestre'!$F$21,Douglas!AR72*Douglas!$F$21,'Pin Maritime'!AR72*'Pin Maritime'!$F$21,'Meleze Hybride'!AR72*'Meleze Hybride'!$F$21,Thuya!AR72*Thuya!$F$21,'Chêne et feuillus divers'!AR72*'Chêne et feuillus divers'!$F$21)</f>
        <v>0</v>
      </c>
      <c r="Y88" s="184">
        <f>SUM('Pin Sylvestre'!AS72*'Pin Sylvestre'!$F$21,Douglas!AS72*Douglas!$F$21,'Pin Maritime'!AS72*'Pin Maritime'!$F$21,'Meleze Hybride'!AS72*'Meleze Hybride'!$F$21,Thuya!AS72*Thuya!$F$21,'Chêne et feuillus divers'!AS72*'Chêne et feuillus divers'!$F$21)</f>
        <v>0</v>
      </c>
      <c r="Z88" s="327">
        <f>SUM('Pin Sylvestre'!AT72*'Pin Sylvestre'!$F$21,Douglas!AT72*Douglas!$F$21,'Pin Maritime'!AT72*'Pin Maritime'!$F$21,'Meleze Hybride'!AT72*'Meleze Hybride'!$F$21,Thuya!AT72*Thuya!$F$21,'Chêne et feuillus divers'!AT72*'Chêne et feuillus divers'!$F$21)</f>
        <v>0</v>
      </c>
      <c r="AA88" s="174">
        <f t="shared" si="18"/>
        <v>0</v>
      </c>
      <c r="AB88" s="175">
        <f t="shared" si="17"/>
        <v>-5.6053556748859403</v>
      </c>
      <c r="AC88" s="174"/>
      <c r="AD88" s="174"/>
    </row>
    <row r="89" spans="2:30">
      <c r="B89" s="258">
        <f>Thuya!B84</f>
        <v>26</v>
      </c>
      <c r="C89" s="221">
        <f>Thuya!C84</f>
        <v>70</v>
      </c>
      <c r="D89" s="222">
        <f>Thuya!D84</f>
        <v>0</v>
      </c>
      <c r="E89" s="217">
        <f>Thuya!E84</f>
        <v>0.56000000000000005</v>
      </c>
      <c r="F89" s="217">
        <f>Thuya!F84</f>
        <v>0.44</v>
      </c>
      <c r="G89" s="223">
        <f>Thuya!G84</f>
        <v>0</v>
      </c>
      <c r="H89" s="206">
        <f>IFERROR(VLOOKUP($B$85,Tableau14582[],4,FALSE)*(1+$L$9)^$B89,0)</f>
        <v>37</v>
      </c>
      <c r="I89" s="207">
        <f>IFERROR(VLOOKUP($B$85,Tableau14582[],5,FALSE)*(1+$L$9)^$B89,0)</f>
        <v>19.375</v>
      </c>
      <c r="J89" s="207">
        <f>IFERROR(VLOOKUP($B$85,Tableau14582[],5,FALSE)*(1+$L$9)^$B89,0)</f>
        <v>19.375</v>
      </c>
      <c r="K89" s="208">
        <f>IFERROR(VLOOKUP($B$85,Tableau14582[],6,FALSE)*(1+$L$9)^$B89,0)</f>
        <v>10</v>
      </c>
      <c r="L89" s="259">
        <f t="shared" si="19"/>
        <v>226.08687499999999</v>
      </c>
      <c r="N89" s="71">
        <v>68</v>
      </c>
      <c r="O89" s="235"/>
      <c r="P89" s="176"/>
      <c r="Q89" s="236">
        <f t="shared" si="13"/>
        <v>100.0025</v>
      </c>
      <c r="R89" s="176">
        <f t="shared" si="15"/>
        <v>7.0001750000000005</v>
      </c>
      <c r="S89" s="176">
        <f>$L$11*(1+$L$9)^N89*'Récapitulatif des résultats'!$I$11</f>
        <v>0</v>
      </c>
      <c r="T89" s="237"/>
      <c r="U89" s="176"/>
      <c r="V89" s="245">
        <f t="shared" si="16"/>
        <v>0</v>
      </c>
      <c r="W89" s="184">
        <f>SUM('Pin Sylvestre'!AQ73*'Pin Sylvestre'!$F$21,Douglas!AQ73*Douglas!$F$21,'Pin Maritime'!AQ73*'Pin Maritime'!$F$21,'Meleze Hybride'!AQ73*'Meleze Hybride'!$F$21,Thuya!AQ73*Thuya!$F$21,'Chêne et feuillus divers'!AQ73*'Chêne et feuillus divers'!$F$21)</f>
        <v>0</v>
      </c>
      <c r="X89" s="184">
        <f>SUM('Pin Sylvestre'!AR73*'Pin Sylvestre'!$F$21,Douglas!AR73*Douglas!$F$21,'Pin Maritime'!AR73*'Pin Maritime'!$F$21,'Meleze Hybride'!AR73*'Meleze Hybride'!$F$21,Thuya!AR73*Thuya!$F$21,'Chêne et feuillus divers'!AR73*'Chêne et feuillus divers'!$F$21)</f>
        <v>0</v>
      </c>
      <c r="Y89" s="184">
        <f>SUM('Pin Sylvestre'!AS73*'Pin Sylvestre'!$F$21,Douglas!AS73*Douglas!$F$21,'Pin Maritime'!AS73*'Pin Maritime'!$F$21,'Meleze Hybride'!AS73*'Meleze Hybride'!$F$21,Thuya!AS73*Thuya!$F$21,'Chêne et feuillus divers'!AS73*'Chêne et feuillus divers'!$F$21)</f>
        <v>0</v>
      </c>
      <c r="Z89" s="327">
        <f>SUM('Pin Sylvestre'!AT73*'Pin Sylvestre'!$F$21,Douglas!AT73*Douglas!$F$21,'Pin Maritime'!AT73*'Pin Maritime'!$F$21,'Meleze Hybride'!AT73*'Meleze Hybride'!$F$21,Thuya!AT73*Thuya!$F$21,'Chêne et feuillus divers'!AT73*'Chêne et feuillus divers'!$F$21)</f>
        <v>0</v>
      </c>
      <c r="AA89" s="174">
        <f t="shared" si="18"/>
        <v>0</v>
      </c>
      <c r="AB89" s="175">
        <f t="shared" si="17"/>
        <v>-5.363976722378891</v>
      </c>
      <c r="AC89" s="174"/>
      <c r="AD89" s="174"/>
    </row>
    <row r="90" spans="2:30">
      <c r="B90" s="258">
        <f>Thuya!B85</f>
        <v>31</v>
      </c>
      <c r="C90" s="221">
        <f>Thuya!C85</f>
        <v>70</v>
      </c>
      <c r="D90" s="222">
        <f>Thuya!D85</f>
        <v>0</v>
      </c>
      <c r="E90" s="217">
        <f>Thuya!E85</f>
        <v>0.56000000000000005</v>
      </c>
      <c r="F90" s="217">
        <f>Thuya!F85</f>
        <v>0.44</v>
      </c>
      <c r="G90" s="223">
        <f>Thuya!G85</f>
        <v>0</v>
      </c>
      <c r="H90" s="206">
        <f>IFERROR(VLOOKUP($B$85,Tableau14582[],4,FALSE)*(1+$L$9)^$B90,0)</f>
        <v>37</v>
      </c>
      <c r="I90" s="207">
        <f>IFERROR(VLOOKUP($B$85,Tableau14582[],5,FALSE)*(1+$L$9)^$B90,0)</f>
        <v>19.375</v>
      </c>
      <c r="J90" s="207">
        <f>IFERROR(VLOOKUP($B$85,Tableau14582[],5,FALSE)*(1+$L$9)^$B90,0)</f>
        <v>19.375</v>
      </c>
      <c r="K90" s="208">
        <f>IFERROR(VLOOKUP($B$85,Tableau14582[],6,FALSE)*(1+$L$9)^$B90,0)</f>
        <v>10</v>
      </c>
      <c r="L90" s="259">
        <f t="shared" si="19"/>
        <v>226.08687499999999</v>
      </c>
      <c r="N90" s="71">
        <v>69</v>
      </c>
      <c r="O90" s="235"/>
      <c r="P90" s="176"/>
      <c r="Q90" s="236">
        <f t="shared" si="13"/>
        <v>100.0025</v>
      </c>
      <c r="R90" s="176">
        <f t="shared" si="15"/>
        <v>7.0001750000000005</v>
      </c>
      <c r="S90" s="176">
        <f>$L$11*(1+$L$9)^N90*'Récapitulatif des résultats'!$I$11</f>
        <v>0</v>
      </c>
      <c r="T90" s="237"/>
      <c r="U90" s="176"/>
      <c r="V90" s="245">
        <f t="shared" si="16"/>
        <v>0</v>
      </c>
      <c r="W90" s="184">
        <f>SUM('Pin Sylvestre'!AQ74*'Pin Sylvestre'!$F$21,Douglas!AQ74*Douglas!$F$21,'Pin Maritime'!AQ74*'Pin Maritime'!$F$21,'Meleze Hybride'!AQ74*'Meleze Hybride'!$F$21,Thuya!AQ74*Thuya!$F$21,'Chêne et feuillus divers'!AQ74*'Chêne et feuillus divers'!$F$21)</f>
        <v>0</v>
      </c>
      <c r="X90" s="184">
        <f>SUM('Pin Sylvestre'!AR74*'Pin Sylvestre'!$F$21,Douglas!AR74*Douglas!$F$21,'Pin Maritime'!AR74*'Pin Maritime'!$F$21,'Meleze Hybride'!AR74*'Meleze Hybride'!$F$21,Thuya!AR74*Thuya!$F$21,'Chêne et feuillus divers'!AR74*'Chêne et feuillus divers'!$F$21)</f>
        <v>0</v>
      </c>
      <c r="Y90" s="184">
        <f>SUM('Pin Sylvestre'!AS74*'Pin Sylvestre'!$F$21,Douglas!AS74*Douglas!$F$21,'Pin Maritime'!AS74*'Pin Maritime'!$F$21,'Meleze Hybride'!AS74*'Meleze Hybride'!$F$21,Thuya!AS74*Thuya!$F$21,'Chêne et feuillus divers'!AS74*'Chêne et feuillus divers'!$F$21)</f>
        <v>0</v>
      </c>
      <c r="Z90" s="327">
        <f>SUM('Pin Sylvestre'!AT74*'Pin Sylvestre'!$F$21,Douglas!AT74*Douglas!$F$21,'Pin Maritime'!AT74*'Pin Maritime'!$F$21,'Meleze Hybride'!AT74*'Meleze Hybride'!$F$21,Thuya!AT74*Thuya!$F$21,'Chêne et feuillus divers'!AT74*'Chêne et feuillus divers'!$F$21)</f>
        <v>0</v>
      </c>
      <c r="AA90" s="174">
        <f t="shared" si="18"/>
        <v>0</v>
      </c>
      <c r="AB90" s="175">
        <f t="shared" si="17"/>
        <v>-5.1329920788314753</v>
      </c>
      <c r="AC90" s="174"/>
      <c r="AD90" s="174"/>
    </row>
    <row r="91" spans="2:30">
      <c r="B91" s="258">
        <f>Thuya!B86</f>
        <v>36</v>
      </c>
      <c r="C91" s="221">
        <f>Thuya!C86</f>
        <v>70</v>
      </c>
      <c r="D91" s="222">
        <f>Thuya!D86</f>
        <v>0.2</v>
      </c>
      <c r="E91" s="217">
        <f>Thuya!E86</f>
        <v>0.44800000000000006</v>
      </c>
      <c r="F91" s="217">
        <f>Thuya!F86</f>
        <v>0.35200000000000004</v>
      </c>
      <c r="G91" s="223">
        <f>Thuya!G86</f>
        <v>0</v>
      </c>
      <c r="H91" s="206">
        <f>IFERROR(VLOOKUP($B$85,Tableau14582[],4,FALSE)*(1+$L$9)^$B91,0)</f>
        <v>37</v>
      </c>
      <c r="I91" s="207">
        <f>IFERROR(VLOOKUP($B$85,Tableau14582[],5,FALSE)*(1+$L$9)^$B91,0)</f>
        <v>19.375</v>
      </c>
      <c r="J91" s="207">
        <f>IFERROR(VLOOKUP($B$85,Tableau14582[],5,FALSE)*(1+$L$9)^$B91,0)</f>
        <v>19.375</v>
      </c>
      <c r="K91" s="208">
        <f>IFERROR(VLOOKUP($B$85,Tableau14582[],6,FALSE)*(1+$L$9)^$B91,0)</f>
        <v>10</v>
      </c>
      <c r="L91" s="259">
        <f t="shared" si="19"/>
        <v>267.2201</v>
      </c>
      <c r="N91" s="71">
        <v>70</v>
      </c>
      <c r="O91" s="235"/>
      <c r="P91" s="176"/>
      <c r="Q91" s="236">
        <f t="shared" ref="Q91:Q122" si="20">$L$13*(1+$L$9)^N91*$L$5</f>
        <v>100.0025</v>
      </c>
      <c r="R91" s="176">
        <f t="shared" si="15"/>
        <v>7.0001750000000005</v>
      </c>
      <c r="S91" s="176">
        <f>$L$11*(1+$L$9)^N91*'Récapitulatif des résultats'!$I$11</f>
        <v>0</v>
      </c>
      <c r="T91" s="237"/>
      <c r="U91" s="176"/>
      <c r="V91" s="245">
        <f t="shared" si="16"/>
        <v>0</v>
      </c>
      <c r="W91" s="184">
        <f>SUM('Pin Sylvestre'!AQ75*'Pin Sylvestre'!$F$21,Douglas!AQ75*Douglas!$F$21,'Pin Maritime'!AQ75*'Pin Maritime'!$F$21,'Meleze Hybride'!AQ75*'Meleze Hybride'!$F$21,Thuya!AQ75*Thuya!$F$21,'Chêne et feuillus divers'!AQ75*'Chêne et feuillus divers'!$F$21)</f>
        <v>0</v>
      </c>
      <c r="X91" s="184">
        <f>SUM('Pin Sylvestre'!AR75*'Pin Sylvestre'!$F$21,Douglas!AR75*Douglas!$F$21,'Pin Maritime'!AR75*'Pin Maritime'!$F$21,'Meleze Hybride'!AR75*'Meleze Hybride'!$F$21,Thuya!AR75*Thuya!$F$21,'Chêne et feuillus divers'!AR75*'Chêne et feuillus divers'!$F$21)</f>
        <v>0</v>
      </c>
      <c r="Y91" s="184">
        <f>SUM('Pin Sylvestre'!AS75*'Pin Sylvestre'!$F$21,Douglas!AS75*Douglas!$F$21,'Pin Maritime'!AS75*'Pin Maritime'!$F$21,'Meleze Hybride'!AS75*'Meleze Hybride'!$F$21,Thuya!AS75*Thuya!$F$21,'Chêne et feuillus divers'!AS75*'Chêne et feuillus divers'!$F$21)</f>
        <v>0</v>
      </c>
      <c r="Z91" s="327">
        <f>SUM('Pin Sylvestre'!AT75*'Pin Sylvestre'!$F$21,Douglas!AT75*Douglas!$F$21,'Pin Maritime'!AT75*'Pin Maritime'!$F$21,'Meleze Hybride'!AT75*'Meleze Hybride'!$F$21,Thuya!AT75*Thuya!$F$21,'Chêne et feuillus divers'!AT75*'Chêne et feuillus divers'!$F$21)</f>
        <v>0</v>
      </c>
      <c r="AA91" s="174">
        <f t="shared" si="18"/>
        <v>0</v>
      </c>
      <c r="AB91" s="175">
        <f t="shared" si="17"/>
        <v>-4.9119541424224655</v>
      </c>
      <c r="AC91" s="174"/>
      <c r="AD91" s="174"/>
    </row>
    <row r="92" spans="2:30">
      <c r="B92" s="258">
        <f>Thuya!B87</f>
        <v>41</v>
      </c>
      <c r="C92" s="221">
        <f>Thuya!C87</f>
        <v>70</v>
      </c>
      <c r="D92" s="222">
        <f>Thuya!D87</f>
        <v>0.3</v>
      </c>
      <c r="E92" s="217">
        <f>Thuya!E87</f>
        <v>0.39200000000000002</v>
      </c>
      <c r="F92" s="217">
        <f>Thuya!F87</f>
        <v>0.308</v>
      </c>
      <c r="G92" s="223">
        <f>Thuya!G87</f>
        <v>0</v>
      </c>
      <c r="H92" s="206">
        <f>IFERROR(VLOOKUP($B$85,Tableau14582[],4,FALSE)*(1+$L$9)^$B92,0)</f>
        <v>37</v>
      </c>
      <c r="I92" s="207">
        <f>IFERROR(VLOOKUP($B$85,Tableau14582[],5,FALSE)*(1+$L$9)^$B92,0)</f>
        <v>19.375</v>
      </c>
      <c r="J92" s="207">
        <f>IFERROR(VLOOKUP($B$85,Tableau14582[],5,FALSE)*(1+$L$9)^$B92,0)</f>
        <v>19.375</v>
      </c>
      <c r="K92" s="208">
        <f>IFERROR(VLOOKUP($B$85,Tableau14582[],6,FALSE)*(1+$L$9)^$B92,0)</f>
        <v>10</v>
      </c>
      <c r="L92" s="259">
        <f t="shared" si="19"/>
        <v>287.78671249999996</v>
      </c>
      <c r="N92" s="71">
        <v>71</v>
      </c>
      <c r="O92" s="235"/>
      <c r="P92" s="176"/>
      <c r="Q92" s="236">
        <f t="shared" si="20"/>
        <v>100.0025</v>
      </c>
      <c r="R92" s="176">
        <f t="shared" si="15"/>
        <v>7.0001750000000005</v>
      </c>
      <c r="S92" s="176">
        <f>$L$11*(1+$L$9)^N92*'Récapitulatif des résultats'!$I$11</f>
        <v>0</v>
      </c>
      <c r="T92" s="237"/>
      <c r="U92" s="176"/>
      <c r="V92" s="245">
        <f t="shared" si="16"/>
        <v>44.499899999999997</v>
      </c>
      <c r="W92" s="184">
        <f>SUM('Pin Sylvestre'!AQ76*'Pin Sylvestre'!$F$21,Douglas!AQ76*Douglas!$F$21,'Pin Maritime'!AQ76*'Pin Maritime'!$F$21,'Meleze Hybride'!AQ76*'Meleze Hybride'!$F$21,Thuya!AQ76*Thuya!$F$21,'Chêne et feuillus divers'!AQ76*'Chêne et feuillus divers'!$F$21)</f>
        <v>24.050309999999996</v>
      </c>
      <c r="X92" s="184">
        <f>SUM('Pin Sylvestre'!AR76*'Pin Sylvestre'!$F$21,Douglas!AR76*Douglas!$F$21,'Pin Maritime'!AR76*'Pin Maritime'!$F$21,'Meleze Hybride'!AR76*'Meleze Hybride'!$F$21,Thuya!AR76*Thuya!$F$21,'Chêne et feuillus divers'!AR76*'Chêne et feuillus divers'!$F$21)</f>
        <v>11.451770399999999</v>
      </c>
      <c r="Y92" s="184">
        <f>SUM('Pin Sylvestre'!AS76*'Pin Sylvestre'!$F$21,Douglas!AS76*Douglas!$F$21,'Pin Maritime'!AS76*'Pin Maritime'!$F$21,'Meleze Hybride'!AS76*'Meleze Hybride'!$F$21,Thuya!AS76*Thuya!$F$21,'Chêne et feuillus divers'!AS76*'Chêne et feuillus divers'!$F$21)</f>
        <v>8.9978195999999979</v>
      </c>
      <c r="Z92" s="327">
        <f>SUM('Pin Sylvestre'!AT76*'Pin Sylvestre'!$F$21,Douglas!AT76*Douglas!$F$21,'Pin Maritime'!AT76*'Pin Maritime'!$F$21,'Meleze Hybride'!AT76*'Meleze Hybride'!$F$21,Thuya!AT76*Thuya!$F$21,'Chêne et feuillus divers'!AT76*'Chêne et feuillus divers'!$F$21)</f>
        <v>0</v>
      </c>
      <c r="AA92" s="174">
        <f t="shared" si="18"/>
        <v>5990.1602975000005</v>
      </c>
      <c r="AB92" s="175">
        <f t="shared" si="17"/>
        <v>258.43650697502568</v>
      </c>
      <c r="AC92" s="174"/>
      <c r="AD92" s="174"/>
    </row>
    <row r="93" spans="2:30">
      <c r="B93" s="258">
        <f>Thuya!B88</f>
        <v>46</v>
      </c>
      <c r="C93" s="221">
        <f>Thuya!C88</f>
        <v>70</v>
      </c>
      <c r="D93" s="222">
        <f>Thuya!D88</f>
        <v>0.4</v>
      </c>
      <c r="E93" s="217">
        <f>Thuya!E88</f>
        <v>0.33600000000000002</v>
      </c>
      <c r="F93" s="217">
        <f>Thuya!F88</f>
        <v>0.26400000000000001</v>
      </c>
      <c r="G93" s="223">
        <f>Thuya!G88</f>
        <v>0</v>
      </c>
      <c r="H93" s="206">
        <f>IFERROR(VLOOKUP($B$85,Tableau14582[],4,FALSE)*(1+$L$9)^$B93,0)</f>
        <v>37</v>
      </c>
      <c r="I93" s="207">
        <f>IFERROR(VLOOKUP($B$85,Tableau14582[],5,FALSE)*(1+$L$9)^$B93,0)</f>
        <v>19.375</v>
      </c>
      <c r="J93" s="207">
        <f>IFERROR(VLOOKUP($B$85,Tableau14582[],5,FALSE)*(1+$L$9)^$B93,0)</f>
        <v>19.375</v>
      </c>
      <c r="K93" s="208">
        <f>IFERROR(VLOOKUP($B$85,Tableau14582[],6,FALSE)*(1+$L$9)^$B93,0)</f>
        <v>10</v>
      </c>
      <c r="L93" s="259">
        <f t="shared" si="19"/>
        <v>308.35332499999998</v>
      </c>
      <c r="N93" s="71">
        <v>72</v>
      </c>
      <c r="O93" s="235"/>
      <c r="P93" s="176"/>
      <c r="Q93" s="236">
        <f t="shared" si="20"/>
        <v>100.0025</v>
      </c>
      <c r="R93" s="176">
        <f t="shared" si="15"/>
        <v>7.0001750000000005</v>
      </c>
      <c r="S93" s="176">
        <f>$L$11*(1+$L$9)^N93*'Récapitulatif des résultats'!$I$11</f>
        <v>0</v>
      </c>
      <c r="T93" s="237"/>
      <c r="U93" s="176"/>
      <c r="V93" s="245">
        <f t="shared" si="16"/>
        <v>0</v>
      </c>
      <c r="W93" s="184">
        <f>SUM('Pin Sylvestre'!AQ77*'Pin Sylvestre'!$F$21,Douglas!AQ77*Douglas!$F$21,'Pin Maritime'!AQ77*'Pin Maritime'!$F$21,'Meleze Hybride'!AQ77*'Meleze Hybride'!$F$21,Thuya!AQ77*Thuya!$F$21,'Chêne et feuillus divers'!AQ77*'Chêne et feuillus divers'!$F$21)</f>
        <v>0</v>
      </c>
      <c r="X93" s="184">
        <f>SUM('Pin Sylvestre'!AR77*'Pin Sylvestre'!$F$21,Douglas!AR77*Douglas!$F$21,'Pin Maritime'!AR77*'Pin Maritime'!$F$21,'Meleze Hybride'!AR77*'Meleze Hybride'!$F$21,Thuya!AR77*Thuya!$F$21,'Chêne et feuillus divers'!AR77*'Chêne et feuillus divers'!$F$21)</f>
        <v>0</v>
      </c>
      <c r="Y93" s="184">
        <f>SUM('Pin Sylvestre'!AS77*'Pin Sylvestre'!$F$21,Douglas!AS77*Douglas!$F$21,'Pin Maritime'!AS77*'Pin Maritime'!$F$21,'Meleze Hybride'!AS77*'Meleze Hybride'!$F$21,Thuya!AS77*Thuya!$F$21,'Chêne et feuillus divers'!AS77*'Chêne et feuillus divers'!$F$21)</f>
        <v>0</v>
      </c>
      <c r="Z93" s="327">
        <f>SUM('Pin Sylvestre'!AT77*'Pin Sylvestre'!$F$21,Douglas!AT77*Douglas!$F$21,'Pin Maritime'!AT77*'Pin Maritime'!$F$21,'Meleze Hybride'!AT77*'Meleze Hybride'!$F$21,Thuya!AT77*Thuya!$F$21,'Chêne et feuillus divers'!AT77*'Chêne et feuillus divers'!$F$21)</f>
        <v>0</v>
      </c>
      <c r="AA93" s="174">
        <f t="shared" si="18"/>
        <v>0</v>
      </c>
      <c r="AB93" s="175">
        <f t="shared" si="17"/>
        <v>-4.4980235273207727</v>
      </c>
      <c r="AC93" s="174"/>
      <c r="AD93" s="174"/>
    </row>
    <row r="94" spans="2:30">
      <c r="B94" s="258">
        <f>Thuya!B89</f>
        <v>51</v>
      </c>
      <c r="C94" s="221">
        <f>Thuya!C89</f>
        <v>70</v>
      </c>
      <c r="D94" s="222">
        <f>Thuya!D89</f>
        <v>0.5</v>
      </c>
      <c r="E94" s="217">
        <f>Thuya!E89</f>
        <v>0.28000000000000003</v>
      </c>
      <c r="F94" s="217">
        <f>Thuya!F89</f>
        <v>0.22</v>
      </c>
      <c r="G94" s="223">
        <f>Thuya!G89</f>
        <v>0</v>
      </c>
      <c r="H94" s="206">
        <f>IFERROR(VLOOKUP($B$85,Tableau14582[],4,FALSE)*(1+$L$9)^$B94,0)</f>
        <v>37</v>
      </c>
      <c r="I94" s="207">
        <f>IFERROR(VLOOKUP($B$85,Tableau14582[],5,FALSE)*(1+$L$9)^$B94,0)</f>
        <v>19.375</v>
      </c>
      <c r="J94" s="207">
        <f>IFERROR(VLOOKUP($B$85,Tableau14582[],5,FALSE)*(1+$L$9)^$B94,0)</f>
        <v>19.375</v>
      </c>
      <c r="K94" s="208">
        <f>IFERROR(VLOOKUP($B$85,Tableau14582[],6,FALSE)*(1+$L$9)^$B94,0)</f>
        <v>10</v>
      </c>
      <c r="L94" s="259">
        <f t="shared" si="19"/>
        <v>328.91993749999995</v>
      </c>
      <c r="N94" s="71">
        <v>73</v>
      </c>
      <c r="O94" s="235"/>
      <c r="P94" s="176"/>
      <c r="Q94" s="236">
        <f t="shared" si="20"/>
        <v>100.0025</v>
      </c>
      <c r="R94" s="176">
        <f t="shared" si="15"/>
        <v>7.0001750000000005</v>
      </c>
      <c r="S94" s="176">
        <f>$L$11*(1+$L$9)^N94*'Récapitulatif des résultats'!$I$11</f>
        <v>0</v>
      </c>
      <c r="T94" s="237"/>
      <c r="U94" s="176"/>
      <c r="V94" s="245">
        <f t="shared" si="16"/>
        <v>0</v>
      </c>
      <c r="W94" s="184">
        <f>SUM('Pin Sylvestre'!AQ78*'Pin Sylvestre'!$F$21,Douglas!AQ78*Douglas!$F$21,'Pin Maritime'!AQ78*'Pin Maritime'!$F$21,'Meleze Hybride'!AQ78*'Meleze Hybride'!$F$21,Thuya!AQ78*Thuya!$F$21,'Chêne et feuillus divers'!AQ78*'Chêne et feuillus divers'!$F$21)</f>
        <v>0</v>
      </c>
      <c r="X94" s="184">
        <f>SUM('Pin Sylvestre'!AR78*'Pin Sylvestre'!$F$21,Douglas!AR78*Douglas!$F$21,'Pin Maritime'!AR78*'Pin Maritime'!$F$21,'Meleze Hybride'!AR78*'Meleze Hybride'!$F$21,Thuya!AR78*Thuya!$F$21,'Chêne et feuillus divers'!AR78*'Chêne et feuillus divers'!$F$21)</f>
        <v>0</v>
      </c>
      <c r="Y94" s="184">
        <f>SUM('Pin Sylvestre'!AS78*'Pin Sylvestre'!$F$21,Douglas!AS78*Douglas!$F$21,'Pin Maritime'!AS78*'Pin Maritime'!$F$21,'Meleze Hybride'!AS78*'Meleze Hybride'!$F$21,Thuya!AS78*Thuya!$F$21,'Chêne et feuillus divers'!AS78*'Chêne et feuillus divers'!$F$21)</f>
        <v>0</v>
      </c>
      <c r="Z94" s="327">
        <f>SUM('Pin Sylvestre'!AT78*'Pin Sylvestre'!$F$21,Douglas!AT78*Douglas!$F$21,'Pin Maritime'!AT78*'Pin Maritime'!$F$21,'Meleze Hybride'!AT78*'Meleze Hybride'!$F$21,Thuya!AT78*Thuya!$F$21,'Chêne et feuillus divers'!AT78*'Chêne et feuillus divers'!$F$21)</f>
        <v>0</v>
      </c>
      <c r="AA94" s="174">
        <f t="shared" si="18"/>
        <v>0</v>
      </c>
      <c r="AB94" s="175">
        <f t="shared" si="17"/>
        <v>-4.3043287342782515</v>
      </c>
      <c r="AC94" s="174"/>
      <c r="AD94" s="174"/>
    </row>
    <row r="95" spans="2:30">
      <c r="B95" s="258">
        <f>Thuya!B90</f>
        <v>56</v>
      </c>
      <c r="C95" s="221">
        <f>Thuya!C90</f>
        <v>63</v>
      </c>
      <c r="D95" s="222">
        <f>Thuya!D90</f>
        <v>0.6</v>
      </c>
      <c r="E95" s="217">
        <f>Thuya!E90</f>
        <v>0.22400000000000003</v>
      </c>
      <c r="F95" s="217">
        <f>Thuya!F90</f>
        <v>0.17600000000000002</v>
      </c>
      <c r="G95" s="223">
        <f>Thuya!G90</f>
        <v>0</v>
      </c>
      <c r="H95" s="206">
        <f>IFERROR(VLOOKUP($B$85,Tableau14582[],4,FALSE)*(1+$L$9)^$B95,0)</f>
        <v>37</v>
      </c>
      <c r="I95" s="207">
        <f>IFERROR(VLOOKUP($B$85,Tableau14582[],5,FALSE)*(1+$L$9)^$B95,0)</f>
        <v>19.375</v>
      </c>
      <c r="J95" s="207">
        <f>IFERROR(VLOOKUP($B$85,Tableau14582[],5,FALSE)*(1+$L$9)^$B95,0)</f>
        <v>19.375</v>
      </c>
      <c r="K95" s="208">
        <f>IFERROR(VLOOKUP($B$85,Tableau14582[],6,FALSE)*(1+$L$9)^$B95,0)</f>
        <v>10</v>
      </c>
      <c r="L95" s="259">
        <f t="shared" si="19"/>
        <v>314.53789499999993</v>
      </c>
      <c r="N95" s="71">
        <v>74</v>
      </c>
      <c r="O95" s="235"/>
      <c r="P95" s="176"/>
      <c r="Q95" s="236">
        <f t="shared" si="20"/>
        <v>100.0025</v>
      </c>
      <c r="R95" s="176">
        <f t="shared" si="15"/>
        <v>7.0001750000000005</v>
      </c>
      <c r="S95" s="176">
        <f>$L$11*(1+$L$9)^N95*'Récapitulatif des résultats'!$I$11</f>
        <v>0</v>
      </c>
      <c r="T95" s="237"/>
      <c r="U95" s="176"/>
      <c r="V95" s="245">
        <f t="shared" si="16"/>
        <v>0</v>
      </c>
      <c r="W95" s="184">
        <f>SUM('Pin Sylvestre'!AQ79*'Pin Sylvestre'!$F$21,Douglas!AQ79*Douglas!$F$21,'Pin Maritime'!AQ79*'Pin Maritime'!$F$21,'Meleze Hybride'!AQ79*'Meleze Hybride'!$F$21,Thuya!AQ79*Thuya!$F$21,'Chêne et feuillus divers'!AQ79*'Chêne et feuillus divers'!$F$21)</f>
        <v>0</v>
      </c>
      <c r="X95" s="184">
        <f>SUM('Pin Sylvestre'!AR79*'Pin Sylvestre'!$F$21,Douglas!AR79*Douglas!$F$21,'Pin Maritime'!AR79*'Pin Maritime'!$F$21,'Meleze Hybride'!AR79*'Meleze Hybride'!$F$21,Thuya!AR79*Thuya!$F$21,'Chêne et feuillus divers'!AR79*'Chêne et feuillus divers'!$F$21)</f>
        <v>0</v>
      </c>
      <c r="Y95" s="184">
        <f>SUM('Pin Sylvestre'!AS79*'Pin Sylvestre'!$F$21,Douglas!AS79*Douglas!$F$21,'Pin Maritime'!AS79*'Pin Maritime'!$F$21,'Meleze Hybride'!AS79*'Meleze Hybride'!$F$21,Thuya!AS79*Thuya!$F$21,'Chêne et feuillus divers'!AS79*'Chêne et feuillus divers'!$F$21)</f>
        <v>0</v>
      </c>
      <c r="Z95" s="327">
        <f>SUM('Pin Sylvestre'!AT79*'Pin Sylvestre'!$F$21,Douglas!AT79*Douglas!$F$21,'Pin Maritime'!AT79*'Pin Maritime'!$F$21,'Meleze Hybride'!AT79*'Meleze Hybride'!$F$21,Thuya!AT79*Thuya!$F$21,'Chêne et feuillus divers'!AT79*'Chêne et feuillus divers'!$F$21)</f>
        <v>0</v>
      </c>
      <c r="AA95" s="174">
        <f t="shared" si="18"/>
        <v>0</v>
      </c>
      <c r="AB95" s="175">
        <f t="shared" si="17"/>
        <v>-4.11897486533804</v>
      </c>
      <c r="AC95" s="174"/>
      <c r="AD95" s="174"/>
    </row>
    <row r="96" spans="2:30">
      <c r="B96" s="258">
        <f>Thuya!B91</f>
        <v>61</v>
      </c>
      <c r="C96" s="221">
        <f>Thuya!C91</f>
        <v>56</v>
      </c>
      <c r="D96" s="222">
        <f>Thuya!D91</f>
        <v>0.7</v>
      </c>
      <c r="E96" s="217">
        <f>Thuya!E91</f>
        <v>0.16800000000000004</v>
      </c>
      <c r="F96" s="217">
        <f>Thuya!F91</f>
        <v>0.13200000000000003</v>
      </c>
      <c r="G96" s="223">
        <f>Thuya!G91</f>
        <v>0</v>
      </c>
      <c r="H96" s="206">
        <f>IFERROR(VLOOKUP($B$85,Tableau14582[],4,FALSE)*(1+$L$9)^$B96,0)</f>
        <v>37</v>
      </c>
      <c r="I96" s="207">
        <f>IFERROR(VLOOKUP($B$85,Tableau14582[],5,FALSE)*(1+$L$9)^$B96,0)</f>
        <v>19.375</v>
      </c>
      <c r="J96" s="207">
        <f>IFERROR(VLOOKUP($B$85,Tableau14582[],5,FALSE)*(1+$L$9)^$B96,0)</f>
        <v>19.375</v>
      </c>
      <c r="K96" s="208">
        <f>IFERROR(VLOOKUP($B$85,Tableau14582[],6,FALSE)*(1+$L$9)^$B96,0)</f>
        <v>10</v>
      </c>
      <c r="L96" s="259">
        <f t="shared" si="19"/>
        <v>296.04252999999994</v>
      </c>
      <c r="N96" s="71">
        <v>75</v>
      </c>
      <c r="O96" s="235"/>
      <c r="P96" s="176"/>
      <c r="Q96" s="236">
        <f t="shared" si="20"/>
        <v>100.0025</v>
      </c>
      <c r="R96" s="176">
        <f t="shared" si="15"/>
        <v>7.0001750000000005</v>
      </c>
      <c r="S96" s="176">
        <f>$L$11*(1+$L$9)^N96*'Récapitulatif des résultats'!$I$11</f>
        <v>0</v>
      </c>
      <c r="T96" s="237"/>
      <c r="U96" s="176"/>
      <c r="V96" s="245">
        <f t="shared" si="16"/>
        <v>0</v>
      </c>
      <c r="W96" s="184">
        <f>SUM('Pin Sylvestre'!AQ80*'Pin Sylvestre'!$F$21,Douglas!AQ80*Douglas!$F$21,'Pin Maritime'!AQ80*'Pin Maritime'!$F$21,'Meleze Hybride'!AQ80*'Meleze Hybride'!$F$21,Thuya!AQ80*Thuya!$F$21,'Chêne et feuillus divers'!AQ80*'Chêne et feuillus divers'!$F$21)</f>
        <v>0</v>
      </c>
      <c r="X96" s="184">
        <f>SUM('Pin Sylvestre'!AR80*'Pin Sylvestre'!$F$21,Douglas!AR80*Douglas!$F$21,'Pin Maritime'!AR80*'Pin Maritime'!$F$21,'Meleze Hybride'!AR80*'Meleze Hybride'!$F$21,Thuya!AR80*Thuya!$F$21,'Chêne et feuillus divers'!AR80*'Chêne et feuillus divers'!$F$21)</f>
        <v>0</v>
      </c>
      <c r="Y96" s="184">
        <f>SUM('Pin Sylvestre'!AS80*'Pin Sylvestre'!$F$21,Douglas!AS80*Douglas!$F$21,'Pin Maritime'!AS80*'Pin Maritime'!$F$21,'Meleze Hybride'!AS80*'Meleze Hybride'!$F$21,Thuya!AS80*Thuya!$F$21,'Chêne et feuillus divers'!AS80*'Chêne et feuillus divers'!$F$21)</f>
        <v>0</v>
      </c>
      <c r="Z96" s="327">
        <f>SUM('Pin Sylvestre'!AT80*'Pin Sylvestre'!$F$21,Douglas!AT80*Douglas!$F$21,'Pin Maritime'!AT80*'Pin Maritime'!$F$21,'Meleze Hybride'!AT80*'Meleze Hybride'!$F$21,Thuya!AT80*Thuya!$F$21,'Chêne et feuillus divers'!AT80*'Chêne et feuillus divers'!$F$21)</f>
        <v>0</v>
      </c>
      <c r="AA96" s="174">
        <f t="shared" si="18"/>
        <v>0</v>
      </c>
      <c r="AB96" s="175">
        <f t="shared" si="17"/>
        <v>-3.9416027419502777</v>
      </c>
      <c r="AC96" s="174"/>
      <c r="AD96" s="174"/>
    </row>
    <row r="97" spans="2:30">
      <c r="B97" s="258">
        <f>Thuya!B92</f>
        <v>66</v>
      </c>
      <c r="C97" s="221">
        <f>Thuya!C92</f>
        <v>52</v>
      </c>
      <c r="D97" s="222">
        <f>Thuya!D92</f>
        <v>0.8</v>
      </c>
      <c r="E97" s="217">
        <f>Thuya!E92</f>
        <v>0.11199999999999999</v>
      </c>
      <c r="F97" s="217">
        <f>Thuya!F92</f>
        <v>8.7999999999999981E-2</v>
      </c>
      <c r="G97" s="223">
        <f>Thuya!G92</f>
        <v>0</v>
      </c>
      <c r="H97" s="206">
        <f>IFERROR(VLOOKUP($B$85,Tableau14582[],4,FALSE)*(1+$L$9)^$B97,0)</f>
        <v>37</v>
      </c>
      <c r="I97" s="207">
        <f>IFERROR(VLOOKUP($B$85,Tableau14582[],5,FALSE)*(1+$L$9)^$B97,0)</f>
        <v>19.375</v>
      </c>
      <c r="J97" s="207">
        <f>IFERROR(VLOOKUP($B$85,Tableau14582[],5,FALSE)*(1+$L$9)^$B97,0)</f>
        <v>19.375</v>
      </c>
      <c r="K97" s="208">
        <f>IFERROR(VLOOKUP($B$85,Tableau14582[],6,FALSE)*(1+$L$9)^$B97,0)</f>
        <v>10</v>
      </c>
      <c r="L97" s="259">
        <f t="shared" si="19"/>
        <v>290.17469</v>
      </c>
      <c r="N97" s="71">
        <v>76</v>
      </c>
      <c r="O97" s="235"/>
      <c r="P97" s="176"/>
      <c r="Q97" s="236">
        <f t="shared" si="20"/>
        <v>100.0025</v>
      </c>
      <c r="R97" s="176">
        <f t="shared" si="15"/>
        <v>7.0001750000000005</v>
      </c>
      <c r="S97" s="176">
        <f>$L$11*(1+$L$9)^N97*'Récapitulatif des résultats'!$I$11</f>
        <v>0</v>
      </c>
      <c r="T97" s="237"/>
      <c r="U97" s="176"/>
      <c r="V97" s="245">
        <f t="shared" si="16"/>
        <v>35.999099999999999</v>
      </c>
      <c r="W97" s="184">
        <f>SUM('Pin Sylvestre'!AQ81*'Pin Sylvestre'!$F$21,Douglas!AQ81*Douglas!$F$21,'Pin Maritime'!AQ81*'Pin Maritime'!$F$21,'Meleze Hybride'!AQ81*'Meleze Hybride'!$F$21,Thuya!AQ81*Thuya!$F$21,'Chêne et feuillus divers'!AQ81*'Chêne et feuillus divers'!$F$21)</f>
        <v>17.999549999999999</v>
      </c>
      <c r="X97" s="184">
        <f>SUM('Pin Sylvestre'!AR81*'Pin Sylvestre'!$F$21,Douglas!AR81*Douglas!$F$21,'Pin Maritime'!AR81*'Pin Maritime'!$F$21,'Meleze Hybride'!AR81*'Meleze Hybride'!$F$21,Thuya!AR81*Thuya!$F$21,'Chêne et feuillus divers'!AR81*'Chêne et feuillus divers'!$F$21)</f>
        <v>10.079748</v>
      </c>
      <c r="Y97" s="184">
        <f>SUM('Pin Sylvestre'!AS81*'Pin Sylvestre'!$F$21,Douglas!AS81*Douglas!$F$21,'Pin Maritime'!AS81*'Pin Maritime'!$F$21,'Meleze Hybride'!AS81*'Meleze Hybride'!$F$21,Thuya!AS81*Thuya!$F$21,'Chêne et feuillus divers'!AS81*'Chêne et feuillus divers'!$F$21)</f>
        <v>7.9198019999999998</v>
      </c>
      <c r="Z97" s="327">
        <f>SUM('Pin Sylvestre'!AT81*'Pin Sylvestre'!$F$21,Douglas!AT81*Douglas!$F$21,'Pin Maritime'!AT81*'Pin Maritime'!$F$21,'Meleze Hybride'!AT81*'Meleze Hybride'!$F$21,Thuya!AT81*Thuya!$F$21,'Chêne et feuillus divers'!AT81*'Chêne et feuillus divers'!$F$21)</f>
        <v>0</v>
      </c>
      <c r="AA97" s="174">
        <f t="shared" si="18"/>
        <v>5124</v>
      </c>
      <c r="AB97" s="175">
        <f t="shared" si="17"/>
        <v>176.85029781045452</v>
      </c>
      <c r="AC97" s="174"/>
      <c r="AD97" s="174"/>
    </row>
    <row r="98" spans="2:30">
      <c r="B98" s="258">
        <f>Thuya!B93</f>
        <v>71</v>
      </c>
      <c r="C98" s="221">
        <f>Thuya!C93</f>
        <v>49</v>
      </c>
      <c r="D98" s="222">
        <f>Thuya!D93</f>
        <v>0.9</v>
      </c>
      <c r="E98" s="217">
        <f>Thuya!E93</f>
        <v>5.5999999999999994E-2</v>
      </c>
      <c r="F98" s="217">
        <f>Thuya!F93</f>
        <v>4.3999999999999991E-2</v>
      </c>
      <c r="G98" s="223">
        <f>Thuya!G93</f>
        <v>0</v>
      </c>
      <c r="H98" s="206">
        <f>IFERROR(VLOOKUP($B$85,Tableau14582[],4,FALSE)*(1+$L$9)^$B98,0)</f>
        <v>37</v>
      </c>
      <c r="I98" s="207">
        <f>IFERROR(VLOOKUP($B$85,Tableau14582[],5,FALSE)*(1+$L$9)^$B98,0)</f>
        <v>19.375</v>
      </c>
      <c r="J98" s="207">
        <f>IFERROR(VLOOKUP($B$85,Tableau14582[],5,FALSE)*(1+$L$9)^$B98,0)</f>
        <v>19.375</v>
      </c>
      <c r="K98" s="208">
        <f>IFERROR(VLOOKUP($B$85,Tableau14582[],6,FALSE)*(1+$L$9)^$B98,0)</f>
        <v>10</v>
      </c>
      <c r="L98" s="259">
        <f t="shared" si="19"/>
        <v>287.83047124999996</v>
      </c>
      <c r="N98" s="71">
        <v>77</v>
      </c>
      <c r="O98" s="235"/>
      <c r="P98" s="176"/>
      <c r="Q98" s="236">
        <f t="shared" si="20"/>
        <v>100.0025</v>
      </c>
      <c r="R98" s="176">
        <f t="shared" si="15"/>
        <v>7.0001750000000005</v>
      </c>
      <c r="S98" s="176">
        <f>$L$11*(1+$L$9)^N98*'Récapitulatif des résultats'!$I$11</f>
        <v>0</v>
      </c>
      <c r="T98" s="237"/>
      <c r="U98" s="176"/>
      <c r="V98" s="245">
        <f t="shared" si="16"/>
        <v>0</v>
      </c>
      <c r="W98" s="184">
        <f>SUM('Pin Sylvestre'!AQ82*'Pin Sylvestre'!$F$21,Douglas!AQ82*Douglas!$F$21,'Pin Maritime'!AQ82*'Pin Maritime'!$F$21,'Meleze Hybride'!AQ82*'Meleze Hybride'!$F$21,Thuya!AQ82*Thuya!$F$21,'Chêne et feuillus divers'!AQ82*'Chêne et feuillus divers'!$F$21)</f>
        <v>0</v>
      </c>
      <c r="X98" s="184">
        <f>SUM('Pin Sylvestre'!AR82*'Pin Sylvestre'!$F$21,Douglas!AR82*Douglas!$F$21,'Pin Maritime'!AR82*'Pin Maritime'!$F$21,'Meleze Hybride'!AR82*'Meleze Hybride'!$F$21,Thuya!AR82*Thuya!$F$21,'Chêne et feuillus divers'!AR82*'Chêne et feuillus divers'!$F$21)</f>
        <v>0</v>
      </c>
      <c r="Y98" s="184">
        <f>SUM('Pin Sylvestre'!AS82*'Pin Sylvestre'!$F$21,Douglas!AS82*Douglas!$F$21,'Pin Maritime'!AS82*'Pin Maritime'!$F$21,'Meleze Hybride'!AS82*'Meleze Hybride'!$F$21,Thuya!AS82*Thuya!$F$21,'Chêne et feuillus divers'!AS82*'Chêne et feuillus divers'!$F$21)</f>
        <v>0</v>
      </c>
      <c r="Z98" s="327">
        <f>SUM('Pin Sylvestre'!AT82*'Pin Sylvestre'!$F$21,Douglas!AT82*Douglas!$F$21,'Pin Maritime'!AT82*'Pin Maritime'!$F$21,'Meleze Hybride'!AT82*'Meleze Hybride'!$F$21,Thuya!AT82*Thuya!$F$21,'Chêne et feuillus divers'!AT82*'Chêne et feuillus divers'!$F$21)</f>
        <v>0</v>
      </c>
      <c r="AA98" s="174">
        <f t="shared" si="18"/>
        <v>0</v>
      </c>
      <c r="AB98" s="175">
        <f t="shared" si="17"/>
        <v>-3.6094436866832527</v>
      </c>
      <c r="AC98" s="174"/>
      <c r="AD98" s="174"/>
    </row>
    <row r="99" spans="2:30">
      <c r="B99" s="260">
        <f>Thuya!B94</f>
        <v>80</v>
      </c>
      <c r="C99" s="224">
        <f>Thuya!C94</f>
        <v>840</v>
      </c>
      <c r="D99" s="218">
        <f>Thuya!D94</f>
        <v>0.95</v>
      </c>
      <c r="E99" s="230">
        <f>Thuya!E94</f>
        <v>2.8000000000000028E-2</v>
      </c>
      <c r="F99" s="230">
        <f>Thuya!F94</f>
        <v>2.200000000000002E-2</v>
      </c>
      <c r="G99" s="225">
        <f>Thuya!G94</f>
        <v>0</v>
      </c>
      <c r="H99" s="209">
        <f>IFERROR(VLOOKUP($B$85,Tableau14582[],4,FALSE)*(1+$L$9)^$B99,0)</f>
        <v>37</v>
      </c>
      <c r="I99" s="210">
        <f>IFERROR(VLOOKUP($B$85,Tableau14582[],5,FALSE)*(1+$L$9)^$B99,0)</f>
        <v>19.375</v>
      </c>
      <c r="J99" s="210">
        <f>IFERROR(VLOOKUP($B$85,Tableau14582[],5,FALSE)*(1+$L$9)^$B99,0)</f>
        <v>19.375</v>
      </c>
      <c r="K99" s="211">
        <f>IFERROR(VLOOKUP($B$85,Tableau14582[],6,FALSE)*(1+$L$9)^$B99,0)</f>
        <v>10</v>
      </c>
      <c r="L99" s="261">
        <f t="shared" si="19"/>
        <v>5057.6363249999995</v>
      </c>
      <c r="N99" s="71">
        <v>78</v>
      </c>
      <c r="O99" s="235"/>
      <c r="P99" s="176"/>
      <c r="Q99" s="236">
        <f t="shared" si="20"/>
        <v>100.0025</v>
      </c>
      <c r="R99" s="176">
        <f t="shared" si="15"/>
        <v>7.0001750000000005</v>
      </c>
      <c r="S99" s="176">
        <f>$L$11*(1+$L$9)^N99*'Récapitulatif des résultats'!$I$11</f>
        <v>0</v>
      </c>
      <c r="T99" s="237"/>
      <c r="U99" s="176"/>
      <c r="V99" s="245">
        <f t="shared" si="16"/>
        <v>0</v>
      </c>
      <c r="W99" s="184">
        <f>SUM('Pin Sylvestre'!AQ83*'Pin Sylvestre'!$F$21,Douglas!AQ83*Douglas!$F$21,'Pin Maritime'!AQ83*'Pin Maritime'!$F$21,'Meleze Hybride'!AQ83*'Meleze Hybride'!$F$21,Thuya!AQ83*Thuya!$F$21,'Chêne et feuillus divers'!AQ83*'Chêne et feuillus divers'!$F$21)</f>
        <v>0</v>
      </c>
      <c r="X99" s="184">
        <f>SUM('Pin Sylvestre'!AR83*'Pin Sylvestre'!$F$21,Douglas!AR83*Douglas!$F$21,'Pin Maritime'!AR83*'Pin Maritime'!$F$21,'Meleze Hybride'!AR83*'Meleze Hybride'!$F$21,Thuya!AR83*Thuya!$F$21,'Chêne et feuillus divers'!AR83*'Chêne et feuillus divers'!$F$21)</f>
        <v>0</v>
      </c>
      <c r="Y99" s="184">
        <f>SUM('Pin Sylvestre'!AS83*'Pin Sylvestre'!$F$21,Douglas!AS83*Douglas!$F$21,'Pin Maritime'!AS83*'Pin Maritime'!$F$21,'Meleze Hybride'!AS83*'Meleze Hybride'!$F$21,Thuya!AS83*Thuya!$F$21,'Chêne et feuillus divers'!AS83*'Chêne et feuillus divers'!$F$21)</f>
        <v>0</v>
      </c>
      <c r="Z99" s="327">
        <f>SUM('Pin Sylvestre'!AT83*'Pin Sylvestre'!$F$21,Douglas!AT83*Douglas!$F$21,'Pin Maritime'!AT83*'Pin Maritime'!$F$21,'Meleze Hybride'!AT83*'Meleze Hybride'!$F$21,Thuya!AT83*Thuya!$F$21,'Chêne et feuillus divers'!AT83*'Chêne et feuillus divers'!$F$21)</f>
        <v>0</v>
      </c>
      <c r="AA99" s="174">
        <f t="shared" si="18"/>
        <v>0</v>
      </c>
      <c r="AB99" s="175">
        <f t="shared" si="17"/>
        <v>-3.4540130973045486</v>
      </c>
      <c r="AC99" s="174"/>
      <c r="AD99" s="174"/>
    </row>
    <row r="100" spans="2:30">
      <c r="B100" s="262"/>
      <c r="C100" s="263"/>
      <c r="D100" s="263"/>
      <c r="E100" s="263"/>
      <c r="F100" s="263"/>
      <c r="G100" s="263"/>
      <c r="H100" s="263"/>
      <c r="I100" s="263"/>
      <c r="J100" s="263"/>
      <c r="K100" s="263"/>
      <c r="L100" s="264"/>
      <c r="N100" s="71">
        <v>79</v>
      </c>
      <c r="O100" s="235"/>
      <c r="P100" s="176"/>
      <c r="Q100" s="236">
        <f t="shared" si="20"/>
        <v>100.0025</v>
      </c>
      <c r="R100" s="176">
        <f t="shared" si="15"/>
        <v>7.0001750000000005</v>
      </c>
      <c r="S100" s="176">
        <f>$L$11*(1+$L$9)^N100*'Récapitulatif des résultats'!$I$11</f>
        <v>0</v>
      </c>
      <c r="T100" s="237"/>
      <c r="U100" s="176"/>
      <c r="V100" s="245">
        <f t="shared" si="16"/>
        <v>0</v>
      </c>
      <c r="W100" s="184">
        <f>SUM('Pin Sylvestre'!AQ84*'Pin Sylvestre'!$F$21,Douglas!AQ84*Douglas!$F$21,'Pin Maritime'!AQ84*'Pin Maritime'!$F$21,'Meleze Hybride'!AQ84*'Meleze Hybride'!$F$21,Thuya!AQ84*Thuya!$F$21,'Chêne et feuillus divers'!AQ84*'Chêne et feuillus divers'!$F$21)</f>
        <v>0</v>
      </c>
      <c r="X100" s="184">
        <f>SUM('Pin Sylvestre'!AR84*'Pin Sylvestre'!$F$21,Douglas!AR84*Douglas!$F$21,'Pin Maritime'!AR84*'Pin Maritime'!$F$21,'Meleze Hybride'!AR84*'Meleze Hybride'!$F$21,Thuya!AR84*Thuya!$F$21,'Chêne et feuillus divers'!AR84*'Chêne et feuillus divers'!$F$21)</f>
        <v>0</v>
      </c>
      <c r="Y100" s="184">
        <f>SUM('Pin Sylvestre'!AS84*'Pin Sylvestre'!$F$21,Douglas!AS84*Douglas!$F$21,'Pin Maritime'!AS84*'Pin Maritime'!$F$21,'Meleze Hybride'!AS84*'Meleze Hybride'!$F$21,Thuya!AS84*Thuya!$F$21,'Chêne et feuillus divers'!AS84*'Chêne et feuillus divers'!$F$21)</f>
        <v>0</v>
      </c>
      <c r="Z100" s="327">
        <f>SUM('Pin Sylvestre'!AT84*'Pin Sylvestre'!$F$21,Douglas!AT84*Douglas!$F$21,'Pin Maritime'!AT84*'Pin Maritime'!$F$21,'Meleze Hybride'!AT84*'Meleze Hybride'!$F$21,Thuya!AT84*Thuya!$F$21,'Chêne et feuillus divers'!AT84*'Chêne et feuillus divers'!$F$21)</f>
        <v>0</v>
      </c>
      <c r="AA100" s="174">
        <f t="shared" si="18"/>
        <v>0</v>
      </c>
      <c r="AB100" s="175">
        <f t="shared" si="17"/>
        <v>-3.3052756912005248</v>
      </c>
      <c r="AC100" s="174"/>
      <c r="AD100" s="174"/>
    </row>
    <row r="101" spans="2:30">
      <c r="B101" s="410" t="str">
        <f>'Chêne et feuillus divers'!F17</f>
        <v xml:space="preserve">Chêne rouvre (sessile) </v>
      </c>
      <c r="C101" s="411">
        <f>'Chêne et feuillus divers'!C80</f>
        <v>0</v>
      </c>
      <c r="D101" s="411">
        <f>'Chêne et feuillus divers'!D80</f>
        <v>0</v>
      </c>
      <c r="E101" s="411">
        <f>'Chêne et feuillus divers'!E80</f>
        <v>0</v>
      </c>
      <c r="F101" s="411">
        <f>'Chêne et feuillus divers'!F80</f>
        <v>0</v>
      </c>
      <c r="G101" s="412">
        <f>'Chêne et feuillus divers'!G80</f>
        <v>0</v>
      </c>
      <c r="H101" s="396" t="s">
        <v>248</v>
      </c>
      <c r="I101" s="397"/>
      <c r="J101" s="397"/>
      <c r="K101" s="398"/>
      <c r="L101" s="253">
        <f>AD5</f>
        <v>2</v>
      </c>
      <c r="N101" s="71">
        <v>80</v>
      </c>
      <c r="O101" s="235"/>
      <c r="P101" s="176"/>
      <c r="Q101" s="236">
        <f t="shared" si="20"/>
        <v>100.0025</v>
      </c>
      <c r="R101" s="176">
        <f t="shared" si="15"/>
        <v>7.0001750000000005</v>
      </c>
      <c r="S101" s="176">
        <f>$L$11*(1+$L$9)^N101*'Récapitulatif des résultats'!$I$11</f>
        <v>0</v>
      </c>
      <c r="T101" s="237"/>
      <c r="U101" s="176"/>
      <c r="V101" s="245">
        <f t="shared" si="16"/>
        <v>762.69139999999993</v>
      </c>
      <c r="W101" s="184">
        <f>SUM('Pin Sylvestre'!AQ85*'Pin Sylvestre'!$F$21,Douglas!AQ85*Douglas!$F$21,'Pin Maritime'!AQ85*'Pin Maritime'!$F$21,'Meleze Hybride'!AQ85*'Meleze Hybride'!$F$21,Thuya!AQ85*Thuya!$F$21,'Chêne et feuillus divers'!AQ85*'Chêne et feuillus divers'!$F$21)</f>
        <v>696.15753999999993</v>
      </c>
      <c r="X101" s="184">
        <f>SUM('Pin Sylvestre'!AR85*'Pin Sylvestre'!$F$21,Douglas!AR85*Douglas!$F$21,'Pin Maritime'!AR85*'Pin Maritime'!$F$21,'Meleze Hybride'!AR85*'Meleze Hybride'!$F$21,Thuya!AR85*Thuya!$F$21,'Chêne et feuillus divers'!AR85*'Chêne et feuillus divers'!$F$21)</f>
        <v>37.258961599999999</v>
      </c>
      <c r="Y101" s="184">
        <f>SUM('Pin Sylvestre'!AS85*'Pin Sylvestre'!$F$21,Douglas!AS85*Douglas!$F$21,'Pin Maritime'!AS85*'Pin Maritime'!$F$21,'Meleze Hybride'!AS85*'Meleze Hybride'!$F$21,Thuya!AS85*Thuya!$F$21,'Chêne et feuillus divers'!AS85*'Chêne et feuillus divers'!$F$21)</f>
        <v>29.274898399999998</v>
      </c>
      <c r="Z101" s="327">
        <f>SUM('Pin Sylvestre'!AT85*'Pin Sylvestre'!$F$21,Douglas!AT85*Douglas!$F$21,'Pin Maritime'!AT85*'Pin Maritime'!$F$21,'Meleze Hybride'!AT85*'Meleze Hybride'!$F$21,Thuya!AT85*Thuya!$F$21,'Chêne et feuillus divers'!AT85*'Chêne et feuillus divers'!$F$21)</f>
        <v>0</v>
      </c>
      <c r="AA101" s="174">
        <f t="shared" si="18"/>
        <v>34325.091172499997</v>
      </c>
      <c r="AB101" s="175">
        <f t="shared" si="17"/>
        <v>1011.4688429586207</v>
      </c>
      <c r="AC101" s="174"/>
      <c r="AD101" s="174"/>
    </row>
    <row r="102" spans="2:30">
      <c r="B102" s="265" t="str">
        <f>'Chêne et feuillus divers'!B81</f>
        <v>Année</v>
      </c>
      <c r="C102" s="226" t="str">
        <f>'Chêne et feuillus divers'!C81</f>
        <v>Volume d'éclaircie</v>
      </c>
      <c r="D102" s="213" t="str">
        <f>'Chêne et feuillus divers'!D81</f>
        <v>BO</v>
      </c>
      <c r="E102" s="213" t="str">
        <f>'Chêne et feuillus divers'!E81</f>
        <v>BI - panneaux</v>
      </c>
      <c r="F102" s="213" t="str">
        <f>'Chêne et feuillus divers'!F81</f>
        <v>BI - papier</v>
      </c>
      <c r="G102" s="214" t="str">
        <f>'Chêne et feuillus divers'!G81</f>
        <v>BE</v>
      </c>
      <c r="H102" s="212" t="s">
        <v>78</v>
      </c>
      <c r="I102" s="213" t="s">
        <v>81</v>
      </c>
      <c r="J102" s="213" t="s">
        <v>80</v>
      </c>
      <c r="K102" s="214" t="s">
        <v>79</v>
      </c>
      <c r="L102" s="255" t="s">
        <v>252</v>
      </c>
      <c r="N102" s="71">
        <v>81</v>
      </c>
      <c r="O102" s="235"/>
      <c r="P102" s="176"/>
      <c r="Q102" s="236">
        <f t="shared" si="20"/>
        <v>100.0025</v>
      </c>
      <c r="R102" s="176">
        <f t="shared" si="15"/>
        <v>7.0001750000000005</v>
      </c>
      <c r="S102" s="176">
        <f>$L$11*(1+$L$9)^N102*'Récapitulatif des résultats'!$I$11</f>
        <v>0</v>
      </c>
      <c r="T102" s="237"/>
      <c r="U102" s="176"/>
      <c r="V102" s="245">
        <f t="shared" si="16"/>
        <v>0</v>
      </c>
      <c r="W102" s="184">
        <f>SUM('Pin Sylvestre'!AQ86*'Pin Sylvestre'!$F$21,Douglas!AQ86*Douglas!$F$21,'Pin Maritime'!AQ86*'Pin Maritime'!$F$21,'Meleze Hybride'!AQ86*'Meleze Hybride'!$F$21,Thuya!AQ86*Thuya!$F$21,'Chêne et feuillus divers'!AQ86*'Chêne et feuillus divers'!$F$21)</f>
        <v>0</v>
      </c>
      <c r="X102" s="184">
        <f>SUM('Pin Sylvestre'!AR86*'Pin Sylvestre'!$F$21,Douglas!AR86*Douglas!$F$21,'Pin Maritime'!AR86*'Pin Maritime'!$F$21,'Meleze Hybride'!AR86*'Meleze Hybride'!$F$21,Thuya!AR86*Thuya!$F$21,'Chêne et feuillus divers'!AR86*'Chêne et feuillus divers'!$F$21)</f>
        <v>0</v>
      </c>
      <c r="Y102" s="184">
        <f>SUM('Pin Sylvestre'!AS86*'Pin Sylvestre'!$F$21,Douglas!AS86*Douglas!$F$21,'Pin Maritime'!AS86*'Pin Maritime'!$F$21,'Meleze Hybride'!AS86*'Meleze Hybride'!$F$21,Thuya!AS86*Thuya!$F$21,'Chêne et feuillus divers'!AS86*'Chêne et feuillus divers'!$F$21)</f>
        <v>0</v>
      </c>
      <c r="Z102" s="327">
        <f>SUM('Pin Sylvestre'!AT86*'Pin Sylvestre'!$F$21,Douglas!AT86*Douglas!$F$21,'Pin Maritime'!AT86*'Pin Maritime'!$F$21,'Meleze Hybride'!AT86*'Meleze Hybride'!$F$21,Thuya!AT86*Thuya!$F$21,'Chêne et feuillus divers'!AT86*'Chêne et feuillus divers'!$F$21)</f>
        <v>0</v>
      </c>
      <c r="AA102" s="174">
        <f t="shared" si="18"/>
        <v>0</v>
      </c>
      <c r="AB102" s="175">
        <f t="shared" si="17"/>
        <v>-3.0267399475291556</v>
      </c>
      <c r="AC102" s="174"/>
      <c r="AD102" s="174"/>
    </row>
    <row r="103" spans="2:30">
      <c r="B103" s="266">
        <f>'Chêne et feuillus divers'!B82</f>
        <v>21</v>
      </c>
      <c r="C103" s="219">
        <f>'Chêne et feuillus divers'!C82</f>
        <v>0</v>
      </c>
      <c r="D103" s="216">
        <f>'Chêne et feuillus divers'!D82</f>
        <v>0</v>
      </c>
      <c r="E103" s="216">
        <f>'Chêne et feuillus divers'!E82</f>
        <v>0</v>
      </c>
      <c r="F103" s="216">
        <f>'Chêne et feuillus divers'!F82</f>
        <v>0</v>
      </c>
      <c r="G103" s="220">
        <f>'Chêne et feuillus divers'!G82</f>
        <v>1</v>
      </c>
      <c r="H103" s="206">
        <f>IFERROR(VLOOKUP($B$101,Tableau14582[],4,FALSE)*(1+$L$9)^$B103,0)</f>
        <v>150</v>
      </c>
      <c r="I103" s="207">
        <f>IFERROR(VLOOKUP($B$101,Tableau14582[],5,FALSE)*(1+$L$9)^$B103,0)</f>
        <v>13.75</v>
      </c>
      <c r="J103" s="207">
        <f>IFERROR(VLOOKUP($B$101,Tableau14582[],5,FALSE)*(1+$L$9)^$B103,0)</f>
        <v>13.75</v>
      </c>
      <c r="K103" s="208">
        <f>IFERROR(VLOOKUP($B$101,Tableau14582[],6,FALSE)*(1+$L$9)^$B103,0)</f>
        <v>10</v>
      </c>
      <c r="L103" s="257">
        <f>(C103*D103*H103+C103*E103*I103+C103*F103*J103+C103*G103*K103)*L$101</f>
        <v>0</v>
      </c>
      <c r="N103" s="71">
        <v>82</v>
      </c>
      <c r="O103" s="235"/>
      <c r="P103" s="176"/>
      <c r="Q103" s="236">
        <f t="shared" si="20"/>
        <v>100.0025</v>
      </c>
      <c r="R103" s="176">
        <f t="shared" si="15"/>
        <v>7.0001750000000005</v>
      </c>
      <c r="S103" s="176">
        <f>$L$11*(1+$L$9)^N103*'Récapitulatif des résultats'!$I$11</f>
        <v>0</v>
      </c>
      <c r="T103" s="237"/>
      <c r="U103" s="176"/>
      <c r="V103" s="245">
        <f t="shared" si="16"/>
        <v>0</v>
      </c>
      <c r="W103" s="184">
        <f>SUM('Pin Sylvestre'!AQ87*'Pin Sylvestre'!$F$21,Douglas!AQ87*Douglas!$F$21,'Pin Maritime'!AQ87*'Pin Maritime'!$F$21,'Meleze Hybride'!AQ87*'Meleze Hybride'!$F$21,Thuya!AQ87*Thuya!$F$21,'Chêne et feuillus divers'!AQ87*'Chêne et feuillus divers'!$F$21)</f>
        <v>0</v>
      </c>
      <c r="X103" s="184">
        <f>SUM('Pin Sylvestre'!AR87*'Pin Sylvestre'!$F$21,Douglas!AR87*Douglas!$F$21,'Pin Maritime'!AR87*'Pin Maritime'!$F$21,'Meleze Hybride'!AR87*'Meleze Hybride'!$F$21,Thuya!AR87*Thuya!$F$21,'Chêne et feuillus divers'!AR87*'Chêne et feuillus divers'!$F$21)</f>
        <v>0</v>
      </c>
      <c r="Y103" s="184">
        <f>SUM('Pin Sylvestre'!AS87*'Pin Sylvestre'!$F$21,Douglas!AS87*Douglas!$F$21,'Pin Maritime'!AS87*'Pin Maritime'!$F$21,'Meleze Hybride'!AS87*'Meleze Hybride'!$F$21,Thuya!AS87*Thuya!$F$21,'Chêne et feuillus divers'!AS87*'Chêne et feuillus divers'!$F$21)</f>
        <v>0</v>
      </c>
      <c r="Z103" s="327">
        <f>SUM('Pin Sylvestre'!AT87*'Pin Sylvestre'!$F$21,Douglas!AT87*Douglas!$F$21,'Pin Maritime'!AT87*'Pin Maritime'!$F$21,'Meleze Hybride'!AT87*'Meleze Hybride'!$F$21,Thuya!AT87*Thuya!$F$21,'Chêne et feuillus divers'!AT87*'Chêne et feuillus divers'!$F$21)</f>
        <v>0</v>
      </c>
      <c r="AA103" s="174">
        <f t="shared" si="18"/>
        <v>0</v>
      </c>
      <c r="AB103" s="175">
        <f t="shared" si="17"/>
        <v>-2.8964018636642641</v>
      </c>
      <c r="AC103" s="174"/>
      <c r="AD103" s="174"/>
    </row>
    <row r="104" spans="2:30">
      <c r="B104" s="267">
        <f>'Chêne et feuillus divers'!B83</f>
        <v>26</v>
      </c>
      <c r="C104" s="221">
        <f>'Chêne et feuillus divers'!C83</f>
        <v>8</v>
      </c>
      <c r="D104" s="222">
        <f>'Chêne et feuillus divers'!D83</f>
        <v>0</v>
      </c>
      <c r="E104" s="217">
        <f>'Chêne et feuillus divers'!E83</f>
        <v>0</v>
      </c>
      <c r="F104" s="217">
        <f>'Chêne et feuillus divers'!F83</f>
        <v>0</v>
      </c>
      <c r="G104" s="223">
        <f>'Chêne et feuillus divers'!G83</f>
        <v>1</v>
      </c>
      <c r="H104" s="206">
        <f>IFERROR(VLOOKUP($B$101,Tableau14582[],4,FALSE)*(1+$L$9)^$B104,0)</f>
        <v>150</v>
      </c>
      <c r="I104" s="207">
        <f>IFERROR(VLOOKUP($B$101,Tableau14582[],5,FALSE)*(1+$L$9)^$B104,0)</f>
        <v>13.75</v>
      </c>
      <c r="J104" s="207">
        <f>IFERROR(VLOOKUP($B$101,Tableau14582[],5,FALSE)*(1+$L$9)^$B104,0)</f>
        <v>13.75</v>
      </c>
      <c r="K104" s="208">
        <f>IFERROR(VLOOKUP($B$101,Tableau14582[],6,FALSE)*(1+$L$9)^$B104,0)</f>
        <v>10</v>
      </c>
      <c r="L104" s="259">
        <f t="shared" ref="L104:L115" si="21">(C104*D104*H104+C104*E104*I104+C104*F104*J104+C104*G104*K104)*L$101</f>
        <v>160</v>
      </c>
      <c r="N104" s="71">
        <v>83</v>
      </c>
      <c r="O104" s="235"/>
      <c r="P104" s="176"/>
      <c r="Q104" s="236">
        <f t="shared" si="20"/>
        <v>100.0025</v>
      </c>
      <c r="R104" s="176">
        <f t="shared" si="15"/>
        <v>7.0001750000000005</v>
      </c>
      <c r="S104" s="176">
        <f>$L$11*(1+$L$9)^N104*'Récapitulatif des résultats'!$I$11</f>
        <v>0</v>
      </c>
      <c r="T104" s="237"/>
      <c r="U104" s="176"/>
      <c r="V104" s="245">
        <f t="shared" si="16"/>
        <v>0</v>
      </c>
      <c r="W104" s="184">
        <f>SUM('Pin Sylvestre'!AQ88*'Pin Sylvestre'!$F$21,Douglas!AQ88*Douglas!$F$21,'Pin Maritime'!AQ88*'Pin Maritime'!$F$21,'Meleze Hybride'!AQ88*'Meleze Hybride'!$F$21,Thuya!AQ88*Thuya!$F$21,'Chêne et feuillus divers'!AQ88*'Chêne et feuillus divers'!$F$21)</f>
        <v>0</v>
      </c>
      <c r="X104" s="184">
        <f>SUM('Pin Sylvestre'!AR88*'Pin Sylvestre'!$F$21,Douglas!AR88*Douglas!$F$21,'Pin Maritime'!AR88*'Pin Maritime'!$F$21,'Meleze Hybride'!AR88*'Meleze Hybride'!$F$21,Thuya!AR88*Thuya!$F$21,'Chêne et feuillus divers'!AR88*'Chêne et feuillus divers'!$F$21)</f>
        <v>0</v>
      </c>
      <c r="Y104" s="184">
        <f>SUM('Pin Sylvestre'!AS88*'Pin Sylvestre'!$F$21,Douglas!AS88*Douglas!$F$21,'Pin Maritime'!AS88*'Pin Maritime'!$F$21,'Meleze Hybride'!AS88*'Meleze Hybride'!$F$21,Thuya!AS88*Thuya!$F$21,'Chêne et feuillus divers'!AS88*'Chêne et feuillus divers'!$F$21)</f>
        <v>0</v>
      </c>
      <c r="Z104" s="327">
        <f>SUM('Pin Sylvestre'!AT88*'Pin Sylvestre'!$F$21,Douglas!AT88*Douglas!$F$21,'Pin Maritime'!AT88*'Pin Maritime'!$F$21,'Meleze Hybride'!AT88*'Meleze Hybride'!$F$21,Thuya!AT88*Thuya!$F$21,'Chêne et feuillus divers'!AT88*'Chêne et feuillus divers'!$F$21)</f>
        <v>0</v>
      </c>
      <c r="AA104" s="174">
        <f t="shared" si="18"/>
        <v>0</v>
      </c>
      <c r="AB104" s="175">
        <f t="shared" si="17"/>
        <v>-2.771676424559105</v>
      </c>
      <c r="AC104" s="174"/>
      <c r="AD104" s="174"/>
    </row>
    <row r="105" spans="2:30">
      <c r="B105" s="267">
        <f>'Chêne et feuillus divers'!B84</f>
        <v>31</v>
      </c>
      <c r="C105" s="221">
        <f>'Chêne et feuillus divers'!C84</f>
        <v>21</v>
      </c>
      <c r="D105" s="222">
        <f>'Chêne et feuillus divers'!D84</f>
        <v>0</v>
      </c>
      <c r="E105" s="217">
        <f>'Chêne et feuillus divers'!E84</f>
        <v>0</v>
      </c>
      <c r="F105" s="217">
        <f>'Chêne et feuillus divers'!F84</f>
        <v>0</v>
      </c>
      <c r="G105" s="223">
        <f>'Chêne et feuillus divers'!G84</f>
        <v>1</v>
      </c>
      <c r="H105" s="206">
        <f>IFERROR(VLOOKUP($B$101,Tableau14582[],4,FALSE)*(1+$L$9)^$B105,0)</f>
        <v>150</v>
      </c>
      <c r="I105" s="207">
        <f>IFERROR(VLOOKUP($B$101,Tableau14582[],5,FALSE)*(1+$L$9)^$B105,0)</f>
        <v>13.75</v>
      </c>
      <c r="J105" s="207">
        <f>IFERROR(VLOOKUP($B$101,Tableau14582[],5,FALSE)*(1+$L$9)^$B105,0)</f>
        <v>13.75</v>
      </c>
      <c r="K105" s="208">
        <f>IFERROR(VLOOKUP($B$101,Tableau14582[],6,FALSE)*(1+$L$9)^$B105,0)</f>
        <v>10</v>
      </c>
      <c r="L105" s="259">
        <f t="shared" si="21"/>
        <v>420</v>
      </c>
      <c r="N105" s="71">
        <v>84</v>
      </c>
      <c r="O105" s="235"/>
      <c r="P105" s="176"/>
      <c r="Q105" s="236">
        <f t="shared" si="20"/>
        <v>100.0025</v>
      </c>
      <c r="R105" s="176">
        <f t="shared" si="15"/>
        <v>7.0001750000000005</v>
      </c>
      <c r="S105" s="176">
        <f>$L$11*(1+$L$9)^N105*'Récapitulatif des résultats'!$I$11</f>
        <v>0</v>
      </c>
      <c r="T105" s="237"/>
      <c r="U105" s="176"/>
      <c r="V105" s="245">
        <f t="shared" si="16"/>
        <v>0</v>
      </c>
      <c r="W105" s="184">
        <f>SUM('Pin Sylvestre'!AQ89*'Pin Sylvestre'!$F$21,Douglas!AQ89*Douglas!$F$21,'Pin Maritime'!AQ89*'Pin Maritime'!$F$21,'Meleze Hybride'!AQ89*'Meleze Hybride'!$F$21,Thuya!AQ89*Thuya!$F$21,'Chêne et feuillus divers'!AQ89*'Chêne et feuillus divers'!$F$21)</f>
        <v>0</v>
      </c>
      <c r="X105" s="184">
        <f>SUM('Pin Sylvestre'!AR89*'Pin Sylvestre'!$F$21,Douglas!AR89*Douglas!$F$21,'Pin Maritime'!AR89*'Pin Maritime'!$F$21,'Meleze Hybride'!AR89*'Meleze Hybride'!$F$21,Thuya!AR89*Thuya!$F$21,'Chêne et feuillus divers'!AR89*'Chêne et feuillus divers'!$F$21)</f>
        <v>0</v>
      </c>
      <c r="Y105" s="184">
        <f>SUM('Pin Sylvestre'!AS89*'Pin Sylvestre'!$F$21,Douglas!AS89*Douglas!$F$21,'Pin Maritime'!AS89*'Pin Maritime'!$F$21,'Meleze Hybride'!AS89*'Meleze Hybride'!$F$21,Thuya!AS89*Thuya!$F$21,'Chêne et feuillus divers'!AS89*'Chêne et feuillus divers'!$F$21)</f>
        <v>0</v>
      </c>
      <c r="Z105" s="327">
        <f>SUM('Pin Sylvestre'!AT89*'Pin Sylvestre'!$F$21,Douglas!AT89*Douglas!$F$21,'Pin Maritime'!AT89*'Pin Maritime'!$F$21,'Meleze Hybride'!AT89*'Meleze Hybride'!$F$21,Thuya!AT89*Thuya!$F$21,'Chêne et feuillus divers'!AT89*'Chêne et feuillus divers'!$F$21)</f>
        <v>0</v>
      </c>
      <c r="AA105" s="174">
        <f t="shared" si="18"/>
        <v>0</v>
      </c>
      <c r="AB105" s="175">
        <f t="shared" si="17"/>
        <v>-2.6523219373771343</v>
      </c>
      <c r="AC105" s="174"/>
      <c r="AD105" s="174"/>
    </row>
    <row r="106" spans="2:30">
      <c r="B106" s="267">
        <f>'Chêne et feuillus divers'!B85</f>
        <v>36</v>
      </c>
      <c r="C106" s="221">
        <f>'Chêne et feuillus divers'!C85</f>
        <v>21</v>
      </c>
      <c r="D106" s="222">
        <f>'Chêne et feuillus divers'!D85</f>
        <v>0</v>
      </c>
      <c r="E106" s="217">
        <f>'Chêne et feuillus divers'!E85</f>
        <v>0</v>
      </c>
      <c r="F106" s="217">
        <f>'Chêne et feuillus divers'!F85</f>
        <v>0</v>
      </c>
      <c r="G106" s="223">
        <f>'Chêne et feuillus divers'!G85</f>
        <v>1</v>
      </c>
      <c r="H106" s="206">
        <f>IFERROR(VLOOKUP($B$101,Tableau14582[],4,FALSE)*(1+$L$9)^$B106,0)</f>
        <v>150</v>
      </c>
      <c r="I106" s="207">
        <f>IFERROR(VLOOKUP($B$101,Tableau14582[],5,FALSE)*(1+$L$9)^$B106,0)</f>
        <v>13.75</v>
      </c>
      <c r="J106" s="207">
        <f>IFERROR(VLOOKUP($B$101,Tableau14582[],5,FALSE)*(1+$L$9)^$B106,0)</f>
        <v>13.75</v>
      </c>
      <c r="K106" s="208">
        <f>IFERROR(VLOOKUP($B$101,Tableau14582[],6,FALSE)*(1+$L$9)^$B106,0)</f>
        <v>10</v>
      </c>
      <c r="L106" s="259">
        <f t="shared" si="21"/>
        <v>420</v>
      </c>
      <c r="N106" s="71">
        <v>85</v>
      </c>
      <c r="O106" s="235"/>
      <c r="P106" s="176"/>
      <c r="Q106" s="236">
        <f t="shared" si="20"/>
        <v>100.0025</v>
      </c>
      <c r="R106" s="176">
        <f t="shared" si="15"/>
        <v>7.0001750000000005</v>
      </c>
      <c r="S106" s="176">
        <f>$L$11*(1+$L$9)^N106*'Récapitulatif des résultats'!$I$11</f>
        <v>0</v>
      </c>
      <c r="T106" s="237"/>
      <c r="U106" s="176"/>
      <c r="V106" s="245">
        <f t="shared" si="16"/>
        <v>0</v>
      </c>
      <c r="W106" s="184">
        <f>SUM('Pin Sylvestre'!AQ90*'Pin Sylvestre'!$F$21,Douglas!AQ90*Douglas!$F$21,'Pin Maritime'!AQ90*'Pin Maritime'!$F$21,'Meleze Hybride'!AQ90*'Meleze Hybride'!$F$21,Thuya!AQ90*Thuya!$F$21,'Chêne et feuillus divers'!AQ90*'Chêne et feuillus divers'!$F$21)</f>
        <v>0</v>
      </c>
      <c r="X106" s="184">
        <f>SUM('Pin Sylvestre'!AR90*'Pin Sylvestre'!$F$21,Douglas!AR90*Douglas!$F$21,'Pin Maritime'!AR90*'Pin Maritime'!$F$21,'Meleze Hybride'!AR90*'Meleze Hybride'!$F$21,Thuya!AR90*Thuya!$F$21,'Chêne et feuillus divers'!AR90*'Chêne et feuillus divers'!$F$21)</f>
        <v>0</v>
      </c>
      <c r="Y106" s="184">
        <f>SUM('Pin Sylvestre'!AS90*'Pin Sylvestre'!$F$21,Douglas!AS90*Douglas!$F$21,'Pin Maritime'!AS90*'Pin Maritime'!$F$21,'Meleze Hybride'!AS90*'Meleze Hybride'!$F$21,Thuya!AS90*Thuya!$F$21,'Chêne et feuillus divers'!AS90*'Chêne et feuillus divers'!$F$21)</f>
        <v>0</v>
      </c>
      <c r="Z106" s="327">
        <f>SUM('Pin Sylvestre'!AT90*'Pin Sylvestre'!$F$21,Douglas!AT90*Douglas!$F$21,'Pin Maritime'!AT90*'Pin Maritime'!$F$21,'Meleze Hybride'!AT90*'Meleze Hybride'!$F$21,Thuya!AT90*Thuya!$F$21,'Chêne et feuillus divers'!AT90*'Chêne et feuillus divers'!$F$21)</f>
        <v>0</v>
      </c>
      <c r="AA106" s="174">
        <f t="shared" si="18"/>
        <v>0</v>
      </c>
      <c r="AB106" s="175">
        <f t="shared" si="17"/>
        <v>-2.5381071171073053</v>
      </c>
      <c r="AC106" s="174"/>
      <c r="AD106" s="174"/>
    </row>
    <row r="107" spans="2:30">
      <c r="B107" s="267">
        <f>'Chêne et feuillus divers'!B86</f>
        <v>41</v>
      </c>
      <c r="C107" s="221">
        <f>'Chêne et feuillus divers'!C86</f>
        <v>21</v>
      </c>
      <c r="D107" s="222">
        <f>'Chêne et feuillus divers'!D86</f>
        <v>0</v>
      </c>
      <c r="E107" s="217">
        <f>'Chêne et feuillus divers'!E86</f>
        <v>0</v>
      </c>
      <c r="F107" s="217">
        <f>'Chêne et feuillus divers'!F86</f>
        <v>0</v>
      </c>
      <c r="G107" s="223">
        <f>'Chêne et feuillus divers'!G86</f>
        <v>1</v>
      </c>
      <c r="H107" s="206">
        <f>IFERROR(VLOOKUP($B$101,Tableau14582[],4,FALSE)*(1+$L$9)^$B107,0)</f>
        <v>150</v>
      </c>
      <c r="I107" s="207">
        <f>IFERROR(VLOOKUP($B$101,Tableau14582[],5,FALSE)*(1+$L$9)^$B107,0)</f>
        <v>13.75</v>
      </c>
      <c r="J107" s="207">
        <f>IFERROR(VLOOKUP($B$101,Tableau14582[],5,FALSE)*(1+$L$9)^$B107,0)</f>
        <v>13.75</v>
      </c>
      <c r="K107" s="208">
        <f>IFERROR(VLOOKUP($B$101,Tableau14582[],6,FALSE)*(1+$L$9)^$B107,0)</f>
        <v>10</v>
      </c>
      <c r="L107" s="259">
        <f t="shared" si="21"/>
        <v>420</v>
      </c>
      <c r="N107" s="71">
        <v>86</v>
      </c>
      <c r="O107" s="235"/>
      <c r="P107" s="176"/>
      <c r="Q107" s="236">
        <f t="shared" si="20"/>
        <v>100.0025</v>
      </c>
      <c r="R107" s="176">
        <f t="shared" si="15"/>
        <v>7.0001750000000005</v>
      </c>
      <c r="S107" s="176">
        <f>$L$11*(1+$L$9)^N107*'Récapitulatif des résultats'!$I$11</f>
        <v>0</v>
      </c>
      <c r="T107" s="237"/>
      <c r="U107" s="176"/>
      <c r="V107" s="245">
        <f t="shared" si="16"/>
        <v>0</v>
      </c>
      <c r="W107" s="184">
        <f>SUM('Pin Sylvestre'!AQ91*'Pin Sylvestre'!$F$21,Douglas!AQ91*Douglas!$F$21,'Pin Maritime'!AQ91*'Pin Maritime'!$F$21,'Meleze Hybride'!AQ91*'Meleze Hybride'!$F$21,Thuya!AQ91*Thuya!$F$21,'Chêne et feuillus divers'!AQ91*'Chêne et feuillus divers'!$F$21)</f>
        <v>0</v>
      </c>
      <c r="X107" s="184">
        <f>SUM('Pin Sylvestre'!AR91*'Pin Sylvestre'!$F$21,Douglas!AR91*Douglas!$F$21,'Pin Maritime'!AR91*'Pin Maritime'!$F$21,'Meleze Hybride'!AR91*'Meleze Hybride'!$F$21,Thuya!AR91*Thuya!$F$21,'Chêne et feuillus divers'!AR91*'Chêne et feuillus divers'!$F$21)</f>
        <v>0</v>
      </c>
      <c r="Y107" s="184">
        <f>SUM('Pin Sylvestre'!AS91*'Pin Sylvestre'!$F$21,Douglas!AS91*Douglas!$F$21,'Pin Maritime'!AS91*'Pin Maritime'!$F$21,'Meleze Hybride'!AS91*'Meleze Hybride'!$F$21,Thuya!AS91*Thuya!$F$21,'Chêne et feuillus divers'!AS91*'Chêne et feuillus divers'!$F$21)</f>
        <v>0</v>
      </c>
      <c r="Z107" s="327">
        <f>SUM('Pin Sylvestre'!AT91*'Pin Sylvestre'!$F$21,Douglas!AT91*Douglas!$F$21,'Pin Maritime'!AT91*'Pin Maritime'!$F$21,'Meleze Hybride'!AT91*'Meleze Hybride'!$F$21,Thuya!AT91*Thuya!$F$21,'Chêne et feuillus divers'!AT91*'Chêne et feuillus divers'!$F$21)</f>
        <v>0</v>
      </c>
      <c r="AA107" s="174">
        <f t="shared" si="18"/>
        <v>0</v>
      </c>
      <c r="AB107" s="175">
        <f t="shared" si="17"/>
        <v>-2.4288106383801971</v>
      </c>
      <c r="AC107" s="174"/>
      <c r="AD107" s="174"/>
    </row>
    <row r="108" spans="2:30">
      <c r="B108" s="267">
        <f>'Chêne et feuillus divers'!B87</f>
        <v>46</v>
      </c>
      <c r="C108" s="221">
        <f>'Chêne et feuillus divers'!C87</f>
        <v>21</v>
      </c>
      <c r="D108" s="222">
        <f>'Chêne et feuillus divers'!D87</f>
        <v>0.2</v>
      </c>
      <c r="E108" s="217">
        <f>'Chêne et feuillus divers'!E87</f>
        <v>0</v>
      </c>
      <c r="F108" s="217">
        <f>'Chêne et feuillus divers'!F87</f>
        <v>0</v>
      </c>
      <c r="G108" s="223">
        <f>'Chêne et feuillus divers'!G87</f>
        <v>0.8</v>
      </c>
      <c r="H108" s="206">
        <f>IFERROR(VLOOKUP($B$101,Tableau14582[],4,FALSE)*(1+$L$9)^$B108,0)</f>
        <v>150</v>
      </c>
      <c r="I108" s="207">
        <f>IFERROR(VLOOKUP($B$101,Tableau14582[],5,FALSE)*(1+$L$9)^$B108,0)</f>
        <v>13.75</v>
      </c>
      <c r="J108" s="207">
        <f>IFERROR(VLOOKUP($B$101,Tableau14582[],5,FALSE)*(1+$L$9)^$B108,0)</f>
        <v>13.75</v>
      </c>
      <c r="K108" s="208">
        <f>IFERROR(VLOOKUP($B$101,Tableau14582[],6,FALSE)*(1+$L$9)^$B108,0)</f>
        <v>10</v>
      </c>
      <c r="L108" s="259">
        <f t="shared" si="21"/>
        <v>1596</v>
      </c>
      <c r="N108" s="71">
        <v>87</v>
      </c>
      <c r="O108" s="235"/>
      <c r="P108" s="176"/>
      <c r="Q108" s="236">
        <f t="shared" si="20"/>
        <v>100.0025</v>
      </c>
      <c r="R108" s="176">
        <f t="shared" si="15"/>
        <v>7.0001750000000005</v>
      </c>
      <c r="S108" s="176">
        <f>$L$11*(1+$L$9)^N108*'Récapitulatif des résultats'!$I$11</f>
        <v>0</v>
      </c>
      <c r="T108" s="237"/>
      <c r="U108" s="176"/>
      <c r="V108" s="245">
        <f t="shared" si="16"/>
        <v>0</v>
      </c>
      <c r="W108" s="184">
        <f>SUM('Pin Sylvestre'!AQ92*'Pin Sylvestre'!$F$21,Douglas!AQ92*Douglas!$F$21,'Pin Maritime'!AQ92*'Pin Maritime'!$F$21,'Meleze Hybride'!AQ92*'Meleze Hybride'!$F$21,Thuya!AQ92*Thuya!$F$21,'Chêne et feuillus divers'!AQ92*'Chêne et feuillus divers'!$F$21)</f>
        <v>0</v>
      </c>
      <c r="X108" s="184">
        <f>SUM('Pin Sylvestre'!AR92*'Pin Sylvestre'!$F$21,Douglas!AR92*Douglas!$F$21,'Pin Maritime'!AR92*'Pin Maritime'!$F$21,'Meleze Hybride'!AR92*'Meleze Hybride'!$F$21,Thuya!AR92*Thuya!$F$21,'Chêne et feuillus divers'!AR92*'Chêne et feuillus divers'!$F$21)</f>
        <v>0</v>
      </c>
      <c r="Y108" s="184">
        <f>SUM('Pin Sylvestre'!AS92*'Pin Sylvestre'!$F$21,Douglas!AS92*Douglas!$F$21,'Pin Maritime'!AS92*'Pin Maritime'!$F$21,'Meleze Hybride'!AS92*'Meleze Hybride'!$F$21,Thuya!AS92*Thuya!$F$21,'Chêne et feuillus divers'!AS92*'Chêne et feuillus divers'!$F$21)</f>
        <v>0</v>
      </c>
      <c r="Z108" s="327">
        <f>SUM('Pin Sylvestre'!AT92*'Pin Sylvestre'!$F$21,Douglas!AT92*Douglas!$F$21,'Pin Maritime'!AT92*'Pin Maritime'!$F$21,'Meleze Hybride'!AT92*'Meleze Hybride'!$F$21,Thuya!AT92*Thuya!$F$21,'Chêne et feuillus divers'!AT92*'Chêne et feuillus divers'!$F$21)</f>
        <v>0</v>
      </c>
      <c r="AA108" s="174">
        <f t="shared" si="18"/>
        <v>0</v>
      </c>
      <c r="AB108" s="175">
        <f t="shared" si="17"/>
        <v>-2.3242207065839207</v>
      </c>
      <c r="AC108" s="174"/>
      <c r="AD108" s="174"/>
    </row>
    <row r="109" spans="2:30">
      <c r="B109" s="267">
        <f>'Chêne et feuillus divers'!B88</f>
        <v>51</v>
      </c>
      <c r="C109" s="221">
        <f>'Chêne et feuillus divers'!C88</f>
        <v>21</v>
      </c>
      <c r="D109" s="222">
        <f>'Chêne et feuillus divers'!D88</f>
        <v>0.3</v>
      </c>
      <c r="E109" s="217">
        <f>'Chêne et feuillus divers'!E88</f>
        <v>0</v>
      </c>
      <c r="F109" s="217">
        <f>'Chêne et feuillus divers'!F88</f>
        <v>0</v>
      </c>
      <c r="G109" s="223">
        <f>'Chêne et feuillus divers'!G88</f>
        <v>0.7</v>
      </c>
      <c r="H109" s="206">
        <f>IFERROR(VLOOKUP($B$101,Tableau14582[],4,FALSE)*(1+$L$9)^$B109,0)</f>
        <v>150</v>
      </c>
      <c r="I109" s="207">
        <f>IFERROR(VLOOKUP($B$101,Tableau14582[],5,FALSE)*(1+$L$9)^$B109,0)</f>
        <v>13.75</v>
      </c>
      <c r="J109" s="207">
        <f>IFERROR(VLOOKUP($B$101,Tableau14582[],5,FALSE)*(1+$L$9)^$B109,0)</f>
        <v>13.75</v>
      </c>
      <c r="K109" s="208">
        <f>IFERROR(VLOOKUP($B$101,Tableau14582[],6,FALSE)*(1+$L$9)^$B109,0)</f>
        <v>10</v>
      </c>
      <c r="L109" s="259">
        <f t="shared" si="21"/>
        <v>2184</v>
      </c>
      <c r="N109" s="71">
        <v>88</v>
      </c>
      <c r="O109" s="235"/>
      <c r="P109" s="176"/>
      <c r="Q109" s="236">
        <f t="shared" si="20"/>
        <v>100.0025</v>
      </c>
      <c r="R109" s="176">
        <f t="shared" si="15"/>
        <v>7.0001750000000005</v>
      </c>
      <c r="S109" s="176">
        <f>$L$11*(1+$L$9)^N109*'Récapitulatif des résultats'!$I$11</f>
        <v>0</v>
      </c>
      <c r="T109" s="237"/>
      <c r="U109" s="176"/>
      <c r="V109" s="245">
        <f t="shared" si="16"/>
        <v>0</v>
      </c>
      <c r="W109" s="184">
        <f>SUM('Pin Sylvestre'!AQ93*'Pin Sylvestre'!$F$21,Douglas!AQ93*Douglas!$F$21,'Pin Maritime'!AQ93*'Pin Maritime'!$F$21,'Meleze Hybride'!AQ93*'Meleze Hybride'!$F$21,Thuya!AQ93*Thuya!$F$21,'Chêne et feuillus divers'!AQ93*'Chêne et feuillus divers'!$F$21)</f>
        <v>0</v>
      </c>
      <c r="X109" s="184">
        <f>SUM('Pin Sylvestre'!AR93*'Pin Sylvestre'!$F$21,Douglas!AR93*Douglas!$F$21,'Pin Maritime'!AR93*'Pin Maritime'!$F$21,'Meleze Hybride'!AR93*'Meleze Hybride'!$F$21,Thuya!AR93*Thuya!$F$21,'Chêne et feuillus divers'!AR93*'Chêne et feuillus divers'!$F$21)</f>
        <v>0</v>
      </c>
      <c r="Y109" s="184">
        <f>SUM('Pin Sylvestre'!AS93*'Pin Sylvestre'!$F$21,Douglas!AS93*Douglas!$F$21,'Pin Maritime'!AS93*'Pin Maritime'!$F$21,'Meleze Hybride'!AS93*'Meleze Hybride'!$F$21,Thuya!AS93*Thuya!$F$21,'Chêne et feuillus divers'!AS93*'Chêne et feuillus divers'!$F$21)</f>
        <v>0</v>
      </c>
      <c r="Z109" s="327">
        <f>SUM('Pin Sylvestre'!AT93*'Pin Sylvestre'!$F$21,Douglas!AT93*Douglas!$F$21,'Pin Maritime'!AT93*'Pin Maritime'!$F$21,'Meleze Hybride'!AT93*'Meleze Hybride'!$F$21,Thuya!AT93*Thuya!$F$21,'Chêne et feuillus divers'!AT93*'Chêne et feuillus divers'!$F$21)</f>
        <v>0</v>
      </c>
      <c r="AA109" s="174">
        <f t="shared" si="18"/>
        <v>0</v>
      </c>
      <c r="AB109" s="175">
        <f t="shared" si="17"/>
        <v>-2.2241346474487282</v>
      </c>
      <c r="AC109" s="174"/>
      <c r="AD109" s="174"/>
    </row>
    <row r="110" spans="2:30">
      <c r="B110" s="267">
        <f>'Chêne et feuillus divers'!B89</f>
        <v>56</v>
      </c>
      <c r="C110" s="221">
        <f>'Chêne et feuillus divers'!C89</f>
        <v>21</v>
      </c>
      <c r="D110" s="222">
        <f>'Chêne et feuillus divers'!D89</f>
        <v>0.4</v>
      </c>
      <c r="E110" s="217">
        <f>'Chêne et feuillus divers'!E89</f>
        <v>0</v>
      </c>
      <c r="F110" s="217">
        <f>'Chêne et feuillus divers'!F89</f>
        <v>0</v>
      </c>
      <c r="G110" s="223">
        <f>'Chêne et feuillus divers'!G89</f>
        <v>0.6</v>
      </c>
      <c r="H110" s="206">
        <f>IFERROR(VLOOKUP($B$101,Tableau14582[],4,FALSE)*(1+$L$9)^$B110,0)</f>
        <v>150</v>
      </c>
      <c r="I110" s="207">
        <f>IFERROR(VLOOKUP($B$101,Tableau14582[],5,FALSE)*(1+$L$9)^$B110,0)</f>
        <v>13.75</v>
      </c>
      <c r="J110" s="207">
        <f>IFERROR(VLOOKUP($B$101,Tableau14582[],5,FALSE)*(1+$L$9)^$B110,0)</f>
        <v>13.75</v>
      </c>
      <c r="K110" s="208">
        <f>IFERROR(VLOOKUP($B$101,Tableau14582[],6,FALSE)*(1+$L$9)^$B110,0)</f>
        <v>10</v>
      </c>
      <c r="L110" s="259">
        <f t="shared" si="21"/>
        <v>2772</v>
      </c>
      <c r="N110" s="71">
        <v>89</v>
      </c>
      <c r="O110" s="235"/>
      <c r="P110" s="176"/>
      <c r="Q110" s="236">
        <f t="shared" si="20"/>
        <v>100.0025</v>
      </c>
      <c r="R110" s="176">
        <f t="shared" si="15"/>
        <v>7.0001750000000005</v>
      </c>
      <c r="S110" s="176">
        <f>$L$11*(1+$L$9)^N110*'Récapitulatif des résultats'!$I$11</f>
        <v>0</v>
      </c>
      <c r="T110" s="237"/>
      <c r="U110" s="176"/>
      <c r="V110" s="245">
        <f t="shared" si="16"/>
        <v>0</v>
      </c>
      <c r="W110" s="184">
        <f>SUM('Pin Sylvestre'!AQ94*'Pin Sylvestre'!$F$21,Douglas!AQ94*Douglas!$F$21,'Pin Maritime'!AQ94*'Pin Maritime'!$F$21,'Meleze Hybride'!AQ94*'Meleze Hybride'!$F$21,Thuya!AQ94*Thuya!$F$21,'Chêne et feuillus divers'!AQ94*'Chêne et feuillus divers'!$F$21)</f>
        <v>0</v>
      </c>
      <c r="X110" s="184">
        <f>SUM('Pin Sylvestre'!AR94*'Pin Sylvestre'!$F$21,Douglas!AR94*Douglas!$F$21,'Pin Maritime'!AR94*'Pin Maritime'!$F$21,'Meleze Hybride'!AR94*'Meleze Hybride'!$F$21,Thuya!AR94*Thuya!$F$21,'Chêne et feuillus divers'!AR94*'Chêne et feuillus divers'!$F$21)</f>
        <v>0</v>
      </c>
      <c r="Y110" s="184">
        <f>SUM('Pin Sylvestre'!AS94*'Pin Sylvestre'!$F$21,Douglas!AS94*Douglas!$F$21,'Pin Maritime'!AS94*'Pin Maritime'!$F$21,'Meleze Hybride'!AS94*'Meleze Hybride'!$F$21,Thuya!AS94*Thuya!$F$21,'Chêne et feuillus divers'!AS94*'Chêne et feuillus divers'!$F$21)</f>
        <v>0</v>
      </c>
      <c r="Z110" s="327">
        <f>SUM('Pin Sylvestre'!AT94*'Pin Sylvestre'!$F$21,Douglas!AT94*Douglas!$F$21,'Pin Maritime'!AT94*'Pin Maritime'!$F$21,'Meleze Hybride'!AT94*'Meleze Hybride'!$F$21,Thuya!AT94*Thuya!$F$21,'Chêne et feuillus divers'!AT94*'Chêne et feuillus divers'!$F$21)</f>
        <v>0</v>
      </c>
      <c r="AA110" s="174">
        <f t="shared" si="18"/>
        <v>0</v>
      </c>
      <c r="AB110" s="175">
        <f t="shared" si="17"/>
        <v>-2.1283585143050034</v>
      </c>
      <c r="AC110" s="174"/>
      <c r="AD110" s="174"/>
    </row>
    <row r="111" spans="2:30">
      <c r="B111" s="267">
        <f>'Chêne et feuillus divers'!B90</f>
        <v>61</v>
      </c>
      <c r="C111" s="221">
        <f>'Chêne et feuillus divers'!C90</f>
        <v>21</v>
      </c>
      <c r="D111" s="222">
        <f>'Chêne et feuillus divers'!D90</f>
        <v>0.5</v>
      </c>
      <c r="E111" s="217">
        <f>'Chêne et feuillus divers'!E90</f>
        <v>0</v>
      </c>
      <c r="F111" s="217">
        <f>'Chêne et feuillus divers'!F90</f>
        <v>0</v>
      </c>
      <c r="G111" s="223">
        <f>'Chêne et feuillus divers'!G90</f>
        <v>0.5</v>
      </c>
      <c r="H111" s="206">
        <f>IFERROR(VLOOKUP($B$101,Tableau14582[],4,FALSE)*(1+$L$9)^$B111,0)</f>
        <v>150</v>
      </c>
      <c r="I111" s="207">
        <f>IFERROR(VLOOKUP($B$101,Tableau14582[],5,FALSE)*(1+$L$9)^$B111,0)</f>
        <v>13.75</v>
      </c>
      <c r="J111" s="207">
        <f>IFERROR(VLOOKUP($B$101,Tableau14582[],5,FALSE)*(1+$L$9)^$B111,0)</f>
        <v>13.75</v>
      </c>
      <c r="K111" s="208">
        <f>IFERROR(VLOOKUP($B$101,Tableau14582[],6,FALSE)*(1+$L$9)^$B111,0)</f>
        <v>10</v>
      </c>
      <c r="L111" s="259">
        <f t="shared" si="21"/>
        <v>3360</v>
      </c>
      <c r="N111" s="71">
        <v>90</v>
      </c>
      <c r="O111" s="235"/>
      <c r="P111" s="176"/>
      <c r="Q111" s="236">
        <f t="shared" si="20"/>
        <v>100.0025</v>
      </c>
      <c r="R111" s="176">
        <f t="shared" si="15"/>
        <v>7.0001750000000005</v>
      </c>
      <c r="S111" s="176">
        <f>$L$11*(1+$L$9)^N111*'Récapitulatif des résultats'!$I$11</f>
        <v>0</v>
      </c>
      <c r="T111" s="237"/>
      <c r="U111" s="176"/>
      <c r="V111" s="245">
        <f t="shared" si="16"/>
        <v>0</v>
      </c>
      <c r="W111" s="184">
        <f>SUM('Pin Sylvestre'!AQ95*'Pin Sylvestre'!$F$21,Douglas!AQ95*Douglas!$F$21,'Pin Maritime'!AQ95*'Pin Maritime'!$F$21,'Meleze Hybride'!AQ95*'Meleze Hybride'!$F$21,Thuya!AQ95*Thuya!$F$21,'Chêne et feuillus divers'!AQ95*'Chêne et feuillus divers'!$F$21)</f>
        <v>0</v>
      </c>
      <c r="X111" s="184">
        <f>SUM('Pin Sylvestre'!AR95*'Pin Sylvestre'!$F$21,Douglas!AR95*Douglas!$F$21,'Pin Maritime'!AR95*'Pin Maritime'!$F$21,'Meleze Hybride'!AR95*'Meleze Hybride'!$F$21,Thuya!AR95*Thuya!$F$21,'Chêne et feuillus divers'!AR95*'Chêne et feuillus divers'!$F$21)</f>
        <v>0</v>
      </c>
      <c r="Y111" s="184">
        <f>SUM('Pin Sylvestre'!AS95*'Pin Sylvestre'!$F$21,Douglas!AS95*Douglas!$F$21,'Pin Maritime'!AS95*'Pin Maritime'!$F$21,'Meleze Hybride'!AS95*'Meleze Hybride'!$F$21,Thuya!AS95*Thuya!$F$21,'Chêne et feuillus divers'!AS95*'Chêne et feuillus divers'!$F$21)</f>
        <v>0</v>
      </c>
      <c r="Z111" s="327">
        <f>SUM('Pin Sylvestre'!AT95*'Pin Sylvestre'!$F$21,Douglas!AT95*Douglas!$F$21,'Pin Maritime'!AT95*'Pin Maritime'!$F$21,'Meleze Hybride'!AT95*'Meleze Hybride'!$F$21,Thuya!AT95*Thuya!$F$21,'Chêne et feuillus divers'!AT95*'Chêne et feuillus divers'!$F$21)</f>
        <v>0</v>
      </c>
      <c r="AA111" s="174">
        <f t="shared" si="18"/>
        <v>0</v>
      </c>
      <c r="AB111" s="175">
        <f t="shared" si="17"/>
        <v>-2.0367067122535922</v>
      </c>
      <c r="AC111" s="174"/>
      <c r="AD111" s="174"/>
    </row>
    <row r="112" spans="2:30">
      <c r="B112" s="267">
        <f>'Chêne et feuillus divers'!B91</f>
        <v>66</v>
      </c>
      <c r="C112" s="221">
        <f>'Chêne et feuillus divers'!C91</f>
        <v>21</v>
      </c>
      <c r="D112" s="222">
        <f>'Chêne et feuillus divers'!D91</f>
        <v>0.6</v>
      </c>
      <c r="E112" s="217">
        <f>'Chêne et feuillus divers'!E91</f>
        <v>0</v>
      </c>
      <c r="F112" s="217">
        <f>'Chêne et feuillus divers'!F91</f>
        <v>0</v>
      </c>
      <c r="G112" s="223">
        <f>'Chêne et feuillus divers'!G91</f>
        <v>0.4</v>
      </c>
      <c r="H112" s="206">
        <f>IFERROR(VLOOKUP($B$101,Tableau14582[],4,FALSE)*(1+$L$9)^$B112,0)</f>
        <v>150</v>
      </c>
      <c r="I112" s="207">
        <f>IFERROR(VLOOKUP($B$101,Tableau14582[],5,FALSE)*(1+$L$9)^$B112,0)</f>
        <v>13.75</v>
      </c>
      <c r="J112" s="207">
        <f>IFERROR(VLOOKUP($B$101,Tableau14582[],5,FALSE)*(1+$L$9)^$B112,0)</f>
        <v>13.75</v>
      </c>
      <c r="K112" s="208">
        <f>IFERROR(VLOOKUP($B$101,Tableau14582[],6,FALSE)*(1+$L$9)^$B112,0)</f>
        <v>10</v>
      </c>
      <c r="L112" s="259">
        <f t="shared" si="21"/>
        <v>3948</v>
      </c>
      <c r="N112" s="71">
        <v>91</v>
      </c>
      <c r="O112" s="235"/>
      <c r="P112" s="176"/>
      <c r="Q112" s="236">
        <f t="shared" si="20"/>
        <v>100.0025</v>
      </c>
      <c r="R112" s="176">
        <f t="shared" si="15"/>
        <v>7.0001750000000005</v>
      </c>
      <c r="S112" s="176">
        <f>$L$11*(1+$L$9)^N112*'Récapitulatif des résultats'!$I$11</f>
        <v>0</v>
      </c>
      <c r="T112" s="237"/>
      <c r="U112" s="176"/>
      <c r="V112" s="245">
        <f t="shared" si="16"/>
        <v>0</v>
      </c>
      <c r="W112" s="184">
        <f>SUM('Pin Sylvestre'!AQ96*'Pin Sylvestre'!$F$21,Douglas!AQ96*Douglas!$F$21,'Pin Maritime'!AQ96*'Pin Maritime'!$F$21,'Meleze Hybride'!AQ96*'Meleze Hybride'!$F$21,Thuya!AQ96*Thuya!$F$21,'Chêne et feuillus divers'!AQ96*'Chêne et feuillus divers'!$F$21)</f>
        <v>0</v>
      </c>
      <c r="X112" s="184">
        <f>SUM('Pin Sylvestre'!AR96*'Pin Sylvestre'!$F$21,Douglas!AR96*Douglas!$F$21,'Pin Maritime'!AR96*'Pin Maritime'!$F$21,'Meleze Hybride'!AR96*'Meleze Hybride'!$F$21,Thuya!AR96*Thuya!$F$21,'Chêne et feuillus divers'!AR96*'Chêne et feuillus divers'!$F$21)</f>
        <v>0</v>
      </c>
      <c r="Y112" s="184">
        <f>SUM('Pin Sylvestre'!AS96*'Pin Sylvestre'!$F$21,Douglas!AS96*Douglas!$F$21,'Pin Maritime'!AS96*'Pin Maritime'!$F$21,'Meleze Hybride'!AS96*'Meleze Hybride'!$F$21,Thuya!AS96*Thuya!$F$21,'Chêne et feuillus divers'!AS96*'Chêne et feuillus divers'!$F$21)</f>
        <v>0</v>
      </c>
      <c r="Z112" s="327">
        <f>SUM('Pin Sylvestre'!AT96*'Pin Sylvestre'!$F$21,Douglas!AT96*Douglas!$F$21,'Pin Maritime'!AT96*'Pin Maritime'!$F$21,'Meleze Hybride'!AT96*'Meleze Hybride'!$F$21,Thuya!AT96*Thuya!$F$21,'Chêne et feuillus divers'!AT96*'Chêne et feuillus divers'!$F$21)</f>
        <v>0</v>
      </c>
      <c r="AA112" s="174">
        <f t="shared" si="18"/>
        <v>0</v>
      </c>
      <c r="AB112" s="175">
        <f t="shared" si="17"/>
        <v>-1.9490016385201838</v>
      </c>
      <c r="AC112" s="174"/>
      <c r="AD112" s="174"/>
    </row>
    <row r="113" spans="2:30">
      <c r="B113" s="267">
        <f>'Chêne et feuillus divers'!B92</f>
        <v>71</v>
      </c>
      <c r="C113" s="221">
        <f>'Chêne et feuillus divers'!C92</f>
        <v>21</v>
      </c>
      <c r="D113" s="222">
        <f>'Chêne et feuillus divers'!D92</f>
        <v>0.7</v>
      </c>
      <c r="E113" s="217">
        <f>'Chêne et feuillus divers'!E92</f>
        <v>0</v>
      </c>
      <c r="F113" s="217">
        <f>'Chêne et feuillus divers'!F92</f>
        <v>0</v>
      </c>
      <c r="G113" s="223">
        <f>'Chêne et feuillus divers'!G92</f>
        <v>0.30000000000000004</v>
      </c>
      <c r="H113" s="206">
        <f>IFERROR(VLOOKUP($B$101,Tableau14582[],4,FALSE)*(1+$L$9)^$B113,0)</f>
        <v>150</v>
      </c>
      <c r="I113" s="207">
        <f>IFERROR(VLOOKUP($B$101,Tableau14582[],5,FALSE)*(1+$L$9)^$B113,0)</f>
        <v>13.75</v>
      </c>
      <c r="J113" s="207">
        <f>IFERROR(VLOOKUP($B$101,Tableau14582[],5,FALSE)*(1+$L$9)^$B113,0)</f>
        <v>13.75</v>
      </c>
      <c r="K113" s="208">
        <f>IFERROR(VLOOKUP($B$101,Tableau14582[],6,FALSE)*(1+$L$9)^$B113,0)</f>
        <v>10</v>
      </c>
      <c r="L113" s="259">
        <f t="shared" si="21"/>
        <v>4536</v>
      </c>
      <c r="N113" s="71">
        <v>92</v>
      </c>
      <c r="O113" s="235"/>
      <c r="P113" s="176"/>
      <c r="Q113" s="236">
        <f t="shared" si="20"/>
        <v>100.0025</v>
      </c>
      <c r="R113" s="176">
        <f t="shared" si="15"/>
        <v>7.0001750000000005</v>
      </c>
      <c r="S113" s="176">
        <f>$L$11*(1+$L$9)^N113*'Récapitulatif des résultats'!$I$11</f>
        <v>0</v>
      </c>
      <c r="T113" s="237"/>
      <c r="U113" s="176"/>
      <c r="V113" s="245">
        <f t="shared" si="16"/>
        <v>0</v>
      </c>
      <c r="W113" s="184">
        <f>SUM('Pin Sylvestre'!AQ97*'Pin Sylvestre'!$F$21,Douglas!AQ97*Douglas!$F$21,'Pin Maritime'!AQ97*'Pin Maritime'!$F$21,'Meleze Hybride'!AQ97*'Meleze Hybride'!$F$21,Thuya!AQ97*Thuya!$F$21,'Chêne et feuillus divers'!AQ97*'Chêne et feuillus divers'!$F$21)</f>
        <v>0</v>
      </c>
      <c r="X113" s="184">
        <f>SUM('Pin Sylvestre'!AR97*'Pin Sylvestre'!$F$21,Douglas!AR97*Douglas!$F$21,'Pin Maritime'!AR97*'Pin Maritime'!$F$21,'Meleze Hybride'!AR97*'Meleze Hybride'!$F$21,Thuya!AR97*Thuya!$F$21,'Chêne et feuillus divers'!AR97*'Chêne et feuillus divers'!$F$21)</f>
        <v>0</v>
      </c>
      <c r="Y113" s="184">
        <f>SUM('Pin Sylvestre'!AS97*'Pin Sylvestre'!$F$21,Douglas!AS97*Douglas!$F$21,'Pin Maritime'!AS97*'Pin Maritime'!$F$21,'Meleze Hybride'!AS97*'Meleze Hybride'!$F$21,Thuya!AS97*Thuya!$F$21,'Chêne et feuillus divers'!AS97*'Chêne et feuillus divers'!$F$21)</f>
        <v>0</v>
      </c>
      <c r="Z113" s="327">
        <f>SUM('Pin Sylvestre'!AT97*'Pin Sylvestre'!$F$21,Douglas!AT97*Douglas!$F$21,'Pin Maritime'!AT97*'Pin Maritime'!$F$21,'Meleze Hybride'!AT97*'Meleze Hybride'!$F$21,Thuya!AT97*Thuya!$F$21,'Chêne et feuillus divers'!AT97*'Chêne et feuillus divers'!$F$21)</f>
        <v>0</v>
      </c>
      <c r="AA113" s="174">
        <f t="shared" si="18"/>
        <v>0</v>
      </c>
      <c r="AB113" s="175">
        <f t="shared" si="17"/>
        <v>-1.8650733382968272</v>
      </c>
      <c r="AC113" s="174"/>
      <c r="AD113" s="174"/>
    </row>
    <row r="114" spans="2:30">
      <c r="B114" s="267">
        <f>'Chêne et feuillus divers'!B93</f>
        <v>76</v>
      </c>
      <c r="C114" s="221">
        <f>'Chêne et feuillus divers'!C93</f>
        <v>21</v>
      </c>
      <c r="D114" s="222">
        <f>'Chêne et feuillus divers'!D93</f>
        <v>0.8</v>
      </c>
      <c r="E114" s="217">
        <f>'Chêne et feuillus divers'!E93</f>
        <v>0</v>
      </c>
      <c r="F114" s="217">
        <f>'Chêne et feuillus divers'!F93</f>
        <v>0</v>
      </c>
      <c r="G114" s="223">
        <f>'Chêne et feuillus divers'!G93</f>
        <v>0.19999999999999996</v>
      </c>
      <c r="H114" s="206">
        <f>IFERROR(VLOOKUP($B$101,Tableau14582[],4,FALSE)*(1+$L$9)^$B114,0)</f>
        <v>150</v>
      </c>
      <c r="I114" s="207">
        <f>IFERROR(VLOOKUP($B$101,Tableau14582[],5,FALSE)*(1+$L$9)^$B114,0)</f>
        <v>13.75</v>
      </c>
      <c r="J114" s="207">
        <f>IFERROR(VLOOKUP($B$101,Tableau14582[],5,FALSE)*(1+$L$9)^$B114,0)</f>
        <v>13.75</v>
      </c>
      <c r="K114" s="208">
        <f>IFERROR(VLOOKUP($B$101,Tableau14582[],6,FALSE)*(1+$L$9)^$B114,0)</f>
        <v>10</v>
      </c>
      <c r="L114" s="259">
        <f t="shared" si="21"/>
        <v>5124</v>
      </c>
      <c r="N114" s="71">
        <v>93</v>
      </c>
      <c r="O114" s="235"/>
      <c r="P114" s="176"/>
      <c r="Q114" s="236">
        <f t="shared" si="20"/>
        <v>100.0025</v>
      </c>
      <c r="R114" s="176">
        <f t="shared" si="15"/>
        <v>7.0001750000000005</v>
      </c>
      <c r="S114" s="176">
        <f>$L$11*(1+$L$9)^N114*'Récapitulatif des résultats'!$I$11</f>
        <v>0</v>
      </c>
      <c r="T114" s="237"/>
      <c r="U114" s="176"/>
      <c r="V114" s="245">
        <f t="shared" si="16"/>
        <v>0</v>
      </c>
      <c r="W114" s="184">
        <f>SUM('Pin Sylvestre'!AQ98*'Pin Sylvestre'!$F$21,Douglas!AQ98*Douglas!$F$21,'Pin Maritime'!AQ98*'Pin Maritime'!$F$21,'Meleze Hybride'!AQ98*'Meleze Hybride'!$F$21,Thuya!AQ98*Thuya!$F$21,'Chêne et feuillus divers'!AQ98*'Chêne et feuillus divers'!$F$21)</f>
        <v>0</v>
      </c>
      <c r="X114" s="184">
        <f>SUM('Pin Sylvestre'!AR98*'Pin Sylvestre'!$F$21,Douglas!AR98*Douglas!$F$21,'Pin Maritime'!AR98*'Pin Maritime'!$F$21,'Meleze Hybride'!AR98*'Meleze Hybride'!$F$21,Thuya!AR98*Thuya!$F$21,'Chêne et feuillus divers'!AR98*'Chêne et feuillus divers'!$F$21)</f>
        <v>0</v>
      </c>
      <c r="Y114" s="184">
        <f>SUM('Pin Sylvestre'!AS98*'Pin Sylvestre'!$F$21,Douglas!AS98*Douglas!$F$21,'Pin Maritime'!AS98*'Pin Maritime'!$F$21,'Meleze Hybride'!AS98*'Meleze Hybride'!$F$21,Thuya!AS98*Thuya!$F$21,'Chêne et feuillus divers'!AS98*'Chêne et feuillus divers'!$F$21)</f>
        <v>0</v>
      </c>
      <c r="Z114" s="327">
        <f>SUM('Pin Sylvestre'!AT98*'Pin Sylvestre'!$F$21,Douglas!AT98*Douglas!$F$21,'Pin Maritime'!AT98*'Pin Maritime'!$F$21,'Meleze Hybride'!AT98*'Meleze Hybride'!$F$21,Thuya!AT98*Thuya!$F$21,'Chêne et feuillus divers'!AT98*'Chêne et feuillus divers'!$F$21)</f>
        <v>0</v>
      </c>
      <c r="AA114" s="174">
        <f t="shared" si="18"/>
        <v>0</v>
      </c>
      <c r="AB114" s="175">
        <f t="shared" si="17"/>
        <v>-1.784759175403662</v>
      </c>
      <c r="AC114" s="174"/>
      <c r="AD114" s="174"/>
    </row>
    <row r="115" spans="2:30" ht="16" thickBot="1">
      <c r="B115" s="268">
        <f>'Chêne et feuillus divers'!B94</f>
        <v>150</v>
      </c>
      <c r="C115" s="269">
        <f>'Chêne et feuillus divers'!C94</f>
        <v>280</v>
      </c>
      <c r="D115" s="270">
        <f>'Chêne et feuillus divers'!D94</f>
        <v>0.95</v>
      </c>
      <c r="E115" s="270">
        <f>'Chêne et feuillus divers'!E94</f>
        <v>0</v>
      </c>
      <c r="F115" s="271">
        <f>'Chêne et feuillus divers'!F94</f>
        <v>0</v>
      </c>
      <c r="G115" s="272">
        <f>'Chêne et feuillus divers'!G94</f>
        <v>5.0000000000000044E-2</v>
      </c>
      <c r="H115" s="273">
        <f>IFERROR(VLOOKUP($B$101,Tableau14582[],4,FALSE)*(1+$L$9)^$B115,0)</f>
        <v>150</v>
      </c>
      <c r="I115" s="274">
        <f>IFERROR(VLOOKUP($B$101,Tableau14582[],5,FALSE)*(1+$L$9)^$B115,0)</f>
        <v>13.75</v>
      </c>
      <c r="J115" s="274">
        <f>IFERROR(VLOOKUP($B$101,Tableau14582[],5,FALSE)*(1+$L$9)^$B115,0)</f>
        <v>13.75</v>
      </c>
      <c r="K115" s="275">
        <f>IFERROR(VLOOKUP($B$101,Tableau14582[],6,FALSE)*(1+$L$9)^$B115,0)</f>
        <v>10</v>
      </c>
      <c r="L115" s="276">
        <f t="shared" si="21"/>
        <v>80080</v>
      </c>
      <c r="N115" s="71">
        <v>94</v>
      </c>
      <c r="O115" s="235"/>
      <c r="P115" s="176"/>
      <c r="Q115" s="236">
        <f t="shared" si="20"/>
        <v>100.0025</v>
      </c>
      <c r="R115" s="176">
        <f t="shared" si="15"/>
        <v>7.0001750000000005</v>
      </c>
      <c r="S115" s="176">
        <f>$L$11*(1+$L$9)^N115*'Récapitulatif des résultats'!$I$11</f>
        <v>0</v>
      </c>
      <c r="T115" s="237"/>
      <c r="U115" s="176"/>
      <c r="V115" s="245">
        <f t="shared" si="16"/>
        <v>0</v>
      </c>
      <c r="W115" s="184">
        <f>SUM('Pin Sylvestre'!AQ99*'Pin Sylvestre'!$F$21,Douglas!AQ99*Douglas!$F$21,'Pin Maritime'!AQ99*'Pin Maritime'!$F$21,'Meleze Hybride'!AQ99*'Meleze Hybride'!$F$21,Thuya!AQ99*Thuya!$F$21,'Chêne et feuillus divers'!AQ99*'Chêne et feuillus divers'!$F$21)</f>
        <v>0</v>
      </c>
      <c r="X115" s="184">
        <f>SUM('Pin Sylvestre'!AR99*'Pin Sylvestre'!$F$21,Douglas!AR99*Douglas!$F$21,'Pin Maritime'!AR99*'Pin Maritime'!$F$21,'Meleze Hybride'!AR99*'Meleze Hybride'!$F$21,Thuya!AR99*Thuya!$F$21,'Chêne et feuillus divers'!AR99*'Chêne et feuillus divers'!$F$21)</f>
        <v>0</v>
      </c>
      <c r="Y115" s="184">
        <f>SUM('Pin Sylvestre'!AS99*'Pin Sylvestre'!$F$21,Douglas!AS99*Douglas!$F$21,'Pin Maritime'!AS99*'Pin Maritime'!$F$21,'Meleze Hybride'!AS99*'Meleze Hybride'!$F$21,Thuya!AS99*Thuya!$F$21,'Chêne et feuillus divers'!AS99*'Chêne et feuillus divers'!$F$21)</f>
        <v>0</v>
      </c>
      <c r="Z115" s="327">
        <f>SUM('Pin Sylvestre'!AT99*'Pin Sylvestre'!$F$21,Douglas!AT99*Douglas!$F$21,'Pin Maritime'!AT99*'Pin Maritime'!$F$21,'Meleze Hybride'!AT99*'Meleze Hybride'!$F$21,Thuya!AT99*Thuya!$F$21,'Chêne et feuillus divers'!AT99*'Chêne et feuillus divers'!$F$21)</f>
        <v>0</v>
      </c>
      <c r="AA115" s="174">
        <f t="shared" si="18"/>
        <v>0</v>
      </c>
      <c r="AB115" s="175">
        <f t="shared" si="17"/>
        <v>-1.7079035171326917</v>
      </c>
      <c r="AC115" s="174"/>
      <c r="AD115" s="174"/>
    </row>
    <row r="116" spans="2:30">
      <c r="N116" s="71">
        <v>95</v>
      </c>
      <c r="O116" s="235"/>
      <c r="P116" s="176"/>
      <c r="Q116" s="236">
        <f t="shared" si="20"/>
        <v>100.0025</v>
      </c>
      <c r="R116" s="176">
        <f t="shared" si="15"/>
        <v>7.0001750000000005</v>
      </c>
      <c r="S116" s="176">
        <f>$L$11*(1+$L$9)^N116*'Récapitulatif des résultats'!$I$11</f>
        <v>0</v>
      </c>
      <c r="T116" s="237"/>
      <c r="U116" s="176"/>
      <c r="V116" s="245">
        <f t="shared" si="16"/>
        <v>0</v>
      </c>
      <c r="W116" s="184">
        <f>SUM('Pin Sylvestre'!AQ100*'Pin Sylvestre'!$F$21,Douglas!AQ100*Douglas!$F$21,'Pin Maritime'!AQ100*'Pin Maritime'!$F$21,'Meleze Hybride'!AQ100*'Meleze Hybride'!$F$21,Thuya!AQ100*Thuya!$F$21,'Chêne et feuillus divers'!AQ100*'Chêne et feuillus divers'!$F$21)</f>
        <v>0</v>
      </c>
      <c r="X116" s="184">
        <f>SUM('Pin Sylvestre'!AR100*'Pin Sylvestre'!$F$21,Douglas!AR100*Douglas!$F$21,'Pin Maritime'!AR100*'Pin Maritime'!$F$21,'Meleze Hybride'!AR100*'Meleze Hybride'!$F$21,Thuya!AR100*Thuya!$F$21,'Chêne et feuillus divers'!AR100*'Chêne et feuillus divers'!$F$21)</f>
        <v>0</v>
      </c>
      <c r="Y116" s="184">
        <f>SUM('Pin Sylvestre'!AS100*'Pin Sylvestre'!$F$21,Douglas!AS100*Douglas!$F$21,'Pin Maritime'!AS100*'Pin Maritime'!$F$21,'Meleze Hybride'!AS100*'Meleze Hybride'!$F$21,Thuya!AS100*Thuya!$F$21,'Chêne et feuillus divers'!AS100*'Chêne et feuillus divers'!$F$21)</f>
        <v>0</v>
      </c>
      <c r="Z116" s="327">
        <f>SUM('Pin Sylvestre'!AT100*'Pin Sylvestre'!$F$21,Douglas!AT100*Douglas!$F$21,'Pin Maritime'!AT100*'Pin Maritime'!$F$21,'Meleze Hybride'!AT100*'Meleze Hybride'!$F$21,Thuya!AT100*Thuya!$F$21,'Chêne et feuillus divers'!AT100*'Chêne et feuillus divers'!$F$21)</f>
        <v>0</v>
      </c>
      <c r="AA116" s="174">
        <f t="shared" si="18"/>
        <v>0</v>
      </c>
      <c r="AB116" s="175">
        <f t="shared" si="17"/>
        <v>-1.6343574326628623</v>
      </c>
      <c r="AC116" s="174"/>
      <c r="AD116" s="174"/>
    </row>
    <row r="117" spans="2:30">
      <c r="M117"/>
      <c r="N117" s="71">
        <v>96</v>
      </c>
      <c r="O117" s="235"/>
      <c r="P117" s="176"/>
      <c r="Q117" s="236">
        <f t="shared" si="20"/>
        <v>100.0025</v>
      </c>
      <c r="R117" s="176">
        <f t="shared" si="15"/>
        <v>7.0001750000000005</v>
      </c>
      <c r="S117" s="176">
        <f>$L$11*(1+$L$9)^N117*'Récapitulatif des résultats'!$I$11</f>
        <v>0</v>
      </c>
      <c r="T117" s="237"/>
      <c r="U117" s="176"/>
      <c r="V117" s="245">
        <f t="shared" si="16"/>
        <v>0</v>
      </c>
      <c r="W117" s="184">
        <f>SUM('Pin Sylvestre'!AQ101*'Pin Sylvestre'!$F$21,Douglas!AQ101*Douglas!$F$21,'Pin Maritime'!AQ101*'Pin Maritime'!$F$21,'Meleze Hybride'!AQ101*'Meleze Hybride'!$F$21,Thuya!AQ101*Thuya!$F$21,'Chêne et feuillus divers'!AQ101*'Chêne et feuillus divers'!$F$21)</f>
        <v>0</v>
      </c>
      <c r="X117" s="184">
        <f>SUM('Pin Sylvestre'!AR101*'Pin Sylvestre'!$F$21,Douglas!AR101*Douglas!$F$21,'Pin Maritime'!AR101*'Pin Maritime'!$F$21,'Meleze Hybride'!AR101*'Meleze Hybride'!$F$21,Thuya!AR101*Thuya!$F$21,'Chêne et feuillus divers'!AR101*'Chêne et feuillus divers'!$F$21)</f>
        <v>0</v>
      </c>
      <c r="Y117" s="184">
        <f>SUM('Pin Sylvestre'!AS101*'Pin Sylvestre'!$F$21,Douglas!AS101*Douglas!$F$21,'Pin Maritime'!AS101*'Pin Maritime'!$F$21,'Meleze Hybride'!AS101*'Meleze Hybride'!$F$21,Thuya!AS101*Thuya!$F$21,'Chêne et feuillus divers'!AS101*'Chêne et feuillus divers'!$F$21)</f>
        <v>0</v>
      </c>
      <c r="Z117" s="327">
        <f>SUM('Pin Sylvestre'!AT101*'Pin Sylvestre'!$F$21,Douglas!AT101*Douglas!$F$21,'Pin Maritime'!AT101*'Pin Maritime'!$F$21,'Meleze Hybride'!AT101*'Meleze Hybride'!$F$21,Thuya!AT101*Thuya!$F$21,'Chêne et feuillus divers'!AT101*'Chêne et feuillus divers'!$F$21)</f>
        <v>0</v>
      </c>
      <c r="AA117" s="174">
        <f t="shared" si="18"/>
        <v>0</v>
      </c>
      <c r="AB117" s="175">
        <f t="shared" si="17"/>
        <v>-1.5639784044620701</v>
      </c>
      <c r="AC117" s="174"/>
      <c r="AD117" s="174"/>
    </row>
    <row r="118" spans="2:30">
      <c r="B118" s="3" t="s">
        <v>5</v>
      </c>
      <c r="C118" s="3" t="s">
        <v>6</v>
      </c>
      <c r="D118" s="187" t="s">
        <v>227</v>
      </c>
      <c r="E118" s="203" t="s">
        <v>234</v>
      </c>
      <c r="F118" s="203" t="s">
        <v>235</v>
      </c>
      <c r="G118" s="203" t="s">
        <v>236</v>
      </c>
      <c r="H118" t="s">
        <v>239</v>
      </c>
      <c r="I118" t="s">
        <v>245</v>
      </c>
      <c r="J118" t="s">
        <v>246</v>
      </c>
      <c r="K118" t="s">
        <v>247</v>
      </c>
      <c r="L118" s="252" t="s">
        <v>251</v>
      </c>
      <c r="M118" t="s">
        <v>249</v>
      </c>
      <c r="N118" s="71">
        <v>97</v>
      </c>
      <c r="O118" s="235"/>
      <c r="P118" s="176"/>
      <c r="Q118" s="236">
        <f t="shared" si="20"/>
        <v>100.0025</v>
      </c>
      <c r="R118" s="176">
        <f t="shared" si="15"/>
        <v>7.0001750000000005</v>
      </c>
      <c r="S118" s="176">
        <f>$L$11*(1+$L$9)^N118*'Récapitulatif des résultats'!$I$11</f>
        <v>0</v>
      </c>
      <c r="T118" s="237"/>
      <c r="U118" s="176"/>
      <c r="V118" s="245">
        <f t="shared" si="16"/>
        <v>0</v>
      </c>
      <c r="W118" s="184">
        <f>SUM('Pin Sylvestre'!AQ102*'Pin Sylvestre'!$F$21,Douglas!AQ102*Douglas!$F$21,'Pin Maritime'!AQ102*'Pin Maritime'!$F$21,'Meleze Hybride'!AQ102*'Meleze Hybride'!$F$21,Thuya!AQ102*Thuya!$F$21,'Chêne et feuillus divers'!AQ102*'Chêne et feuillus divers'!$F$21)</f>
        <v>0</v>
      </c>
      <c r="X118" s="184">
        <f>SUM('Pin Sylvestre'!AR102*'Pin Sylvestre'!$F$21,Douglas!AR102*Douglas!$F$21,'Pin Maritime'!AR102*'Pin Maritime'!$F$21,'Meleze Hybride'!AR102*'Meleze Hybride'!$F$21,Thuya!AR102*Thuya!$F$21,'Chêne et feuillus divers'!AR102*'Chêne et feuillus divers'!$F$21)</f>
        <v>0</v>
      </c>
      <c r="Y118" s="184">
        <f>SUM('Pin Sylvestre'!AS102*'Pin Sylvestre'!$F$21,Douglas!AS102*Douglas!$F$21,'Pin Maritime'!AS102*'Pin Maritime'!$F$21,'Meleze Hybride'!AS102*'Meleze Hybride'!$F$21,Thuya!AS102*Thuya!$F$21,'Chêne et feuillus divers'!AS102*'Chêne et feuillus divers'!$F$21)</f>
        <v>0</v>
      </c>
      <c r="Z118" s="327">
        <f>SUM('Pin Sylvestre'!AT102*'Pin Sylvestre'!$F$21,Douglas!AT102*Douglas!$F$21,'Pin Maritime'!AT102*'Pin Maritime'!$F$21,'Meleze Hybride'!AT102*'Meleze Hybride'!$F$21,Thuya!AT102*Thuya!$F$21,'Chêne et feuillus divers'!AT102*'Chêne et feuillus divers'!$F$21)</f>
        <v>0</v>
      </c>
      <c r="AA118" s="174">
        <f t="shared" si="18"/>
        <v>0</v>
      </c>
      <c r="AB118" s="175">
        <f t="shared" si="17"/>
        <v>-1.4966300521168139</v>
      </c>
      <c r="AC118" s="174"/>
      <c r="AD118" s="174"/>
    </row>
    <row r="119" spans="2:30">
      <c r="B119" s="165" t="s">
        <v>7</v>
      </c>
      <c r="C119" s="4">
        <v>0.62</v>
      </c>
      <c r="D119" s="187" t="s">
        <v>228</v>
      </c>
      <c r="E119" s="204">
        <v>300</v>
      </c>
      <c r="F119" s="250">
        <f>IF(Tableau14582[[#This Row],[Type]]="Feuillus",11*1.25,15.5*1.25)</f>
        <v>13.75</v>
      </c>
      <c r="G119" s="204">
        <v>10</v>
      </c>
      <c r="M119"/>
      <c r="N119" s="71">
        <v>98</v>
      </c>
      <c r="O119" s="235"/>
      <c r="P119" s="176"/>
      <c r="Q119" s="236">
        <f t="shared" si="20"/>
        <v>100.0025</v>
      </c>
      <c r="R119" s="176">
        <f t="shared" si="15"/>
        <v>7.0001750000000005</v>
      </c>
      <c r="S119" s="176">
        <f>$L$11*(1+$L$9)^N119*'Récapitulatif des résultats'!$I$11</f>
        <v>0</v>
      </c>
      <c r="T119" s="237"/>
      <c r="U119" s="176"/>
      <c r="V119" s="245">
        <f t="shared" si="16"/>
        <v>0</v>
      </c>
      <c r="W119" s="184">
        <f>SUM('Pin Sylvestre'!AQ103*'Pin Sylvestre'!$F$21,Douglas!AQ103*Douglas!$F$21,'Pin Maritime'!AQ103*'Pin Maritime'!$F$21,'Meleze Hybride'!AQ103*'Meleze Hybride'!$F$21,Thuya!AQ103*Thuya!$F$21,'Chêne et feuillus divers'!AQ103*'Chêne et feuillus divers'!$F$21)</f>
        <v>0</v>
      </c>
      <c r="X119" s="184">
        <f>SUM('Pin Sylvestre'!AR103*'Pin Sylvestre'!$F$21,Douglas!AR103*Douglas!$F$21,'Pin Maritime'!AR103*'Pin Maritime'!$F$21,'Meleze Hybride'!AR103*'Meleze Hybride'!$F$21,Thuya!AR103*Thuya!$F$21,'Chêne et feuillus divers'!AR103*'Chêne et feuillus divers'!$F$21)</f>
        <v>0</v>
      </c>
      <c r="Y119" s="184">
        <f>SUM('Pin Sylvestre'!AS103*'Pin Sylvestre'!$F$21,Douglas!AS103*Douglas!$F$21,'Pin Maritime'!AS103*'Pin Maritime'!$F$21,'Meleze Hybride'!AS103*'Meleze Hybride'!$F$21,Thuya!AS103*Thuya!$F$21,'Chêne et feuillus divers'!AS103*'Chêne et feuillus divers'!$F$21)</f>
        <v>0</v>
      </c>
      <c r="Z119" s="327">
        <f>SUM('Pin Sylvestre'!AT103*'Pin Sylvestre'!$F$21,Douglas!AT103*Douglas!$F$21,'Pin Maritime'!AT103*'Pin Maritime'!$F$21,'Meleze Hybride'!AT103*'Meleze Hybride'!$F$21,Thuya!AT103*Thuya!$F$21,'Chêne et feuillus divers'!AT103*'Chêne et feuillus divers'!$F$21)</f>
        <v>0</v>
      </c>
      <c r="AA119" s="174">
        <f t="shared" si="18"/>
        <v>0</v>
      </c>
      <c r="AB119" s="175">
        <f t="shared" si="17"/>
        <v>-1.4321818680543674</v>
      </c>
      <c r="AC119" s="174"/>
      <c r="AD119" s="174"/>
    </row>
    <row r="120" spans="2:30">
      <c r="B120" s="165" t="s">
        <v>4</v>
      </c>
      <c r="C120" s="4">
        <v>0.64</v>
      </c>
      <c r="D120" s="187" t="s">
        <v>228</v>
      </c>
      <c r="E120" s="251" t="s">
        <v>250</v>
      </c>
      <c r="F120" s="250">
        <f>IF(Tableau14582[[#This Row],[Type]]="Feuillus",11*1.25,15.5*1.25)</f>
        <v>13.75</v>
      </c>
      <c r="G120" s="204">
        <v>10</v>
      </c>
      <c r="M120"/>
      <c r="N120" s="71">
        <v>99</v>
      </c>
      <c r="O120" s="235"/>
      <c r="P120" s="176"/>
      <c r="Q120" s="236">
        <f t="shared" si="20"/>
        <v>100.0025</v>
      </c>
      <c r="R120" s="176">
        <f t="shared" si="15"/>
        <v>7.0001750000000005</v>
      </c>
      <c r="S120" s="176">
        <f>$L$11*(1+$L$9)^N120*'Récapitulatif des résultats'!$I$11</f>
        <v>0</v>
      </c>
      <c r="T120" s="237"/>
      <c r="U120" s="176"/>
      <c r="V120" s="245">
        <f t="shared" si="16"/>
        <v>0</v>
      </c>
      <c r="W120" s="184">
        <f>SUM('Pin Sylvestre'!AQ104*'Pin Sylvestre'!$F$21,Douglas!AQ104*Douglas!$F$21,'Pin Maritime'!AQ104*'Pin Maritime'!$F$21,'Meleze Hybride'!AQ104*'Meleze Hybride'!$F$21,Thuya!AQ104*Thuya!$F$21,'Chêne et feuillus divers'!AQ104*'Chêne et feuillus divers'!$F$21)</f>
        <v>0</v>
      </c>
      <c r="X120" s="184">
        <f>SUM('Pin Sylvestre'!AR104*'Pin Sylvestre'!$F$21,Douglas!AR104*Douglas!$F$21,'Pin Maritime'!AR104*'Pin Maritime'!$F$21,'Meleze Hybride'!AR104*'Meleze Hybride'!$F$21,Thuya!AR104*Thuya!$F$21,'Chêne et feuillus divers'!AR104*'Chêne et feuillus divers'!$F$21)</f>
        <v>0</v>
      </c>
      <c r="Y120" s="184">
        <f>SUM('Pin Sylvestre'!AS104*'Pin Sylvestre'!$F$21,Douglas!AS104*Douglas!$F$21,'Pin Maritime'!AS104*'Pin Maritime'!$F$21,'Meleze Hybride'!AS104*'Meleze Hybride'!$F$21,Thuya!AS104*Thuya!$F$21,'Chêne et feuillus divers'!AS104*'Chêne et feuillus divers'!$F$21)</f>
        <v>0</v>
      </c>
      <c r="Z120" s="327">
        <f>SUM('Pin Sylvestre'!AT104*'Pin Sylvestre'!$F$21,Douglas!AT104*Douglas!$F$21,'Pin Maritime'!AT104*'Pin Maritime'!$F$21,'Meleze Hybride'!AT104*'Meleze Hybride'!$F$21,Thuya!AT104*Thuya!$F$21,'Chêne et feuillus divers'!AT104*'Chêne et feuillus divers'!$F$21)</f>
        <v>0</v>
      </c>
      <c r="AA120" s="174">
        <f t="shared" si="18"/>
        <v>0</v>
      </c>
      <c r="AB120" s="175">
        <f t="shared" si="17"/>
        <v>-1.3705089646453277</v>
      </c>
      <c r="AC120" s="174"/>
      <c r="AD120" s="174"/>
    </row>
    <row r="121" spans="2:30">
      <c r="B121" s="165" t="s">
        <v>8</v>
      </c>
      <c r="C121" s="4">
        <v>0.42</v>
      </c>
      <c r="D121" s="187" t="s">
        <v>228</v>
      </c>
      <c r="E121" s="204">
        <v>40</v>
      </c>
      <c r="F121" s="250">
        <f>IF(Tableau14582[[#This Row],[Type]]="Feuillus",11*1.25,15.5*1.25)</f>
        <v>13.75</v>
      </c>
      <c r="G121" s="204">
        <v>10</v>
      </c>
      <c r="M121"/>
      <c r="N121" s="71">
        <v>100</v>
      </c>
      <c r="O121" s="235"/>
      <c r="P121" s="176"/>
      <c r="Q121" s="236">
        <f t="shared" si="20"/>
        <v>100.0025</v>
      </c>
      <c r="R121" s="176">
        <f t="shared" si="15"/>
        <v>7.0001750000000005</v>
      </c>
      <c r="S121" s="176">
        <f>$L$11*(1+$L$9)^N121*'Récapitulatif des résultats'!$I$11</f>
        <v>0</v>
      </c>
      <c r="T121" s="237"/>
      <c r="U121" s="176"/>
      <c r="V121" s="245">
        <f t="shared" si="16"/>
        <v>0</v>
      </c>
      <c r="W121" s="184">
        <f>SUM('Pin Sylvestre'!AQ105*'Pin Sylvestre'!$F$21,Douglas!AQ105*Douglas!$F$21,'Pin Maritime'!AQ105*'Pin Maritime'!$F$21,'Meleze Hybride'!AQ105*'Meleze Hybride'!$F$21,Thuya!AQ105*Thuya!$F$21,'Chêne et feuillus divers'!AQ105*'Chêne et feuillus divers'!$F$21)</f>
        <v>0</v>
      </c>
      <c r="X121" s="184">
        <f>SUM('Pin Sylvestre'!AR105*'Pin Sylvestre'!$F$21,Douglas!AR105*Douglas!$F$21,'Pin Maritime'!AR105*'Pin Maritime'!$F$21,'Meleze Hybride'!AR105*'Meleze Hybride'!$F$21,Thuya!AR105*Thuya!$F$21,'Chêne et feuillus divers'!AR105*'Chêne et feuillus divers'!$F$21)</f>
        <v>0</v>
      </c>
      <c r="Y121" s="184">
        <f>SUM('Pin Sylvestre'!AS105*'Pin Sylvestre'!$F$21,Douglas!AS105*Douglas!$F$21,'Pin Maritime'!AS105*'Pin Maritime'!$F$21,'Meleze Hybride'!AS105*'Meleze Hybride'!$F$21,Thuya!AS105*Thuya!$F$21,'Chêne et feuillus divers'!AS105*'Chêne et feuillus divers'!$F$21)</f>
        <v>0</v>
      </c>
      <c r="Z121" s="327">
        <f>SUM('Pin Sylvestre'!AT105*'Pin Sylvestre'!$F$21,Douglas!AT105*Douglas!$F$21,'Pin Maritime'!AT105*'Pin Maritime'!$F$21,'Meleze Hybride'!AT105*'Meleze Hybride'!$F$21,Thuya!AT105*Thuya!$F$21,'Chêne et feuillus divers'!AT105*'Chêne et feuillus divers'!$F$21)</f>
        <v>0</v>
      </c>
      <c r="AA121" s="174">
        <f t="shared" si="18"/>
        <v>0</v>
      </c>
      <c r="AB121" s="175">
        <f t="shared" si="17"/>
        <v>-1.3114918321964861</v>
      </c>
      <c r="AC121" s="174"/>
      <c r="AD121" s="174"/>
    </row>
    <row r="122" spans="2:30">
      <c r="B122" s="165" t="s">
        <v>9</v>
      </c>
      <c r="C122" s="4">
        <v>0.42</v>
      </c>
      <c r="D122" s="187" t="s">
        <v>228</v>
      </c>
      <c r="E122" s="204">
        <v>40</v>
      </c>
      <c r="F122" s="250">
        <f>IF(Tableau14582[[#This Row],[Type]]="Feuillus",11*1.25,15.5*1.25)</f>
        <v>13.75</v>
      </c>
      <c r="G122" s="204">
        <v>10</v>
      </c>
      <c r="M122"/>
      <c r="N122" s="71">
        <v>101</v>
      </c>
      <c r="O122" s="235"/>
      <c r="P122" s="176"/>
      <c r="Q122" s="236">
        <f t="shared" si="20"/>
        <v>100.0025</v>
      </c>
      <c r="R122" s="176">
        <f t="shared" si="15"/>
        <v>7.0001750000000005</v>
      </c>
      <c r="S122" s="176">
        <f>$L$11*(1+$L$9)^N122*'Récapitulatif des résultats'!$I$11</f>
        <v>0</v>
      </c>
      <c r="T122" s="237"/>
      <c r="U122" s="176"/>
      <c r="V122" s="245">
        <f t="shared" si="16"/>
        <v>0</v>
      </c>
      <c r="W122" s="184">
        <f>SUM('Pin Sylvestre'!AQ106*'Pin Sylvestre'!$F$21,Douglas!AQ106*Douglas!$F$21,'Pin Maritime'!AQ106*'Pin Maritime'!$F$21,'Meleze Hybride'!AQ106*'Meleze Hybride'!$F$21,Thuya!AQ106*Thuya!$F$21,'Chêne et feuillus divers'!AQ106*'Chêne et feuillus divers'!$F$21)</f>
        <v>0</v>
      </c>
      <c r="X122" s="184">
        <f>SUM('Pin Sylvestre'!AR106*'Pin Sylvestre'!$F$21,Douglas!AR106*Douglas!$F$21,'Pin Maritime'!AR106*'Pin Maritime'!$F$21,'Meleze Hybride'!AR106*'Meleze Hybride'!$F$21,Thuya!AR106*Thuya!$F$21,'Chêne et feuillus divers'!AR106*'Chêne et feuillus divers'!$F$21)</f>
        <v>0</v>
      </c>
      <c r="Y122" s="184">
        <f>SUM('Pin Sylvestre'!AS106*'Pin Sylvestre'!$F$21,Douglas!AS106*Douglas!$F$21,'Pin Maritime'!AS106*'Pin Maritime'!$F$21,'Meleze Hybride'!AS106*'Meleze Hybride'!$F$21,Thuya!AS106*Thuya!$F$21,'Chêne et feuillus divers'!AS106*'Chêne et feuillus divers'!$F$21)</f>
        <v>0</v>
      </c>
      <c r="Z122" s="327">
        <f>SUM('Pin Sylvestre'!AT106*'Pin Sylvestre'!$F$21,Douglas!AT106*Douglas!$F$21,'Pin Maritime'!AT106*'Pin Maritime'!$F$21,'Meleze Hybride'!AT106*'Meleze Hybride'!$F$21,Thuya!AT106*Thuya!$F$21,'Chêne et feuillus divers'!AT106*'Chêne et feuillus divers'!$F$21)</f>
        <v>0</v>
      </c>
      <c r="AA122" s="174">
        <f t="shared" si="18"/>
        <v>0</v>
      </c>
      <c r="AB122" s="175">
        <f t="shared" si="17"/>
        <v>-1.2550161073650585</v>
      </c>
      <c r="AC122" s="174"/>
      <c r="AD122" s="174"/>
    </row>
    <row r="123" spans="2:30">
      <c r="B123" s="165" t="s">
        <v>10</v>
      </c>
      <c r="C123" s="4">
        <v>0.52</v>
      </c>
      <c r="D123" s="187" t="s">
        <v>228</v>
      </c>
      <c r="E123" s="204">
        <v>40</v>
      </c>
      <c r="F123" s="250">
        <f>IF(Tableau14582[[#This Row],[Type]]="Feuillus",11*1.25,15.5*1.25)</f>
        <v>13.75</v>
      </c>
      <c r="G123" s="204">
        <v>10</v>
      </c>
      <c r="M123"/>
      <c r="N123" s="71">
        <v>102</v>
      </c>
      <c r="O123" s="235"/>
      <c r="P123" s="176"/>
      <c r="Q123" s="236">
        <f t="shared" ref="Q123:Q154" si="22">$L$13*(1+$L$9)^N123*$L$5</f>
        <v>100.0025</v>
      </c>
      <c r="R123" s="176">
        <f t="shared" si="15"/>
        <v>7.0001750000000005</v>
      </c>
      <c r="S123" s="176">
        <f>$L$11*(1+$L$9)^N123*'Récapitulatif des résultats'!$I$11</f>
        <v>0</v>
      </c>
      <c r="T123" s="237"/>
      <c r="U123" s="176"/>
      <c r="V123" s="245">
        <f t="shared" si="16"/>
        <v>0</v>
      </c>
      <c r="W123" s="184">
        <f>SUM('Pin Sylvestre'!AQ107*'Pin Sylvestre'!$F$21,Douglas!AQ107*Douglas!$F$21,'Pin Maritime'!AQ107*'Pin Maritime'!$F$21,'Meleze Hybride'!AQ107*'Meleze Hybride'!$F$21,Thuya!AQ107*Thuya!$F$21,'Chêne et feuillus divers'!AQ107*'Chêne et feuillus divers'!$F$21)</f>
        <v>0</v>
      </c>
      <c r="X123" s="184">
        <f>SUM('Pin Sylvestre'!AR107*'Pin Sylvestre'!$F$21,Douglas!AR107*Douglas!$F$21,'Pin Maritime'!AR107*'Pin Maritime'!$F$21,'Meleze Hybride'!AR107*'Meleze Hybride'!$F$21,Thuya!AR107*Thuya!$F$21,'Chêne et feuillus divers'!AR107*'Chêne et feuillus divers'!$F$21)</f>
        <v>0</v>
      </c>
      <c r="Y123" s="184">
        <f>SUM('Pin Sylvestre'!AS107*'Pin Sylvestre'!$F$21,Douglas!AS107*Douglas!$F$21,'Pin Maritime'!AS107*'Pin Maritime'!$F$21,'Meleze Hybride'!AS107*'Meleze Hybride'!$F$21,Thuya!AS107*Thuya!$F$21,'Chêne et feuillus divers'!AS107*'Chêne et feuillus divers'!$F$21)</f>
        <v>0</v>
      </c>
      <c r="Z123" s="327">
        <f>SUM('Pin Sylvestre'!AT107*'Pin Sylvestre'!$F$21,Douglas!AT107*Douglas!$F$21,'Pin Maritime'!AT107*'Pin Maritime'!$F$21,'Meleze Hybride'!AT107*'Meleze Hybride'!$F$21,Thuya!AT107*Thuya!$F$21,'Chêne et feuillus divers'!AT107*'Chêne et feuillus divers'!$F$21)</f>
        <v>0</v>
      </c>
      <c r="AA123" s="174">
        <f t="shared" si="18"/>
        <v>0</v>
      </c>
      <c r="AB123" s="175">
        <f t="shared" si="17"/>
        <v>-1.2009723515455109</v>
      </c>
      <c r="AC123" s="174"/>
      <c r="AD123" s="174"/>
    </row>
    <row r="124" spans="2:30">
      <c r="B124" s="165" t="s">
        <v>11</v>
      </c>
      <c r="C124" s="4">
        <v>0.36</v>
      </c>
      <c r="D124" s="187" t="s">
        <v>229</v>
      </c>
      <c r="E124" s="251">
        <v>30</v>
      </c>
      <c r="F124" s="250">
        <f>IF(Tableau14582[[#This Row],[Type]]="Feuillus",11*1.25,15.5*1.25)</f>
        <v>19.375</v>
      </c>
      <c r="G124" s="204">
        <v>10</v>
      </c>
      <c r="M124"/>
      <c r="N124" s="71">
        <v>103</v>
      </c>
      <c r="O124" s="235"/>
      <c r="P124" s="176"/>
      <c r="Q124" s="236">
        <f t="shared" si="22"/>
        <v>100.0025</v>
      </c>
      <c r="R124" s="176">
        <f t="shared" si="15"/>
        <v>7.0001750000000005</v>
      </c>
      <c r="S124" s="176">
        <f>$L$11*(1+$L$9)^N124*'Récapitulatif des résultats'!$I$11</f>
        <v>0</v>
      </c>
      <c r="T124" s="237"/>
      <c r="U124" s="176"/>
      <c r="V124" s="245">
        <f t="shared" si="16"/>
        <v>0</v>
      </c>
      <c r="W124" s="184">
        <f>SUM('Pin Sylvestre'!AQ108*'Pin Sylvestre'!$F$21,Douglas!AQ108*Douglas!$F$21,'Pin Maritime'!AQ108*'Pin Maritime'!$F$21,'Meleze Hybride'!AQ108*'Meleze Hybride'!$F$21,Thuya!AQ108*Thuya!$F$21,'Chêne et feuillus divers'!AQ108*'Chêne et feuillus divers'!$F$21)</f>
        <v>0</v>
      </c>
      <c r="X124" s="184">
        <f>SUM('Pin Sylvestre'!AR108*'Pin Sylvestre'!$F$21,Douglas!AR108*Douglas!$F$21,'Pin Maritime'!AR108*'Pin Maritime'!$F$21,'Meleze Hybride'!AR108*'Meleze Hybride'!$F$21,Thuya!AR108*Thuya!$F$21,'Chêne et feuillus divers'!AR108*'Chêne et feuillus divers'!$F$21)</f>
        <v>0</v>
      </c>
      <c r="Y124" s="184">
        <f>SUM('Pin Sylvestre'!AS108*'Pin Sylvestre'!$F$21,Douglas!AS108*Douglas!$F$21,'Pin Maritime'!AS108*'Pin Maritime'!$F$21,'Meleze Hybride'!AS108*'Meleze Hybride'!$F$21,Thuya!AS108*Thuya!$F$21,'Chêne et feuillus divers'!AS108*'Chêne et feuillus divers'!$F$21)</f>
        <v>0</v>
      </c>
      <c r="Z124" s="327">
        <f>SUM('Pin Sylvestre'!AT108*'Pin Sylvestre'!$F$21,Douglas!AT108*Douglas!$F$21,'Pin Maritime'!AT108*'Pin Maritime'!$F$21,'Meleze Hybride'!AT108*'Meleze Hybride'!$F$21,Thuya!AT108*Thuya!$F$21,'Chêne et feuillus divers'!AT108*'Chêne et feuillus divers'!$F$21)</f>
        <v>0</v>
      </c>
      <c r="AA124" s="174">
        <f t="shared" si="18"/>
        <v>0</v>
      </c>
      <c r="AB124" s="175">
        <f t="shared" si="17"/>
        <v>-1.1492558387995317</v>
      </c>
      <c r="AC124" s="174"/>
      <c r="AD124" s="174"/>
    </row>
    <row r="125" spans="2:30">
      <c r="B125" s="165" t="s">
        <v>12</v>
      </c>
      <c r="C125" s="4">
        <v>0.61</v>
      </c>
      <c r="D125" s="187" t="s">
        <v>228</v>
      </c>
      <c r="E125" s="204">
        <v>50</v>
      </c>
      <c r="F125" s="250">
        <f>IF(Tableau14582[[#This Row],[Type]]="Feuillus",11*1.25,15.5*1.25)</f>
        <v>13.75</v>
      </c>
      <c r="G125" s="204">
        <v>10</v>
      </c>
      <c r="M125"/>
      <c r="N125" s="71">
        <v>104</v>
      </c>
      <c r="O125" s="235"/>
      <c r="P125" s="176"/>
      <c r="Q125" s="236">
        <f t="shared" si="22"/>
        <v>100.0025</v>
      </c>
      <c r="R125" s="176">
        <f t="shared" si="15"/>
        <v>7.0001750000000005</v>
      </c>
      <c r="S125" s="176">
        <f>$L$11*(1+$L$9)^N125*'Récapitulatif des résultats'!$I$11</f>
        <v>0</v>
      </c>
      <c r="T125" s="237"/>
      <c r="U125" s="176"/>
      <c r="V125" s="245">
        <f t="shared" si="16"/>
        <v>0</v>
      </c>
      <c r="W125" s="184">
        <f>SUM('Pin Sylvestre'!AQ109*'Pin Sylvestre'!$F$21,Douglas!AQ109*Douglas!$F$21,'Pin Maritime'!AQ109*'Pin Maritime'!$F$21,'Meleze Hybride'!AQ109*'Meleze Hybride'!$F$21,Thuya!AQ109*Thuya!$F$21,'Chêne et feuillus divers'!AQ109*'Chêne et feuillus divers'!$F$21)</f>
        <v>0</v>
      </c>
      <c r="X125" s="184">
        <f>SUM('Pin Sylvestre'!AR109*'Pin Sylvestre'!$F$21,Douglas!AR109*Douglas!$F$21,'Pin Maritime'!AR109*'Pin Maritime'!$F$21,'Meleze Hybride'!AR109*'Meleze Hybride'!$F$21,Thuya!AR109*Thuya!$F$21,'Chêne et feuillus divers'!AR109*'Chêne et feuillus divers'!$F$21)</f>
        <v>0</v>
      </c>
      <c r="Y125" s="184">
        <f>SUM('Pin Sylvestre'!AS109*'Pin Sylvestre'!$F$21,Douglas!AS109*Douglas!$F$21,'Pin Maritime'!AS109*'Pin Maritime'!$F$21,'Meleze Hybride'!AS109*'Meleze Hybride'!$F$21,Thuya!AS109*Thuya!$F$21,'Chêne et feuillus divers'!AS109*'Chêne et feuillus divers'!$F$21)</f>
        <v>0</v>
      </c>
      <c r="Z125" s="327">
        <f>SUM('Pin Sylvestre'!AT109*'Pin Sylvestre'!$F$21,Douglas!AT109*Douglas!$F$21,'Pin Maritime'!AT109*'Pin Maritime'!$F$21,'Meleze Hybride'!AT109*'Meleze Hybride'!$F$21,Thuya!AT109*Thuya!$F$21,'Chêne et feuillus divers'!AT109*'Chêne et feuillus divers'!$F$21)</f>
        <v>0</v>
      </c>
      <c r="AA125" s="174">
        <f t="shared" si="18"/>
        <v>0</v>
      </c>
      <c r="AB125" s="175">
        <f t="shared" si="17"/>
        <v>-1.0997663529182127</v>
      </c>
      <c r="AC125" s="174"/>
      <c r="AD125" s="174"/>
    </row>
    <row r="126" spans="2:30">
      <c r="B126" s="165" t="s">
        <v>13</v>
      </c>
      <c r="C126" s="4">
        <v>0.66</v>
      </c>
      <c r="D126" s="187" t="s">
        <v>228</v>
      </c>
      <c r="E126" s="204">
        <v>50</v>
      </c>
      <c r="F126" s="250">
        <f>IF(Tableau14582[[#This Row],[Type]]="Feuillus",11*1.25,15.5*1.25)</f>
        <v>13.75</v>
      </c>
      <c r="G126" s="204">
        <v>10</v>
      </c>
      <c r="M126"/>
      <c r="N126" s="71">
        <v>105</v>
      </c>
      <c r="O126" s="235"/>
      <c r="P126" s="176"/>
      <c r="Q126" s="236">
        <f t="shared" si="22"/>
        <v>100.0025</v>
      </c>
      <c r="R126" s="176">
        <f t="shared" si="15"/>
        <v>7.0001750000000005</v>
      </c>
      <c r="S126" s="176">
        <f>$L$11*(1+$L$9)^N126*'Récapitulatif des résultats'!$I$11</f>
        <v>0</v>
      </c>
      <c r="T126" s="237"/>
      <c r="U126" s="176"/>
      <c r="V126" s="245">
        <f t="shared" si="16"/>
        <v>0</v>
      </c>
      <c r="W126" s="184">
        <f>SUM('Pin Sylvestre'!AQ110*'Pin Sylvestre'!$F$21,Douglas!AQ110*Douglas!$F$21,'Pin Maritime'!AQ110*'Pin Maritime'!$F$21,'Meleze Hybride'!AQ110*'Meleze Hybride'!$F$21,Thuya!AQ110*Thuya!$F$21,'Chêne et feuillus divers'!AQ110*'Chêne et feuillus divers'!$F$21)</f>
        <v>0</v>
      </c>
      <c r="X126" s="184">
        <f>SUM('Pin Sylvestre'!AR110*'Pin Sylvestre'!$F$21,Douglas!AR110*Douglas!$F$21,'Pin Maritime'!AR110*'Pin Maritime'!$F$21,'Meleze Hybride'!AR110*'Meleze Hybride'!$F$21,Thuya!AR110*Thuya!$F$21,'Chêne et feuillus divers'!AR110*'Chêne et feuillus divers'!$F$21)</f>
        <v>0</v>
      </c>
      <c r="Y126" s="184">
        <f>SUM('Pin Sylvestre'!AS110*'Pin Sylvestre'!$F$21,Douglas!AS110*Douglas!$F$21,'Pin Maritime'!AS110*'Pin Maritime'!$F$21,'Meleze Hybride'!AS110*'Meleze Hybride'!$F$21,Thuya!AS110*Thuya!$F$21,'Chêne et feuillus divers'!AS110*'Chêne et feuillus divers'!$F$21)</f>
        <v>0</v>
      </c>
      <c r="Z126" s="327">
        <f>SUM('Pin Sylvestre'!AT110*'Pin Sylvestre'!$F$21,Douglas!AT110*Douglas!$F$21,'Pin Maritime'!AT110*'Pin Maritime'!$F$21,'Meleze Hybride'!AT110*'Meleze Hybride'!$F$21,Thuya!AT110*Thuya!$F$21,'Chêne et feuillus divers'!AT110*'Chêne et feuillus divers'!$F$21)</f>
        <v>0</v>
      </c>
      <c r="AA126" s="174">
        <f t="shared" si="18"/>
        <v>0</v>
      </c>
      <c r="AB126" s="175">
        <f t="shared" si="17"/>
        <v>-1.05240799322317</v>
      </c>
      <c r="AC126" s="174"/>
      <c r="AD126" s="174"/>
    </row>
    <row r="127" spans="2:30">
      <c r="B127" s="166" t="s">
        <v>14</v>
      </c>
      <c r="C127" s="133">
        <v>0.47</v>
      </c>
      <c r="D127" s="187" t="s">
        <v>228</v>
      </c>
      <c r="E127" s="204">
        <v>100</v>
      </c>
      <c r="F127" s="250">
        <f>IF(Tableau14582[[#This Row],[Type]]="Feuillus",11*1.25,15.5*1.25)</f>
        <v>13.75</v>
      </c>
      <c r="G127" s="204">
        <v>10</v>
      </c>
      <c r="M127"/>
      <c r="N127" s="71">
        <v>106</v>
      </c>
      <c r="O127" s="235"/>
      <c r="P127" s="176"/>
      <c r="Q127" s="236">
        <f t="shared" si="22"/>
        <v>100.0025</v>
      </c>
      <c r="R127" s="176">
        <f t="shared" si="15"/>
        <v>7.0001750000000005</v>
      </c>
      <c r="S127" s="176">
        <f>$L$11*(1+$L$9)^N127*'Récapitulatif des résultats'!$I$11</f>
        <v>0</v>
      </c>
      <c r="T127" s="237"/>
      <c r="U127" s="176"/>
      <c r="V127" s="245">
        <f t="shared" si="16"/>
        <v>0</v>
      </c>
      <c r="W127" s="184">
        <f>SUM('Pin Sylvestre'!AQ111*'Pin Sylvestre'!$F$21,Douglas!AQ111*Douglas!$F$21,'Pin Maritime'!AQ111*'Pin Maritime'!$F$21,'Meleze Hybride'!AQ111*'Meleze Hybride'!$F$21,Thuya!AQ111*Thuya!$F$21,'Chêne et feuillus divers'!AQ111*'Chêne et feuillus divers'!$F$21)</f>
        <v>0</v>
      </c>
      <c r="X127" s="184">
        <f>SUM('Pin Sylvestre'!AR111*'Pin Sylvestre'!$F$21,Douglas!AR111*Douglas!$F$21,'Pin Maritime'!AR111*'Pin Maritime'!$F$21,'Meleze Hybride'!AR111*'Meleze Hybride'!$F$21,Thuya!AR111*Thuya!$F$21,'Chêne et feuillus divers'!AR111*'Chêne et feuillus divers'!$F$21)</f>
        <v>0</v>
      </c>
      <c r="Y127" s="184">
        <f>SUM('Pin Sylvestre'!AS111*'Pin Sylvestre'!$F$21,Douglas!AS111*Douglas!$F$21,'Pin Maritime'!AS111*'Pin Maritime'!$F$21,'Meleze Hybride'!AS111*'Meleze Hybride'!$F$21,Thuya!AS111*Thuya!$F$21,'Chêne et feuillus divers'!AS111*'Chêne et feuillus divers'!$F$21)</f>
        <v>0</v>
      </c>
      <c r="Z127" s="327">
        <f>SUM('Pin Sylvestre'!AT111*'Pin Sylvestre'!$F$21,Douglas!AT111*Douglas!$F$21,'Pin Maritime'!AT111*'Pin Maritime'!$F$21,'Meleze Hybride'!AT111*'Meleze Hybride'!$F$21,Thuya!AT111*Thuya!$F$21,'Chêne et feuillus divers'!AT111*'Chêne et feuillus divers'!$F$21)</f>
        <v>0</v>
      </c>
      <c r="AA127" s="174">
        <f t="shared" si="18"/>
        <v>0</v>
      </c>
      <c r="AB127" s="175">
        <f t="shared" si="17"/>
        <v>-1.0070889887303065</v>
      </c>
      <c r="AC127" s="174"/>
      <c r="AD127" s="174"/>
    </row>
    <row r="128" spans="2:30">
      <c r="B128" s="165" t="s">
        <v>15</v>
      </c>
      <c r="C128" s="4">
        <v>0.67</v>
      </c>
      <c r="D128" s="187" t="s">
        <v>228</v>
      </c>
      <c r="E128" s="204">
        <v>150</v>
      </c>
      <c r="F128" s="250">
        <f>IF(Tableau14582[[#This Row],[Type]]="Feuillus",11*1.25,15.5*1.25)</f>
        <v>13.75</v>
      </c>
      <c r="G128" s="204">
        <v>10</v>
      </c>
      <c r="M128"/>
      <c r="N128" s="71">
        <v>107</v>
      </c>
      <c r="O128" s="235"/>
      <c r="P128" s="176"/>
      <c r="Q128" s="236">
        <f t="shared" si="22"/>
        <v>100.0025</v>
      </c>
      <c r="R128" s="176">
        <f t="shared" si="15"/>
        <v>7.0001750000000005</v>
      </c>
      <c r="S128" s="176">
        <f>$L$11*(1+$L$9)^N128*'Récapitulatif des résultats'!$I$11</f>
        <v>0</v>
      </c>
      <c r="T128" s="237"/>
      <c r="U128" s="176"/>
      <c r="V128" s="245">
        <f t="shared" si="16"/>
        <v>0</v>
      </c>
      <c r="W128" s="184">
        <f>SUM('Pin Sylvestre'!AQ112*'Pin Sylvestre'!$F$21,Douglas!AQ112*Douglas!$F$21,'Pin Maritime'!AQ112*'Pin Maritime'!$F$21,'Meleze Hybride'!AQ112*'Meleze Hybride'!$F$21,Thuya!AQ112*Thuya!$F$21,'Chêne et feuillus divers'!AQ112*'Chêne et feuillus divers'!$F$21)</f>
        <v>0</v>
      </c>
      <c r="X128" s="184">
        <f>SUM('Pin Sylvestre'!AR112*'Pin Sylvestre'!$F$21,Douglas!AR112*Douglas!$F$21,'Pin Maritime'!AR112*'Pin Maritime'!$F$21,'Meleze Hybride'!AR112*'Meleze Hybride'!$F$21,Thuya!AR112*Thuya!$F$21,'Chêne et feuillus divers'!AR112*'Chêne et feuillus divers'!$F$21)</f>
        <v>0</v>
      </c>
      <c r="Y128" s="184">
        <f>SUM('Pin Sylvestre'!AS112*'Pin Sylvestre'!$F$21,Douglas!AS112*Douglas!$F$21,'Pin Maritime'!AS112*'Pin Maritime'!$F$21,'Meleze Hybride'!AS112*'Meleze Hybride'!$F$21,Thuya!AS112*Thuya!$F$21,'Chêne et feuillus divers'!AS112*'Chêne et feuillus divers'!$F$21)</f>
        <v>0</v>
      </c>
      <c r="Z128" s="327">
        <f>SUM('Pin Sylvestre'!AT112*'Pin Sylvestre'!$F$21,Douglas!AT112*Douglas!$F$21,'Pin Maritime'!AT112*'Pin Maritime'!$F$21,'Meleze Hybride'!AT112*'Meleze Hybride'!$F$21,Thuya!AT112*Thuya!$F$21,'Chêne et feuillus divers'!AT112*'Chêne et feuillus divers'!$F$21)</f>
        <v>0</v>
      </c>
      <c r="AA128" s="174">
        <f t="shared" si="18"/>
        <v>0</v>
      </c>
      <c r="AB128" s="175">
        <f t="shared" si="17"/>
        <v>-0.9637215203160826</v>
      </c>
      <c r="AC128" s="174"/>
      <c r="AD128" s="174"/>
    </row>
    <row r="129" spans="2:30">
      <c r="B129" s="165" t="s">
        <v>16</v>
      </c>
      <c r="C129" s="4">
        <v>0.7</v>
      </c>
      <c r="D129" s="187" t="s">
        <v>228</v>
      </c>
      <c r="E129" s="204">
        <v>150</v>
      </c>
      <c r="F129" s="250">
        <f>IF(Tableau14582[[#This Row],[Type]]="Feuillus",11*1.25,15.5*1.25)</f>
        <v>13.75</v>
      </c>
      <c r="G129" s="204">
        <v>10</v>
      </c>
      <c r="M129"/>
      <c r="N129" s="71">
        <v>108</v>
      </c>
      <c r="O129" s="235"/>
      <c r="P129" s="176"/>
      <c r="Q129" s="236">
        <f t="shared" si="22"/>
        <v>100.0025</v>
      </c>
      <c r="R129" s="176">
        <f t="shared" si="15"/>
        <v>7.0001750000000005</v>
      </c>
      <c r="S129" s="176">
        <f>$L$11*(1+$L$9)^N129*'Récapitulatif des résultats'!$I$11</f>
        <v>0</v>
      </c>
      <c r="T129" s="237"/>
      <c r="U129" s="176"/>
      <c r="V129" s="245">
        <f t="shared" si="16"/>
        <v>0</v>
      </c>
      <c r="W129" s="184">
        <f>SUM('Pin Sylvestre'!AQ113*'Pin Sylvestre'!$F$21,Douglas!AQ113*Douglas!$F$21,'Pin Maritime'!AQ113*'Pin Maritime'!$F$21,'Meleze Hybride'!AQ113*'Meleze Hybride'!$F$21,Thuya!AQ113*Thuya!$F$21,'Chêne et feuillus divers'!AQ113*'Chêne et feuillus divers'!$F$21)</f>
        <v>0</v>
      </c>
      <c r="X129" s="184">
        <f>SUM('Pin Sylvestre'!AR113*'Pin Sylvestre'!$F$21,Douglas!AR113*Douglas!$F$21,'Pin Maritime'!AR113*'Pin Maritime'!$F$21,'Meleze Hybride'!AR113*'Meleze Hybride'!$F$21,Thuya!AR113*Thuya!$F$21,'Chêne et feuillus divers'!AR113*'Chêne et feuillus divers'!$F$21)</f>
        <v>0</v>
      </c>
      <c r="Y129" s="184">
        <f>SUM('Pin Sylvestre'!AS113*'Pin Sylvestre'!$F$21,Douglas!AS113*Douglas!$F$21,'Pin Maritime'!AS113*'Pin Maritime'!$F$21,'Meleze Hybride'!AS113*'Meleze Hybride'!$F$21,Thuya!AS113*Thuya!$F$21,'Chêne et feuillus divers'!AS113*'Chêne et feuillus divers'!$F$21)</f>
        <v>0</v>
      </c>
      <c r="Z129" s="327">
        <f>SUM('Pin Sylvestre'!AT113*'Pin Sylvestre'!$F$21,Douglas!AT113*Douglas!$F$21,'Pin Maritime'!AT113*'Pin Maritime'!$F$21,'Meleze Hybride'!AT113*'Meleze Hybride'!$F$21,Thuya!AT113*Thuya!$F$21,'Chêne et feuillus divers'!AT113*'Chêne et feuillus divers'!$F$21)</f>
        <v>0</v>
      </c>
      <c r="AA129" s="174">
        <f t="shared" si="18"/>
        <v>0</v>
      </c>
      <c r="AB129" s="175">
        <f t="shared" si="17"/>
        <v>-0.92222155054170607</v>
      </c>
      <c r="AC129" s="174"/>
      <c r="AD129" s="174"/>
    </row>
    <row r="130" spans="2:30">
      <c r="B130" s="165" t="s">
        <v>17</v>
      </c>
      <c r="C130" s="4">
        <v>0.54</v>
      </c>
      <c r="D130" s="187" t="s">
        <v>228</v>
      </c>
      <c r="E130" s="204">
        <v>150</v>
      </c>
      <c r="F130" s="250">
        <f>IF(Tableau14582[[#This Row],[Type]]="Feuillus",11*1.25,15.5*1.25)</f>
        <v>13.75</v>
      </c>
      <c r="G130" s="204">
        <v>10</v>
      </c>
      <c r="M130"/>
      <c r="N130" s="71">
        <v>109</v>
      </c>
      <c r="O130" s="235"/>
      <c r="P130" s="176"/>
      <c r="Q130" s="236">
        <f t="shared" si="22"/>
        <v>100.0025</v>
      </c>
      <c r="R130" s="176">
        <f t="shared" si="15"/>
        <v>7.0001750000000005</v>
      </c>
      <c r="S130" s="176">
        <f>$L$11*(1+$L$9)^N130*'Récapitulatif des résultats'!$I$11</f>
        <v>0</v>
      </c>
      <c r="T130" s="237"/>
      <c r="U130" s="176"/>
      <c r="V130" s="245">
        <f t="shared" si="16"/>
        <v>0</v>
      </c>
      <c r="W130" s="184">
        <f>SUM('Pin Sylvestre'!AQ114*'Pin Sylvestre'!$F$21,Douglas!AQ114*Douglas!$F$21,'Pin Maritime'!AQ114*'Pin Maritime'!$F$21,'Meleze Hybride'!AQ114*'Meleze Hybride'!$F$21,Thuya!AQ114*Thuya!$F$21,'Chêne et feuillus divers'!AQ114*'Chêne et feuillus divers'!$F$21)</f>
        <v>0</v>
      </c>
      <c r="X130" s="184">
        <f>SUM('Pin Sylvestre'!AR114*'Pin Sylvestre'!$F$21,Douglas!AR114*Douglas!$F$21,'Pin Maritime'!AR114*'Pin Maritime'!$F$21,'Meleze Hybride'!AR114*'Meleze Hybride'!$F$21,Thuya!AR114*Thuya!$F$21,'Chêne et feuillus divers'!AR114*'Chêne et feuillus divers'!$F$21)</f>
        <v>0</v>
      </c>
      <c r="Y130" s="184">
        <f>SUM('Pin Sylvestre'!AS114*'Pin Sylvestre'!$F$21,Douglas!AS114*Douglas!$F$21,'Pin Maritime'!AS114*'Pin Maritime'!$F$21,'Meleze Hybride'!AS114*'Meleze Hybride'!$F$21,Thuya!AS114*Thuya!$F$21,'Chêne et feuillus divers'!AS114*'Chêne et feuillus divers'!$F$21)</f>
        <v>0</v>
      </c>
      <c r="Z130" s="327">
        <f>SUM('Pin Sylvestre'!AT114*'Pin Sylvestre'!$F$21,Douglas!AT114*Douglas!$F$21,'Pin Maritime'!AT114*'Pin Maritime'!$F$21,'Meleze Hybride'!AT114*'Meleze Hybride'!$F$21,Thuya!AT114*Thuya!$F$21,'Chêne et feuillus divers'!AT114*'Chêne et feuillus divers'!$F$21)</f>
        <v>0</v>
      </c>
      <c r="AA130" s="174">
        <f t="shared" si="18"/>
        <v>0</v>
      </c>
      <c r="AB130" s="175">
        <f t="shared" si="17"/>
        <v>-0.88250866080546031</v>
      </c>
      <c r="AC130" s="174"/>
      <c r="AD130" s="174"/>
    </row>
    <row r="131" spans="2:30">
      <c r="B131" s="165" t="s">
        <v>18</v>
      </c>
      <c r="C131" s="4">
        <v>0.65</v>
      </c>
      <c r="D131" s="187" t="s">
        <v>228</v>
      </c>
      <c r="E131" s="204">
        <v>150</v>
      </c>
      <c r="F131" s="250">
        <f>IF(Tableau14582[[#This Row],[Type]]="Feuillus",11*1.25,15.5*1.25)</f>
        <v>13.75</v>
      </c>
      <c r="G131" s="204">
        <v>10</v>
      </c>
      <c r="M131"/>
      <c r="N131" s="71">
        <v>110</v>
      </c>
      <c r="O131" s="235"/>
      <c r="P131" s="176"/>
      <c r="Q131" s="236">
        <f t="shared" si="22"/>
        <v>100.0025</v>
      </c>
      <c r="R131" s="176">
        <f t="shared" si="15"/>
        <v>7.0001750000000005</v>
      </c>
      <c r="S131" s="176">
        <f>$L$11*(1+$L$9)^N131*'Récapitulatif des résultats'!$I$11</f>
        <v>0</v>
      </c>
      <c r="T131" s="237"/>
      <c r="U131" s="176"/>
      <c r="V131" s="245">
        <f t="shared" si="16"/>
        <v>0</v>
      </c>
      <c r="W131" s="184">
        <f>SUM('Pin Sylvestre'!AQ115*'Pin Sylvestre'!$F$21,Douglas!AQ115*Douglas!$F$21,'Pin Maritime'!AQ115*'Pin Maritime'!$F$21,'Meleze Hybride'!AQ115*'Meleze Hybride'!$F$21,Thuya!AQ115*Thuya!$F$21,'Chêne et feuillus divers'!AQ115*'Chêne et feuillus divers'!$F$21)</f>
        <v>0</v>
      </c>
      <c r="X131" s="184">
        <f>SUM('Pin Sylvestre'!AR115*'Pin Sylvestre'!$F$21,Douglas!AR115*Douglas!$F$21,'Pin Maritime'!AR115*'Pin Maritime'!$F$21,'Meleze Hybride'!AR115*'Meleze Hybride'!$F$21,Thuya!AR115*Thuya!$F$21,'Chêne et feuillus divers'!AR115*'Chêne et feuillus divers'!$F$21)</f>
        <v>0</v>
      </c>
      <c r="Y131" s="184">
        <f>SUM('Pin Sylvestre'!AS115*'Pin Sylvestre'!$F$21,Douglas!AS115*Douglas!$F$21,'Pin Maritime'!AS115*'Pin Maritime'!$F$21,'Meleze Hybride'!AS115*'Meleze Hybride'!$F$21,Thuya!AS115*Thuya!$F$21,'Chêne et feuillus divers'!AS115*'Chêne et feuillus divers'!$F$21)</f>
        <v>0</v>
      </c>
      <c r="Z131" s="327">
        <f>SUM('Pin Sylvestre'!AT115*'Pin Sylvestre'!$F$21,Douglas!AT115*Douglas!$F$21,'Pin Maritime'!AT115*'Pin Maritime'!$F$21,'Meleze Hybride'!AT115*'Meleze Hybride'!$F$21,Thuya!AT115*Thuya!$F$21,'Chêne et feuillus divers'!AT115*'Chêne et feuillus divers'!$F$21)</f>
        <v>0</v>
      </c>
      <c r="AA131" s="174">
        <f t="shared" si="18"/>
        <v>0</v>
      </c>
      <c r="AB131" s="175">
        <f t="shared" si="17"/>
        <v>-0.84450589550761779</v>
      </c>
      <c r="AC131" s="174"/>
      <c r="AD131" s="174"/>
    </row>
    <row r="132" spans="2:30">
      <c r="B132" s="165" t="s">
        <v>19</v>
      </c>
      <c r="C132" s="4">
        <v>0.56000000000000005</v>
      </c>
      <c r="D132" s="187" t="s">
        <v>228</v>
      </c>
      <c r="E132" s="204">
        <v>150</v>
      </c>
      <c r="F132" s="250">
        <f>IF(Tableau14582[[#This Row],[Type]]="Feuillus",11*1.25,15.5*1.25)</f>
        <v>13.75</v>
      </c>
      <c r="G132" s="204">
        <v>10</v>
      </c>
      <c r="M132"/>
      <c r="N132" s="71">
        <v>111</v>
      </c>
      <c r="O132" s="235"/>
      <c r="P132" s="176"/>
      <c r="Q132" s="236">
        <f t="shared" si="22"/>
        <v>100.0025</v>
      </c>
      <c r="R132" s="176">
        <f t="shared" si="15"/>
        <v>7.0001750000000005</v>
      </c>
      <c r="S132" s="176">
        <f>$L$11*(1+$L$9)^N132*'Récapitulatif des résultats'!$I$11</f>
        <v>0</v>
      </c>
      <c r="T132" s="237"/>
      <c r="U132" s="176"/>
      <c r="V132" s="245">
        <f t="shared" si="16"/>
        <v>0</v>
      </c>
      <c r="W132" s="184">
        <f>SUM('Pin Sylvestre'!AQ116*'Pin Sylvestre'!$F$21,Douglas!AQ116*Douglas!$F$21,'Pin Maritime'!AQ116*'Pin Maritime'!$F$21,'Meleze Hybride'!AQ116*'Meleze Hybride'!$F$21,Thuya!AQ116*Thuya!$F$21,'Chêne et feuillus divers'!AQ116*'Chêne et feuillus divers'!$F$21)</f>
        <v>0</v>
      </c>
      <c r="X132" s="184">
        <f>SUM('Pin Sylvestre'!AR116*'Pin Sylvestre'!$F$21,Douglas!AR116*Douglas!$F$21,'Pin Maritime'!AR116*'Pin Maritime'!$F$21,'Meleze Hybride'!AR116*'Meleze Hybride'!$F$21,Thuya!AR116*Thuya!$F$21,'Chêne et feuillus divers'!AR116*'Chêne et feuillus divers'!$F$21)</f>
        <v>0</v>
      </c>
      <c r="Y132" s="184">
        <f>SUM('Pin Sylvestre'!AS116*'Pin Sylvestre'!$F$21,Douglas!AS116*Douglas!$F$21,'Pin Maritime'!AS116*'Pin Maritime'!$F$21,'Meleze Hybride'!AS116*'Meleze Hybride'!$F$21,Thuya!AS116*Thuya!$F$21,'Chêne et feuillus divers'!AS116*'Chêne et feuillus divers'!$F$21)</f>
        <v>0</v>
      </c>
      <c r="Z132" s="327">
        <f>SUM('Pin Sylvestre'!AT116*'Pin Sylvestre'!$F$21,Douglas!AT116*Douglas!$F$21,'Pin Maritime'!AT116*'Pin Maritime'!$F$21,'Meleze Hybride'!AT116*'Meleze Hybride'!$F$21,Thuya!AT116*Thuya!$F$21,'Chêne et feuillus divers'!AT116*'Chêne et feuillus divers'!$F$21)</f>
        <v>0</v>
      </c>
      <c r="AA132" s="174">
        <f t="shared" si="18"/>
        <v>0</v>
      </c>
      <c r="AB132" s="175">
        <f t="shared" si="17"/>
        <v>-0.80813961292594994</v>
      </c>
      <c r="AC132" s="174"/>
      <c r="AD132" s="174"/>
    </row>
    <row r="133" spans="2:30">
      <c r="B133" s="165" t="s">
        <v>20</v>
      </c>
      <c r="C133" s="4">
        <v>0.57999999999999996</v>
      </c>
      <c r="D133" s="187" t="s">
        <v>228</v>
      </c>
      <c r="E133" s="204">
        <v>150</v>
      </c>
      <c r="F133" s="250">
        <f>IF(Tableau14582[[#This Row],[Type]]="Feuillus",11*1.25,15.5*1.25)</f>
        <v>13.75</v>
      </c>
      <c r="G133" s="204">
        <v>10</v>
      </c>
      <c r="M133"/>
      <c r="N133" s="71">
        <v>112</v>
      </c>
      <c r="O133" s="235"/>
      <c r="P133" s="176"/>
      <c r="Q133" s="236">
        <f t="shared" si="22"/>
        <v>100.0025</v>
      </c>
      <c r="R133" s="176">
        <f t="shared" si="15"/>
        <v>7.0001750000000005</v>
      </c>
      <c r="S133" s="176">
        <f>$L$11*(1+$L$9)^N133*'Récapitulatif des résultats'!$I$11</f>
        <v>0</v>
      </c>
      <c r="T133" s="237"/>
      <c r="U133" s="176"/>
      <c r="V133" s="245">
        <f t="shared" si="16"/>
        <v>0</v>
      </c>
      <c r="W133" s="184">
        <f>SUM('Pin Sylvestre'!AQ117*'Pin Sylvestre'!$F$21,Douglas!AQ117*Douglas!$F$21,'Pin Maritime'!AQ117*'Pin Maritime'!$F$21,'Meleze Hybride'!AQ117*'Meleze Hybride'!$F$21,Thuya!AQ117*Thuya!$F$21,'Chêne et feuillus divers'!AQ117*'Chêne et feuillus divers'!$F$21)</f>
        <v>0</v>
      </c>
      <c r="X133" s="184">
        <f>SUM('Pin Sylvestre'!AR117*'Pin Sylvestre'!$F$21,Douglas!AR117*Douglas!$F$21,'Pin Maritime'!AR117*'Pin Maritime'!$F$21,'Meleze Hybride'!AR117*'Meleze Hybride'!$F$21,Thuya!AR117*Thuya!$F$21,'Chêne et feuillus divers'!AR117*'Chêne et feuillus divers'!$F$21)</f>
        <v>0</v>
      </c>
      <c r="Y133" s="184">
        <f>SUM('Pin Sylvestre'!AS117*'Pin Sylvestre'!$F$21,Douglas!AS117*Douglas!$F$21,'Pin Maritime'!AS117*'Pin Maritime'!$F$21,'Meleze Hybride'!AS117*'Meleze Hybride'!$F$21,Thuya!AS117*Thuya!$F$21,'Chêne et feuillus divers'!AS117*'Chêne et feuillus divers'!$F$21)</f>
        <v>0</v>
      </c>
      <c r="Z133" s="327">
        <f>SUM('Pin Sylvestre'!AT117*'Pin Sylvestre'!$F$21,Douglas!AT117*Douglas!$F$21,'Pin Maritime'!AT117*'Pin Maritime'!$F$21,'Meleze Hybride'!AT117*'Meleze Hybride'!$F$21,Thuya!AT117*Thuya!$F$21,'Chêne et feuillus divers'!AT117*'Chêne et feuillus divers'!$F$21)</f>
        <v>0</v>
      </c>
      <c r="AA133" s="174">
        <f t="shared" si="18"/>
        <v>0</v>
      </c>
      <c r="AB133" s="175">
        <f t="shared" si="17"/>
        <v>-0.77333934251287106</v>
      </c>
      <c r="AC133" s="174"/>
      <c r="AD133" s="174"/>
    </row>
    <row r="134" spans="2:30">
      <c r="B134" s="165" t="s">
        <v>21</v>
      </c>
      <c r="C134" s="4">
        <v>0.64</v>
      </c>
      <c r="D134" s="187" t="s">
        <v>228</v>
      </c>
      <c r="E134" s="204">
        <v>150</v>
      </c>
      <c r="F134" s="250">
        <f>IF(Tableau14582[[#This Row],[Type]]="Feuillus",11*1.25,15.5*1.25)</f>
        <v>13.75</v>
      </c>
      <c r="G134" s="204">
        <v>10</v>
      </c>
      <c r="M134"/>
      <c r="N134" s="71">
        <v>113</v>
      </c>
      <c r="O134" s="235"/>
      <c r="P134" s="176"/>
      <c r="Q134" s="236">
        <f t="shared" si="22"/>
        <v>100.0025</v>
      </c>
      <c r="R134" s="176">
        <f t="shared" si="15"/>
        <v>7.0001750000000005</v>
      </c>
      <c r="S134" s="176">
        <f>$L$11*(1+$L$9)^N134*'Récapitulatif des résultats'!$I$11</f>
        <v>0</v>
      </c>
      <c r="T134" s="237"/>
      <c r="U134" s="176"/>
      <c r="V134" s="245">
        <f t="shared" si="16"/>
        <v>0</v>
      </c>
      <c r="W134" s="184">
        <f>SUM('Pin Sylvestre'!AQ118*'Pin Sylvestre'!$F$21,Douglas!AQ118*Douglas!$F$21,'Pin Maritime'!AQ118*'Pin Maritime'!$F$21,'Meleze Hybride'!AQ118*'Meleze Hybride'!$F$21,Thuya!AQ118*Thuya!$F$21,'Chêne et feuillus divers'!AQ118*'Chêne et feuillus divers'!$F$21)</f>
        <v>0</v>
      </c>
      <c r="X134" s="184">
        <f>SUM('Pin Sylvestre'!AR118*'Pin Sylvestre'!$F$21,Douglas!AR118*Douglas!$F$21,'Pin Maritime'!AR118*'Pin Maritime'!$F$21,'Meleze Hybride'!AR118*'Meleze Hybride'!$F$21,Thuya!AR118*Thuya!$F$21,'Chêne et feuillus divers'!AR118*'Chêne et feuillus divers'!$F$21)</f>
        <v>0</v>
      </c>
      <c r="Y134" s="184">
        <f>SUM('Pin Sylvestre'!AS118*'Pin Sylvestre'!$F$21,Douglas!AS118*Douglas!$F$21,'Pin Maritime'!AS118*'Pin Maritime'!$F$21,'Meleze Hybride'!AS118*'Meleze Hybride'!$F$21,Thuya!AS118*Thuya!$F$21,'Chêne et feuillus divers'!AS118*'Chêne et feuillus divers'!$F$21)</f>
        <v>0</v>
      </c>
      <c r="Z134" s="327">
        <f>SUM('Pin Sylvestre'!AT118*'Pin Sylvestre'!$F$21,Douglas!AT118*Douglas!$F$21,'Pin Maritime'!AT118*'Pin Maritime'!$F$21,'Meleze Hybride'!AT118*'Meleze Hybride'!$F$21,Thuya!AT118*Thuya!$F$21,'Chêne et feuillus divers'!AT118*'Chêne et feuillus divers'!$F$21)</f>
        <v>0</v>
      </c>
      <c r="AA134" s="174">
        <f t="shared" si="18"/>
        <v>0</v>
      </c>
      <c r="AB134" s="175">
        <f t="shared" si="17"/>
        <v>-0.7400376483376756</v>
      </c>
      <c r="AC134" s="174"/>
      <c r="AD134" s="174"/>
    </row>
    <row r="135" spans="2:30">
      <c r="B135" s="165" t="s">
        <v>22</v>
      </c>
      <c r="C135" s="4">
        <v>0.73</v>
      </c>
      <c r="D135" s="187" t="s">
        <v>228</v>
      </c>
      <c r="E135" s="204">
        <v>150</v>
      </c>
      <c r="F135" s="250">
        <f>IF(Tableau14582[[#This Row],[Type]]="Feuillus",11*1.25,15.5*1.25)</f>
        <v>13.75</v>
      </c>
      <c r="G135" s="204">
        <v>10</v>
      </c>
      <c r="M135"/>
      <c r="N135" s="71">
        <v>114</v>
      </c>
      <c r="O135" s="235"/>
      <c r="P135" s="176"/>
      <c r="Q135" s="236">
        <f t="shared" si="22"/>
        <v>100.0025</v>
      </c>
      <c r="R135" s="176">
        <f t="shared" si="15"/>
        <v>7.0001750000000005</v>
      </c>
      <c r="S135" s="176">
        <f>$L$11*(1+$L$9)^N135*'Récapitulatif des résultats'!$I$11</f>
        <v>0</v>
      </c>
      <c r="T135" s="237"/>
      <c r="U135" s="176"/>
      <c r="V135" s="245">
        <f t="shared" si="16"/>
        <v>0</v>
      </c>
      <c r="W135" s="184">
        <f>SUM('Pin Sylvestre'!AQ119*'Pin Sylvestre'!$F$21,Douglas!AQ119*Douglas!$F$21,'Pin Maritime'!AQ119*'Pin Maritime'!$F$21,'Meleze Hybride'!AQ119*'Meleze Hybride'!$F$21,Thuya!AQ119*Thuya!$F$21,'Chêne et feuillus divers'!AQ119*'Chêne et feuillus divers'!$F$21)</f>
        <v>0</v>
      </c>
      <c r="X135" s="184">
        <f>SUM('Pin Sylvestre'!AR119*'Pin Sylvestre'!$F$21,Douglas!AR119*Douglas!$F$21,'Pin Maritime'!AR119*'Pin Maritime'!$F$21,'Meleze Hybride'!AR119*'Meleze Hybride'!$F$21,Thuya!AR119*Thuya!$F$21,'Chêne et feuillus divers'!AR119*'Chêne et feuillus divers'!$F$21)</f>
        <v>0</v>
      </c>
      <c r="Y135" s="184">
        <f>SUM('Pin Sylvestre'!AS119*'Pin Sylvestre'!$F$21,Douglas!AS119*Douglas!$F$21,'Pin Maritime'!AS119*'Pin Maritime'!$F$21,'Meleze Hybride'!AS119*'Meleze Hybride'!$F$21,Thuya!AS119*Thuya!$F$21,'Chêne et feuillus divers'!AS119*'Chêne et feuillus divers'!$F$21)</f>
        <v>0</v>
      </c>
      <c r="Z135" s="327">
        <f>SUM('Pin Sylvestre'!AT119*'Pin Sylvestre'!$F$21,Douglas!AT119*Douglas!$F$21,'Pin Maritime'!AT119*'Pin Maritime'!$F$21,'Meleze Hybride'!AT119*'Meleze Hybride'!$F$21,Thuya!AT119*Thuya!$F$21,'Chêne et feuillus divers'!AT119*'Chêne et feuillus divers'!$F$21)</f>
        <v>0</v>
      </c>
      <c r="AA135" s="174">
        <f t="shared" si="18"/>
        <v>0</v>
      </c>
      <c r="AB135" s="175">
        <f t="shared" si="17"/>
        <v>-0.7081699984092592</v>
      </c>
      <c r="AC135" s="174"/>
      <c r="AD135" s="174"/>
    </row>
    <row r="136" spans="2:30">
      <c r="B136" s="165" t="s">
        <v>23</v>
      </c>
      <c r="C136" s="4">
        <v>0.56000000000000005</v>
      </c>
      <c r="D136" s="187" t="s">
        <v>228</v>
      </c>
      <c r="E136" s="204">
        <v>150</v>
      </c>
      <c r="F136" s="250">
        <f>IF(Tableau14582[[#This Row],[Type]]="Feuillus",11*1.25,15.5*1.25)</f>
        <v>13.75</v>
      </c>
      <c r="G136" s="204">
        <v>10</v>
      </c>
      <c r="M136"/>
      <c r="N136" s="71">
        <v>115</v>
      </c>
      <c r="O136" s="235"/>
      <c r="P136" s="176"/>
      <c r="Q136" s="236">
        <f t="shared" si="22"/>
        <v>100.0025</v>
      </c>
      <c r="R136" s="176">
        <f t="shared" si="15"/>
        <v>7.0001750000000005</v>
      </c>
      <c r="S136" s="176">
        <f>$L$11*(1+$L$9)^N136*'Récapitulatif des résultats'!$I$11</f>
        <v>0</v>
      </c>
      <c r="T136" s="237"/>
      <c r="U136" s="176"/>
      <c r="V136" s="245">
        <f t="shared" si="16"/>
        <v>0</v>
      </c>
      <c r="W136" s="184">
        <f>SUM('Pin Sylvestre'!AQ120*'Pin Sylvestre'!$F$21,Douglas!AQ120*Douglas!$F$21,'Pin Maritime'!AQ120*'Pin Maritime'!$F$21,'Meleze Hybride'!AQ120*'Meleze Hybride'!$F$21,Thuya!AQ120*Thuya!$F$21,'Chêne et feuillus divers'!AQ120*'Chêne et feuillus divers'!$F$21)</f>
        <v>0</v>
      </c>
      <c r="X136" s="184">
        <f>SUM('Pin Sylvestre'!AR120*'Pin Sylvestre'!$F$21,Douglas!AR120*Douglas!$F$21,'Pin Maritime'!AR120*'Pin Maritime'!$F$21,'Meleze Hybride'!AR120*'Meleze Hybride'!$F$21,Thuya!AR120*Thuya!$F$21,'Chêne et feuillus divers'!AR120*'Chêne et feuillus divers'!$F$21)</f>
        <v>0</v>
      </c>
      <c r="Y136" s="184">
        <f>SUM('Pin Sylvestre'!AS120*'Pin Sylvestre'!$F$21,Douglas!AS120*Douglas!$F$21,'Pin Maritime'!AS120*'Pin Maritime'!$F$21,'Meleze Hybride'!AS120*'Meleze Hybride'!$F$21,Thuya!AS120*Thuya!$F$21,'Chêne et feuillus divers'!AS120*'Chêne et feuillus divers'!$F$21)</f>
        <v>0</v>
      </c>
      <c r="Z136" s="327">
        <f>SUM('Pin Sylvestre'!AT120*'Pin Sylvestre'!$F$21,Douglas!AT120*Douglas!$F$21,'Pin Maritime'!AT120*'Pin Maritime'!$F$21,'Meleze Hybride'!AT120*'Meleze Hybride'!$F$21,Thuya!AT120*Thuya!$F$21,'Chêne et feuillus divers'!AT120*'Chêne et feuillus divers'!$F$21)</f>
        <v>0</v>
      </c>
      <c r="AA136" s="174">
        <f t="shared" si="18"/>
        <v>0</v>
      </c>
      <c r="AB136" s="175">
        <f t="shared" si="17"/>
        <v>-0.67767463962608532</v>
      </c>
      <c r="AC136" s="174"/>
      <c r="AD136" s="174"/>
    </row>
    <row r="137" spans="2:30">
      <c r="B137" s="165" t="s">
        <v>24</v>
      </c>
      <c r="C137" s="4">
        <v>0.74</v>
      </c>
      <c r="D137" s="187" t="s">
        <v>228</v>
      </c>
      <c r="E137" s="204">
        <v>300</v>
      </c>
      <c r="F137" s="250">
        <f>IF(Tableau14582[[#This Row],[Type]]="Feuillus",11*1.25,15.5*1.25)</f>
        <v>13.75</v>
      </c>
      <c r="G137" s="204">
        <v>10</v>
      </c>
      <c r="M137"/>
      <c r="N137" s="71">
        <v>116</v>
      </c>
      <c r="O137" s="235"/>
      <c r="P137" s="176"/>
      <c r="Q137" s="236">
        <f t="shared" si="22"/>
        <v>100.0025</v>
      </c>
      <c r="R137" s="176">
        <f t="shared" si="15"/>
        <v>7.0001750000000005</v>
      </c>
      <c r="S137" s="176">
        <f>$L$11*(1+$L$9)^N137*'Récapitulatif des résultats'!$I$11</f>
        <v>0</v>
      </c>
      <c r="T137" s="237"/>
      <c r="U137" s="176"/>
      <c r="V137" s="245">
        <f t="shared" si="16"/>
        <v>0</v>
      </c>
      <c r="W137" s="184">
        <f>SUM('Pin Sylvestre'!AQ121*'Pin Sylvestre'!$F$21,Douglas!AQ121*Douglas!$F$21,'Pin Maritime'!AQ121*'Pin Maritime'!$F$21,'Meleze Hybride'!AQ121*'Meleze Hybride'!$F$21,Thuya!AQ121*Thuya!$F$21,'Chêne et feuillus divers'!AQ121*'Chêne et feuillus divers'!$F$21)</f>
        <v>0</v>
      </c>
      <c r="X137" s="184">
        <f>SUM('Pin Sylvestre'!AR121*'Pin Sylvestre'!$F$21,Douglas!AR121*Douglas!$F$21,'Pin Maritime'!AR121*'Pin Maritime'!$F$21,'Meleze Hybride'!AR121*'Meleze Hybride'!$F$21,Thuya!AR121*Thuya!$F$21,'Chêne et feuillus divers'!AR121*'Chêne et feuillus divers'!$F$21)</f>
        <v>0</v>
      </c>
      <c r="Y137" s="184">
        <f>SUM('Pin Sylvestre'!AS121*'Pin Sylvestre'!$F$21,Douglas!AS121*Douglas!$F$21,'Pin Maritime'!AS121*'Pin Maritime'!$F$21,'Meleze Hybride'!AS121*'Meleze Hybride'!$F$21,Thuya!AS121*Thuya!$F$21,'Chêne et feuillus divers'!AS121*'Chêne et feuillus divers'!$F$21)</f>
        <v>0</v>
      </c>
      <c r="Z137" s="327">
        <f>SUM('Pin Sylvestre'!AT121*'Pin Sylvestre'!$F$21,Douglas!AT121*Douglas!$F$21,'Pin Maritime'!AT121*'Pin Maritime'!$F$21,'Meleze Hybride'!AT121*'Meleze Hybride'!$F$21,Thuya!AT121*Thuya!$F$21,'Chêne et feuillus divers'!AT121*'Chêne et feuillus divers'!$F$21)</f>
        <v>0</v>
      </c>
      <c r="AA137" s="174">
        <f t="shared" si="18"/>
        <v>0</v>
      </c>
      <c r="AB137" s="175">
        <f t="shared" si="17"/>
        <v>-0.64849247811108646</v>
      </c>
      <c r="AC137" s="174"/>
      <c r="AD137" s="174"/>
    </row>
    <row r="138" spans="2:30">
      <c r="B138" s="165" t="s">
        <v>25</v>
      </c>
      <c r="C138" s="4">
        <v>0.4</v>
      </c>
      <c r="D138" s="187" t="s">
        <v>229</v>
      </c>
      <c r="E138" s="251">
        <v>30</v>
      </c>
      <c r="F138" s="250">
        <f>IF(Tableau14582[[#This Row],[Type]]="Feuillus",11*1.25,15.5*1.25)</f>
        <v>19.375</v>
      </c>
      <c r="G138" s="204">
        <v>10</v>
      </c>
      <c r="M138"/>
      <c r="N138" s="71">
        <v>117</v>
      </c>
      <c r="O138" s="235"/>
      <c r="P138" s="176"/>
      <c r="Q138" s="236">
        <f t="shared" si="22"/>
        <v>100.0025</v>
      </c>
      <c r="R138" s="176">
        <f t="shared" si="15"/>
        <v>7.0001750000000005</v>
      </c>
      <c r="S138" s="176">
        <f>$L$11*(1+$L$9)^N138*'Récapitulatif des résultats'!$I$11</f>
        <v>0</v>
      </c>
      <c r="T138" s="237"/>
      <c r="U138" s="176"/>
      <c r="V138" s="245">
        <f t="shared" si="16"/>
        <v>0</v>
      </c>
      <c r="W138" s="184">
        <f>SUM('Pin Sylvestre'!AQ122*'Pin Sylvestre'!$F$21,Douglas!AQ122*Douglas!$F$21,'Pin Maritime'!AQ122*'Pin Maritime'!$F$21,'Meleze Hybride'!AQ122*'Meleze Hybride'!$F$21,Thuya!AQ122*Thuya!$F$21,'Chêne et feuillus divers'!AQ122*'Chêne et feuillus divers'!$F$21)</f>
        <v>0</v>
      </c>
      <c r="X138" s="184">
        <f>SUM('Pin Sylvestre'!AR122*'Pin Sylvestre'!$F$21,Douglas!AR122*Douglas!$F$21,'Pin Maritime'!AR122*'Pin Maritime'!$F$21,'Meleze Hybride'!AR122*'Meleze Hybride'!$F$21,Thuya!AR122*Thuya!$F$21,'Chêne et feuillus divers'!AR122*'Chêne et feuillus divers'!$F$21)</f>
        <v>0</v>
      </c>
      <c r="Y138" s="184">
        <f>SUM('Pin Sylvestre'!AS122*'Pin Sylvestre'!$F$21,Douglas!AS122*Douglas!$F$21,'Pin Maritime'!AS122*'Pin Maritime'!$F$21,'Meleze Hybride'!AS122*'Meleze Hybride'!$F$21,Thuya!AS122*Thuya!$F$21,'Chêne et feuillus divers'!AS122*'Chêne et feuillus divers'!$F$21)</f>
        <v>0</v>
      </c>
      <c r="Z138" s="327">
        <f>SUM('Pin Sylvestre'!AT122*'Pin Sylvestre'!$F$21,Douglas!AT122*Douglas!$F$21,'Pin Maritime'!AT122*'Pin Maritime'!$F$21,'Meleze Hybride'!AT122*'Meleze Hybride'!$F$21,Thuya!AT122*Thuya!$F$21,'Chêne et feuillus divers'!AT122*'Chêne et feuillus divers'!$F$21)</f>
        <v>0</v>
      </c>
      <c r="AA138" s="174">
        <f t="shared" si="18"/>
        <v>0</v>
      </c>
      <c r="AB138" s="175">
        <f t="shared" si="17"/>
        <v>-0.62056696469960437</v>
      </c>
      <c r="AC138" s="174"/>
      <c r="AD138" s="174"/>
    </row>
    <row r="139" spans="2:30">
      <c r="B139" s="165" t="s">
        <v>26</v>
      </c>
      <c r="C139" s="4">
        <v>0.6</v>
      </c>
      <c r="D139" s="187" t="s">
        <v>228</v>
      </c>
      <c r="E139" s="204">
        <v>300</v>
      </c>
      <c r="F139" s="250">
        <f>IF(Tableau14582[[#This Row],[Type]]="Feuillus",11*1.25,15.5*1.25)</f>
        <v>13.75</v>
      </c>
      <c r="G139" s="204">
        <v>10</v>
      </c>
      <c r="M139"/>
      <c r="N139" s="71">
        <v>118</v>
      </c>
      <c r="O139" s="235"/>
      <c r="P139" s="176"/>
      <c r="Q139" s="236">
        <f t="shared" si="22"/>
        <v>100.0025</v>
      </c>
      <c r="R139" s="176">
        <f t="shared" si="15"/>
        <v>7.0001750000000005</v>
      </c>
      <c r="S139" s="176">
        <f>$L$11*(1+$L$9)^N139*'Récapitulatif des résultats'!$I$11</f>
        <v>0</v>
      </c>
      <c r="T139" s="237"/>
      <c r="U139" s="176"/>
      <c r="V139" s="245">
        <f t="shared" si="16"/>
        <v>0</v>
      </c>
      <c r="W139" s="184">
        <f>SUM('Pin Sylvestre'!AQ123*'Pin Sylvestre'!$F$21,Douglas!AQ123*Douglas!$F$21,'Pin Maritime'!AQ123*'Pin Maritime'!$F$21,'Meleze Hybride'!AQ123*'Meleze Hybride'!$F$21,Thuya!AQ123*Thuya!$F$21,'Chêne et feuillus divers'!AQ123*'Chêne et feuillus divers'!$F$21)</f>
        <v>0</v>
      </c>
      <c r="X139" s="184">
        <f>SUM('Pin Sylvestre'!AR123*'Pin Sylvestre'!$F$21,Douglas!AR123*Douglas!$F$21,'Pin Maritime'!AR123*'Pin Maritime'!$F$21,'Meleze Hybride'!AR123*'Meleze Hybride'!$F$21,Thuya!AR123*Thuya!$F$21,'Chêne et feuillus divers'!AR123*'Chêne et feuillus divers'!$F$21)</f>
        <v>0</v>
      </c>
      <c r="Y139" s="184">
        <f>SUM('Pin Sylvestre'!AS123*'Pin Sylvestre'!$F$21,Douglas!AS123*Douglas!$F$21,'Pin Maritime'!AS123*'Pin Maritime'!$F$21,'Meleze Hybride'!AS123*'Meleze Hybride'!$F$21,Thuya!AS123*Thuya!$F$21,'Chêne et feuillus divers'!AS123*'Chêne et feuillus divers'!$F$21)</f>
        <v>0</v>
      </c>
      <c r="Z139" s="327">
        <f>SUM('Pin Sylvestre'!AT123*'Pin Sylvestre'!$F$21,Douglas!AT123*Douglas!$F$21,'Pin Maritime'!AT123*'Pin Maritime'!$F$21,'Meleze Hybride'!AT123*'Meleze Hybride'!$F$21,Thuya!AT123*Thuya!$F$21,'Chêne et feuillus divers'!AT123*'Chêne et feuillus divers'!$F$21)</f>
        <v>0</v>
      </c>
      <c r="AA139" s="174">
        <f t="shared" si="18"/>
        <v>0</v>
      </c>
      <c r="AB139" s="175">
        <f t="shared" si="17"/>
        <v>-0.59384398535847327</v>
      </c>
      <c r="AC139" s="174"/>
      <c r="AD139" s="174"/>
    </row>
    <row r="140" spans="2:30">
      <c r="B140" s="165" t="s">
        <v>27</v>
      </c>
      <c r="C140" s="4">
        <v>0.43</v>
      </c>
      <c r="D140" s="187" t="s">
        <v>229</v>
      </c>
      <c r="E140" s="204">
        <v>59</v>
      </c>
      <c r="F140" s="250">
        <f>IF(Tableau14582[[#This Row],[Type]]="Feuillus",11*1.25,15.5*1.25)</f>
        <v>19.375</v>
      </c>
      <c r="G140" s="204">
        <v>10</v>
      </c>
      <c r="M140"/>
      <c r="N140" s="71">
        <v>119</v>
      </c>
      <c r="O140" s="235"/>
      <c r="P140" s="176"/>
      <c r="Q140" s="236">
        <f t="shared" si="22"/>
        <v>100.0025</v>
      </c>
      <c r="R140" s="176">
        <f t="shared" si="15"/>
        <v>7.0001750000000005</v>
      </c>
      <c r="S140" s="176">
        <f>$L$11*(1+$L$9)^N140*'Récapitulatif des résultats'!$I$11</f>
        <v>0</v>
      </c>
      <c r="T140" s="237"/>
      <c r="U140" s="176"/>
      <c r="V140" s="245">
        <f t="shared" si="16"/>
        <v>0</v>
      </c>
      <c r="W140" s="184">
        <f>SUM('Pin Sylvestre'!AQ124*'Pin Sylvestre'!$F$21,Douglas!AQ124*Douglas!$F$21,'Pin Maritime'!AQ124*'Pin Maritime'!$F$21,'Meleze Hybride'!AQ124*'Meleze Hybride'!$F$21,Thuya!AQ124*Thuya!$F$21,'Chêne et feuillus divers'!AQ124*'Chêne et feuillus divers'!$F$21)</f>
        <v>0</v>
      </c>
      <c r="X140" s="184">
        <f>SUM('Pin Sylvestre'!AR124*'Pin Sylvestre'!$F$21,Douglas!AR124*Douglas!$F$21,'Pin Maritime'!AR124*'Pin Maritime'!$F$21,'Meleze Hybride'!AR124*'Meleze Hybride'!$F$21,Thuya!AR124*Thuya!$F$21,'Chêne et feuillus divers'!AR124*'Chêne et feuillus divers'!$F$21)</f>
        <v>0</v>
      </c>
      <c r="Y140" s="184">
        <f>SUM('Pin Sylvestre'!AS124*'Pin Sylvestre'!$F$21,Douglas!AS124*Douglas!$F$21,'Pin Maritime'!AS124*'Pin Maritime'!$F$21,'Meleze Hybride'!AS124*'Meleze Hybride'!$F$21,Thuya!AS124*Thuya!$F$21,'Chêne et feuillus divers'!AS124*'Chêne et feuillus divers'!$F$21)</f>
        <v>0</v>
      </c>
      <c r="Z140" s="327">
        <f>SUM('Pin Sylvestre'!AT124*'Pin Sylvestre'!$F$21,Douglas!AT124*Douglas!$F$21,'Pin Maritime'!AT124*'Pin Maritime'!$F$21,'Meleze Hybride'!AT124*'Meleze Hybride'!$F$21,Thuya!AT124*Thuya!$F$21,'Chêne et feuillus divers'!AT124*'Chêne et feuillus divers'!$F$21)</f>
        <v>0</v>
      </c>
      <c r="AA140" s="174">
        <f t="shared" si="18"/>
        <v>0</v>
      </c>
      <c r="AB140" s="175">
        <f t="shared" si="17"/>
        <v>-0.56827175632389781</v>
      </c>
      <c r="AC140" s="174"/>
      <c r="AD140" s="174"/>
    </row>
    <row r="141" spans="2:30">
      <c r="B141" s="165" t="s">
        <v>28</v>
      </c>
      <c r="C141" s="4">
        <v>0.37</v>
      </c>
      <c r="D141" s="187" t="s">
        <v>229</v>
      </c>
      <c r="E141" s="251">
        <v>36</v>
      </c>
      <c r="F141" s="250">
        <f>IF(Tableau14582[[#This Row],[Type]]="Feuillus",11*1.25,15.5*1.25)</f>
        <v>19.375</v>
      </c>
      <c r="G141" s="204">
        <v>10</v>
      </c>
      <c r="M141"/>
      <c r="N141" s="71">
        <v>120</v>
      </c>
      <c r="O141" s="235"/>
      <c r="P141" s="176"/>
      <c r="Q141" s="236">
        <f t="shared" si="22"/>
        <v>100.0025</v>
      </c>
      <c r="R141" s="176">
        <f t="shared" si="15"/>
        <v>7.0001750000000005</v>
      </c>
      <c r="S141" s="176">
        <f>$L$11*(1+$L$9)^N141*'Récapitulatif des résultats'!$I$11</f>
        <v>0</v>
      </c>
      <c r="T141" s="237"/>
      <c r="U141" s="176"/>
      <c r="V141" s="245">
        <f t="shared" si="16"/>
        <v>0</v>
      </c>
      <c r="W141" s="184">
        <f>SUM('Pin Sylvestre'!AQ125*'Pin Sylvestre'!$F$21,Douglas!AQ125*Douglas!$F$21,'Pin Maritime'!AQ125*'Pin Maritime'!$F$21,'Meleze Hybride'!AQ125*'Meleze Hybride'!$F$21,Thuya!AQ125*Thuya!$F$21,'Chêne et feuillus divers'!AQ125*'Chêne et feuillus divers'!$F$21)</f>
        <v>0</v>
      </c>
      <c r="X141" s="184">
        <f>SUM('Pin Sylvestre'!AR125*'Pin Sylvestre'!$F$21,Douglas!AR125*Douglas!$F$21,'Pin Maritime'!AR125*'Pin Maritime'!$F$21,'Meleze Hybride'!AR125*'Meleze Hybride'!$F$21,Thuya!AR125*Thuya!$F$21,'Chêne et feuillus divers'!AR125*'Chêne et feuillus divers'!$F$21)</f>
        <v>0</v>
      </c>
      <c r="Y141" s="184">
        <f>SUM('Pin Sylvestre'!AS125*'Pin Sylvestre'!$F$21,Douglas!AS125*Douglas!$F$21,'Pin Maritime'!AS125*'Pin Maritime'!$F$21,'Meleze Hybride'!AS125*'Meleze Hybride'!$F$21,Thuya!AS125*Thuya!$F$21,'Chêne et feuillus divers'!AS125*'Chêne et feuillus divers'!$F$21)</f>
        <v>0</v>
      </c>
      <c r="Z141" s="327">
        <f>SUM('Pin Sylvestre'!AT125*'Pin Sylvestre'!$F$21,Douglas!AT125*Douglas!$F$21,'Pin Maritime'!AT125*'Pin Maritime'!$F$21,'Meleze Hybride'!AT125*'Meleze Hybride'!$F$21,Thuya!AT125*Thuya!$F$21,'Chêne et feuillus divers'!AT125*'Chêne et feuillus divers'!$F$21)</f>
        <v>0</v>
      </c>
      <c r="AA141" s="174">
        <f t="shared" si="18"/>
        <v>0</v>
      </c>
      <c r="AB141" s="175">
        <f t="shared" si="17"/>
        <v>-0.54380072375492627</v>
      </c>
      <c r="AC141" s="174"/>
      <c r="AD141" s="174"/>
    </row>
    <row r="142" spans="2:30">
      <c r="B142" s="165" t="s">
        <v>29</v>
      </c>
      <c r="C142" s="4">
        <v>0.36</v>
      </c>
      <c r="D142" s="187" t="s">
        <v>229</v>
      </c>
      <c r="E142" s="204">
        <v>47</v>
      </c>
      <c r="F142" s="250">
        <f>IF(Tableau14582[[#This Row],[Type]]="Feuillus",11*1.25,15.5*1.25)</f>
        <v>19.375</v>
      </c>
      <c r="G142" s="204">
        <v>10</v>
      </c>
      <c r="M142"/>
      <c r="N142" s="71">
        <v>121</v>
      </c>
      <c r="O142" s="235"/>
      <c r="P142" s="176"/>
      <c r="Q142" s="236">
        <f t="shared" si="22"/>
        <v>100.0025</v>
      </c>
      <c r="R142" s="176">
        <f t="shared" si="15"/>
        <v>7.0001750000000005</v>
      </c>
      <c r="S142" s="176">
        <f>$L$11*(1+$L$9)^N142*'Récapitulatif des résultats'!$I$11</f>
        <v>0</v>
      </c>
      <c r="T142" s="237"/>
      <c r="U142" s="176"/>
      <c r="V142" s="245">
        <f t="shared" si="16"/>
        <v>0</v>
      </c>
      <c r="W142" s="184">
        <f>SUM('Pin Sylvestre'!AQ126*'Pin Sylvestre'!$F$21,Douglas!AQ126*Douglas!$F$21,'Pin Maritime'!AQ126*'Pin Maritime'!$F$21,'Meleze Hybride'!AQ126*'Meleze Hybride'!$F$21,Thuya!AQ126*Thuya!$F$21,'Chêne et feuillus divers'!AQ126*'Chêne et feuillus divers'!$F$21)</f>
        <v>0</v>
      </c>
      <c r="X142" s="184">
        <f>SUM('Pin Sylvestre'!AR126*'Pin Sylvestre'!$F$21,Douglas!AR126*Douglas!$F$21,'Pin Maritime'!AR126*'Pin Maritime'!$F$21,'Meleze Hybride'!AR126*'Meleze Hybride'!$F$21,Thuya!AR126*Thuya!$F$21,'Chêne et feuillus divers'!AR126*'Chêne et feuillus divers'!$F$21)</f>
        <v>0</v>
      </c>
      <c r="Y142" s="184">
        <f>SUM('Pin Sylvestre'!AS126*'Pin Sylvestre'!$F$21,Douglas!AS126*Douglas!$F$21,'Pin Maritime'!AS126*'Pin Maritime'!$F$21,'Meleze Hybride'!AS126*'Meleze Hybride'!$F$21,Thuya!AS126*Thuya!$F$21,'Chêne et feuillus divers'!AS126*'Chêne et feuillus divers'!$F$21)</f>
        <v>0</v>
      </c>
      <c r="Z142" s="327">
        <f>SUM('Pin Sylvestre'!AT126*'Pin Sylvestre'!$F$21,Douglas!AT126*Douglas!$F$21,'Pin Maritime'!AT126*'Pin Maritime'!$F$21,'Meleze Hybride'!AT126*'Meleze Hybride'!$F$21,Thuya!AT126*Thuya!$F$21,'Chêne et feuillus divers'!AT126*'Chêne et feuillus divers'!$F$21)</f>
        <v>0</v>
      </c>
      <c r="AA142" s="174">
        <f t="shared" si="18"/>
        <v>0</v>
      </c>
      <c r="AB142" s="175">
        <f t="shared" si="17"/>
        <v>-0.52038346770806343</v>
      </c>
      <c r="AC142" s="174"/>
      <c r="AD142" s="174"/>
    </row>
    <row r="143" spans="2:30">
      <c r="B143" s="165" t="s">
        <v>30</v>
      </c>
      <c r="C143" s="4">
        <v>0.51</v>
      </c>
      <c r="D143" s="187" t="s">
        <v>228</v>
      </c>
      <c r="E143" s="204">
        <v>60</v>
      </c>
      <c r="F143" s="250">
        <f>IF(Tableau14582[[#This Row],[Type]]="Feuillus",11*1.25,15.5*1.25)</f>
        <v>13.75</v>
      </c>
      <c r="G143" s="204">
        <v>10</v>
      </c>
      <c r="M143"/>
      <c r="N143" s="71">
        <v>122</v>
      </c>
      <c r="O143" s="235"/>
      <c r="P143" s="176"/>
      <c r="Q143" s="236">
        <f t="shared" si="22"/>
        <v>100.0025</v>
      </c>
      <c r="R143" s="176">
        <f t="shared" si="15"/>
        <v>7.0001750000000005</v>
      </c>
      <c r="S143" s="176">
        <f>$L$11*(1+$L$9)^N143*'Récapitulatif des résultats'!$I$11</f>
        <v>0</v>
      </c>
      <c r="T143" s="237"/>
      <c r="U143" s="176"/>
      <c r="V143" s="245">
        <f t="shared" si="16"/>
        <v>0</v>
      </c>
      <c r="W143" s="184">
        <f>SUM('Pin Sylvestre'!AQ127*'Pin Sylvestre'!$F$21,Douglas!AQ127*Douglas!$F$21,'Pin Maritime'!AQ127*'Pin Maritime'!$F$21,'Meleze Hybride'!AQ127*'Meleze Hybride'!$F$21,Thuya!AQ127*Thuya!$F$21,'Chêne et feuillus divers'!AQ127*'Chêne et feuillus divers'!$F$21)</f>
        <v>0</v>
      </c>
      <c r="X143" s="184">
        <f>SUM('Pin Sylvestre'!AR127*'Pin Sylvestre'!$F$21,Douglas!AR127*Douglas!$F$21,'Pin Maritime'!AR127*'Pin Maritime'!$F$21,'Meleze Hybride'!AR127*'Meleze Hybride'!$F$21,Thuya!AR127*Thuya!$F$21,'Chêne et feuillus divers'!AR127*'Chêne et feuillus divers'!$F$21)</f>
        <v>0</v>
      </c>
      <c r="Y143" s="184">
        <f>SUM('Pin Sylvestre'!AS127*'Pin Sylvestre'!$F$21,Douglas!AS127*Douglas!$F$21,'Pin Maritime'!AS127*'Pin Maritime'!$F$21,'Meleze Hybride'!AS127*'Meleze Hybride'!$F$21,Thuya!AS127*Thuya!$F$21,'Chêne et feuillus divers'!AS127*'Chêne et feuillus divers'!$F$21)</f>
        <v>0</v>
      </c>
      <c r="Z143" s="327">
        <f>SUM('Pin Sylvestre'!AT127*'Pin Sylvestre'!$F$21,Douglas!AT127*Douglas!$F$21,'Pin Maritime'!AT127*'Pin Maritime'!$F$21,'Meleze Hybride'!AT127*'Meleze Hybride'!$F$21,Thuya!AT127*Thuya!$F$21,'Chêne et feuillus divers'!AT127*'Chêne et feuillus divers'!$F$21)</f>
        <v>0</v>
      </c>
      <c r="AA143" s="174">
        <f t="shared" si="18"/>
        <v>0</v>
      </c>
      <c r="AB143" s="175">
        <f t="shared" si="17"/>
        <v>-0.49797461024695078</v>
      </c>
      <c r="AC143" s="174"/>
      <c r="AD143" s="174"/>
    </row>
    <row r="144" spans="2:30">
      <c r="B144" s="165" t="s">
        <v>31</v>
      </c>
      <c r="C144" s="4">
        <v>0.56000000000000005</v>
      </c>
      <c r="D144" s="187" t="s">
        <v>228</v>
      </c>
      <c r="E144" s="204">
        <v>60</v>
      </c>
      <c r="F144" s="250">
        <f>IF(Tableau14582[[#This Row],[Type]]="Feuillus",11*1.25,15.5*1.25)</f>
        <v>13.75</v>
      </c>
      <c r="G144" s="204">
        <v>10</v>
      </c>
      <c r="M144"/>
      <c r="N144" s="71">
        <v>123</v>
      </c>
      <c r="O144" s="235"/>
      <c r="P144" s="176"/>
      <c r="Q144" s="236">
        <f t="shared" si="22"/>
        <v>100.0025</v>
      </c>
      <c r="R144" s="176">
        <f t="shared" si="15"/>
        <v>7.0001750000000005</v>
      </c>
      <c r="S144" s="176">
        <f>$L$11*(1+$L$9)^N144*'Récapitulatif des résultats'!$I$11</f>
        <v>0</v>
      </c>
      <c r="T144" s="237"/>
      <c r="U144" s="176"/>
      <c r="V144" s="245">
        <f t="shared" si="16"/>
        <v>0</v>
      </c>
      <c r="W144" s="184">
        <f>SUM('Pin Sylvestre'!AQ128*'Pin Sylvestre'!$F$21,Douglas!AQ128*Douglas!$F$21,'Pin Maritime'!AQ128*'Pin Maritime'!$F$21,'Meleze Hybride'!AQ128*'Meleze Hybride'!$F$21,Thuya!AQ128*Thuya!$F$21,'Chêne et feuillus divers'!AQ128*'Chêne et feuillus divers'!$F$21)</f>
        <v>0</v>
      </c>
      <c r="X144" s="184">
        <f>SUM('Pin Sylvestre'!AR128*'Pin Sylvestre'!$F$21,Douglas!AR128*Douglas!$F$21,'Pin Maritime'!AR128*'Pin Maritime'!$F$21,'Meleze Hybride'!AR128*'Meleze Hybride'!$F$21,Thuya!AR128*Thuya!$F$21,'Chêne et feuillus divers'!AR128*'Chêne et feuillus divers'!$F$21)</f>
        <v>0</v>
      </c>
      <c r="Y144" s="184">
        <f>SUM('Pin Sylvestre'!AS128*'Pin Sylvestre'!$F$21,Douglas!AS128*Douglas!$F$21,'Pin Maritime'!AS128*'Pin Maritime'!$F$21,'Meleze Hybride'!AS128*'Meleze Hybride'!$F$21,Thuya!AS128*Thuya!$F$21,'Chêne et feuillus divers'!AS128*'Chêne et feuillus divers'!$F$21)</f>
        <v>0</v>
      </c>
      <c r="Z144" s="327">
        <f>SUM('Pin Sylvestre'!AT128*'Pin Sylvestre'!$F$21,Douglas!AT128*Douglas!$F$21,'Pin Maritime'!AT128*'Pin Maritime'!$F$21,'Meleze Hybride'!AT128*'Meleze Hybride'!$F$21,Thuya!AT128*Thuya!$F$21,'Chêne et feuillus divers'!AT128*'Chêne et feuillus divers'!$F$21)</f>
        <v>0</v>
      </c>
      <c r="AA144" s="174">
        <f t="shared" si="18"/>
        <v>0</v>
      </c>
      <c r="AB144" s="175">
        <f t="shared" si="17"/>
        <v>-0.47653072750904385</v>
      </c>
      <c r="AC144" s="174"/>
      <c r="AD144" s="174"/>
    </row>
    <row r="145" spans="2:30">
      <c r="B145" s="165" t="s">
        <v>32</v>
      </c>
      <c r="C145" s="4">
        <v>0.56000000000000005</v>
      </c>
      <c r="D145" s="187" t="s">
        <v>228</v>
      </c>
      <c r="E145" s="251" t="s">
        <v>250</v>
      </c>
      <c r="F145" s="250">
        <f>IF(Tableau14582[[#This Row],[Type]]="Feuillus",11*1.25,15.5*1.25)</f>
        <v>13.75</v>
      </c>
      <c r="G145" s="204">
        <v>10</v>
      </c>
      <c r="M145"/>
      <c r="N145" s="71">
        <v>124</v>
      </c>
      <c r="O145" s="235"/>
      <c r="P145" s="176"/>
      <c r="Q145" s="236">
        <f t="shared" si="22"/>
        <v>100.0025</v>
      </c>
      <c r="R145" s="176">
        <f t="shared" si="15"/>
        <v>7.0001750000000005</v>
      </c>
      <c r="S145" s="176">
        <f>$L$11*(1+$L$9)^N145*'Récapitulatif des résultats'!$I$11</f>
        <v>0</v>
      </c>
      <c r="T145" s="237"/>
      <c r="U145" s="176"/>
      <c r="V145" s="245">
        <f t="shared" si="16"/>
        <v>0</v>
      </c>
      <c r="W145" s="184">
        <f>SUM('Pin Sylvestre'!AQ129*'Pin Sylvestre'!$F$21,Douglas!AQ129*Douglas!$F$21,'Pin Maritime'!AQ129*'Pin Maritime'!$F$21,'Meleze Hybride'!AQ129*'Meleze Hybride'!$F$21,Thuya!AQ129*Thuya!$F$21,'Chêne et feuillus divers'!AQ129*'Chêne et feuillus divers'!$F$21)</f>
        <v>0</v>
      </c>
      <c r="X145" s="184">
        <f>SUM('Pin Sylvestre'!AR129*'Pin Sylvestre'!$F$21,Douglas!AR129*Douglas!$F$21,'Pin Maritime'!AR129*'Pin Maritime'!$F$21,'Meleze Hybride'!AR129*'Meleze Hybride'!$F$21,Thuya!AR129*Thuya!$F$21,'Chêne et feuillus divers'!AR129*'Chêne et feuillus divers'!$F$21)</f>
        <v>0</v>
      </c>
      <c r="Y145" s="184">
        <f>SUM('Pin Sylvestre'!AS129*'Pin Sylvestre'!$F$21,Douglas!AS129*Douglas!$F$21,'Pin Maritime'!AS129*'Pin Maritime'!$F$21,'Meleze Hybride'!AS129*'Meleze Hybride'!$F$21,Thuya!AS129*Thuya!$F$21,'Chêne et feuillus divers'!AS129*'Chêne et feuillus divers'!$F$21)</f>
        <v>0</v>
      </c>
      <c r="Z145" s="327">
        <f>SUM('Pin Sylvestre'!AT129*'Pin Sylvestre'!$F$21,Douglas!AT129*Douglas!$F$21,'Pin Maritime'!AT129*'Pin Maritime'!$F$21,'Meleze Hybride'!AT129*'Meleze Hybride'!$F$21,Thuya!AT129*Thuya!$F$21,'Chêne et feuillus divers'!AT129*'Chêne et feuillus divers'!$F$21)</f>
        <v>0</v>
      </c>
      <c r="AA145" s="174">
        <f t="shared" si="18"/>
        <v>0</v>
      </c>
      <c r="AB145" s="175">
        <f t="shared" si="17"/>
        <v>-0.45601026555889368</v>
      </c>
      <c r="AC145" s="174"/>
      <c r="AD145" s="174"/>
    </row>
    <row r="146" spans="2:30">
      <c r="B146" s="165" t="s">
        <v>33</v>
      </c>
      <c r="C146" s="4">
        <v>0.48</v>
      </c>
      <c r="D146" s="187" t="s">
        <v>228</v>
      </c>
      <c r="E146" s="204">
        <v>300</v>
      </c>
      <c r="F146" s="250">
        <f>IF(Tableau14582[[#This Row],[Type]]="Feuillus",11*1.25,15.5*1.25)</f>
        <v>13.75</v>
      </c>
      <c r="G146" s="204">
        <v>10</v>
      </c>
      <c r="M146"/>
      <c r="N146" s="71">
        <v>125</v>
      </c>
      <c r="O146" s="235"/>
      <c r="P146" s="176"/>
      <c r="Q146" s="236">
        <f t="shared" si="22"/>
        <v>100.0025</v>
      </c>
      <c r="R146" s="176">
        <f t="shared" si="15"/>
        <v>7.0001750000000005</v>
      </c>
      <c r="S146" s="176">
        <f>$L$11*(1+$L$9)^N146*'Récapitulatif des résultats'!$I$11</f>
        <v>0</v>
      </c>
      <c r="T146" s="237"/>
      <c r="U146" s="176"/>
      <c r="V146" s="245">
        <f t="shared" si="16"/>
        <v>0</v>
      </c>
      <c r="W146" s="184">
        <f>SUM('Pin Sylvestre'!AQ130*'Pin Sylvestre'!$F$21,Douglas!AQ130*Douglas!$F$21,'Pin Maritime'!AQ130*'Pin Maritime'!$F$21,'Meleze Hybride'!AQ130*'Meleze Hybride'!$F$21,Thuya!AQ130*Thuya!$F$21,'Chêne et feuillus divers'!AQ130*'Chêne et feuillus divers'!$F$21)</f>
        <v>0</v>
      </c>
      <c r="X146" s="184">
        <f>SUM('Pin Sylvestre'!AR130*'Pin Sylvestre'!$F$21,Douglas!AR130*Douglas!$F$21,'Pin Maritime'!AR130*'Pin Maritime'!$F$21,'Meleze Hybride'!AR130*'Meleze Hybride'!$F$21,Thuya!AR130*Thuya!$F$21,'Chêne et feuillus divers'!AR130*'Chêne et feuillus divers'!$F$21)</f>
        <v>0</v>
      </c>
      <c r="Y146" s="184">
        <f>SUM('Pin Sylvestre'!AS130*'Pin Sylvestre'!$F$21,Douglas!AS130*Douglas!$F$21,'Pin Maritime'!AS130*'Pin Maritime'!$F$21,'Meleze Hybride'!AS130*'Meleze Hybride'!$F$21,Thuya!AS130*Thuya!$F$21,'Chêne et feuillus divers'!AS130*'Chêne et feuillus divers'!$F$21)</f>
        <v>0</v>
      </c>
      <c r="Z146" s="327">
        <f>SUM('Pin Sylvestre'!AT130*'Pin Sylvestre'!$F$21,Douglas!AT130*Douglas!$F$21,'Pin Maritime'!AT130*'Pin Maritime'!$F$21,'Meleze Hybride'!AT130*'Meleze Hybride'!$F$21,Thuya!AT130*Thuya!$F$21,'Chêne et feuillus divers'!AT130*'Chêne et feuillus divers'!$F$21)</f>
        <v>0</v>
      </c>
      <c r="AA146" s="174">
        <f t="shared" si="18"/>
        <v>0</v>
      </c>
      <c r="AB146" s="175">
        <f t="shared" si="17"/>
        <v>-0.43637345986496995</v>
      </c>
      <c r="AC146" s="174"/>
      <c r="AD146" s="174"/>
    </row>
    <row r="147" spans="2:30">
      <c r="B147" s="165" t="s">
        <v>34</v>
      </c>
      <c r="C147" s="4">
        <v>0.55000000000000004</v>
      </c>
      <c r="D147" s="187" t="s">
        <v>228</v>
      </c>
      <c r="E147" s="204">
        <v>45</v>
      </c>
      <c r="F147" s="250">
        <f>IF(Tableau14582[[#This Row],[Type]]="Feuillus",11*1.25,15.5*1.25)</f>
        <v>13.75</v>
      </c>
      <c r="G147" s="204">
        <v>10</v>
      </c>
      <c r="M147"/>
      <c r="N147" s="71">
        <v>126</v>
      </c>
      <c r="O147" s="235"/>
      <c r="P147" s="176"/>
      <c r="Q147" s="236">
        <f t="shared" si="22"/>
        <v>100.0025</v>
      </c>
      <c r="R147" s="176">
        <f t="shared" si="15"/>
        <v>7.0001750000000005</v>
      </c>
      <c r="S147" s="176">
        <f>$L$11*(1+$L$9)^N147*'Récapitulatif des résultats'!$I$11</f>
        <v>0</v>
      </c>
      <c r="T147" s="237"/>
      <c r="U147" s="176"/>
      <c r="V147" s="245">
        <f t="shared" si="16"/>
        <v>0</v>
      </c>
      <c r="W147" s="184">
        <f>SUM('Pin Sylvestre'!AQ131*'Pin Sylvestre'!$F$21,Douglas!AQ131*Douglas!$F$21,'Pin Maritime'!AQ131*'Pin Maritime'!$F$21,'Meleze Hybride'!AQ131*'Meleze Hybride'!$F$21,Thuya!AQ131*Thuya!$F$21,'Chêne et feuillus divers'!AQ131*'Chêne et feuillus divers'!$F$21)</f>
        <v>0</v>
      </c>
      <c r="X147" s="184">
        <f>SUM('Pin Sylvestre'!AR131*'Pin Sylvestre'!$F$21,Douglas!AR131*Douglas!$F$21,'Pin Maritime'!AR131*'Pin Maritime'!$F$21,'Meleze Hybride'!AR131*'Meleze Hybride'!$F$21,Thuya!AR131*Thuya!$F$21,'Chêne et feuillus divers'!AR131*'Chêne et feuillus divers'!$F$21)</f>
        <v>0</v>
      </c>
      <c r="Y147" s="184">
        <f>SUM('Pin Sylvestre'!AS131*'Pin Sylvestre'!$F$21,Douglas!AS131*Douglas!$F$21,'Pin Maritime'!AS131*'Pin Maritime'!$F$21,'Meleze Hybride'!AS131*'Meleze Hybride'!$F$21,Thuya!AS131*Thuya!$F$21,'Chêne et feuillus divers'!AS131*'Chêne et feuillus divers'!$F$21)</f>
        <v>0</v>
      </c>
      <c r="Z147" s="327">
        <f>SUM('Pin Sylvestre'!AT131*'Pin Sylvestre'!$F$21,Douglas!AT131*Douglas!$F$21,'Pin Maritime'!AT131*'Pin Maritime'!$F$21,'Meleze Hybride'!AT131*'Meleze Hybride'!$F$21,Thuya!AT131*Thuya!$F$21,'Chêne et feuillus divers'!AT131*'Chêne et feuillus divers'!$F$21)</f>
        <v>0</v>
      </c>
      <c r="AA147" s="174">
        <f t="shared" si="18"/>
        <v>0</v>
      </c>
      <c r="AB147" s="175">
        <f t="shared" si="17"/>
        <v>-0.41758225824399053</v>
      </c>
      <c r="AC147" s="174"/>
      <c r="AD147" s="174"/>
    </row>
    <row r="148" spans="2:30">
      <c r="B148" s="165" t="s">
        <v>35</v>
      </c>
      <c r="C148" s="4">
        <v>0.56000000000000005</v>
      </c>
      <c r="D148" s="187" t="s">
        <v>228</v>
      </c>
      <c r="E148" s="204">
        <v>90</v>
      </c>
      <c r="F148" s="250">
        <f>IF(Tableau14582[[#This Row],[Type]]="Feuillus",11*1.25,15.5*1.25)</f>
        <v>13.75</v>
      </c>
      <c r="G148" s="204">
        <v>10</v>
      </c>
      <c r="M148"/>
      <c r="N148" s="71">
        <v>127</v>
      </c>
      <c r="O148" s="235"/>
      <c r="P148" s="176"/>
      <c r="Q148" s="236">
        <f t="shared" si="22"/>
        <v>100.0025</v>
      </c>
      <c r="R148" s="176">
        <f t="shared" si="15"/>
        <v>7.0001750000000005</v>
      </c>
      <c r="S148" s="176">
        <f>$L$11*(1+$L$9)^N148*'Récapitulatif des résultats'!$I$11</f>
        <v>0</v>
      </c>
      <c r="T148" s="237"/>
      <c r="U148" s="176"/>
      <c r="V148" s="245">
        <f t="shared" si="16"/>
        <v>0</v>
      </c>
      <c r="W148" s="184">
        <f>SUM('Pin Sylvestre'!AQ132*'Pin Sylvestre'!$F$21,Douglas!AQ132*Douglas!$F$21,'Pin Maritime'!AQ132*'Pin Maritime'!$F$21,'Meleze Hybride'!AQ132*'Meleze Hybride'!$F$21,Thuya!AQ132*Thuya!$F$21,'Chêne et feuillus divers'!AQ132*'Chêne et feuillus divers'!$F$21)</f>
        <v>0</v>
      </c>
      <c r="X148" s="184">
        <f>SUM('Pin Sylvestre'!AR132*'Pin Sylvestre'!$F$21,Douglas!AR132*Douglas!$F$21,'Pin Maritime'!AR132*'Pin Maritime'!$F$21,'Meleze Hybride'!AR132*'Meleze Hybride'!$F$21,Thuya!AR132*Thuya!$F$21,'Chêne et feuillus divers'!AR132*'Chêne et feuillus divers'!$F$21)</f>
        <v>0</v>
      </c>
      <c r="Y148" s="184">
        <f>SUM('Pin Sylvestre'!AS132*'Pin Sylvestre'!$F$21,Douglas!AS132*Douglas!$F$21,'Pin Maritime'!AS132*'Pin Maritime'!$F$21,'Meleze Hybride'!AS132*'Meleze Hybride'!$F$21,Thuya!AS132*Thuya!$F$21,'Chêne et feuillus divers'!AS132*'Chêne et feuillus divers'!$F$21)</f>
        <v>0</v>
      </c>
      <c r="Z148" s="327">
        <f>SUM('Pin Sylvestre'!AT132*'Pin Sylvestre'!$F$21,Douglas!AT132*Douglas!$F$21,'Pin Maritime'!AT132*'Pin Maritime'!$F$21,'Meleze Hybride'!AT132*'Meleze Hybride'!$F$21,Thuya!AT132*Thuya!$F$21,'Chêne et feuillus divers'!AT132*'Chêne et feuillus divers'!$F$21)</f>
        <v>0</v>
      </c>
      <c r="AA148" s="174">
        <f t="shared" si="18"/>
        <v>0</v>
      </c>
      <c r="AB148" s="175">
        <f t="shared" si="17"/>
        <v>-0.39960024712343589</v>
      </c>
      <c r="AC148" s="174"/>
      <c r="AD148" s="174"/>
    </row>
    <row r="149" spans="2:30">
      <c r="B149" s="165" t="s">
        <v>36</v>
      </c>
      <c r="C149" s="4">
        <v>0.57999999999999996</v>
      </c>
      <c r="D149" s="187" t="s">
        <v>228</v>
      </c>
      <c r="E149" s="204">
        <v>300</v>
      </c>
      <c r="F149" s="250">
        <f>IF(Tableau14582[[#This Row],[Type]]="Feuillus",11*1.25,15.5*1.25)</f>
        <v>13.75</v>
      </c>
      <c r="G149" s="204">
        <v>10</v>
      </c>
      <c r="M149"/>
      <c r="N149" s="71">
        <v>128</v>
      </c>
      <c r="O149" s="235"/>
      <c r="P149" s="176"/>
      <c r="Q149" s="236">
        <f t="shared" si="22"/>
        <v>100.0025</v>
      </c>
      <c r="R149" s="176">
        <f t="shared" ref="R149:R212" si="23">$L$10*SUM(O149:Q149)</f>
        <v>7.0001750000000005</v>
      </c>
      <c r="S149" s="176">
        <f>$L$11*(1+$L$9)^N149*'Récapitulatif des résultats'!$I$11</f>
        <v>0</v>
      </c>
      <c r="T149" s="237"/>
      <c r="U149" s="176"/>
      <c r="V149" s="245">
        <f t="shared" ref="V149:V212" si="24">SUM(W149:Z149)</f>
        <v>0</v>
      </c>
      <c r="W149" s="184">
        <f>SUM('Pin Sylvestre'!AQ133*'Pin Sylvestre'!$F$21,Douglas!AQ133*Douglas!$F$21,'Pin Maritime'!AQ133*'Pin Maritime'!$F$21,'Meleze Hybride'!AQ133*'Meleze Hybride'!$F$21,Thuya!AQ133*Thuya!$F$21,'Chêne et feuillus divers'!AQ133*'Chêne et feuillus divers'!$F$21)</f>
        <v>0</v>
      </c>
      <c r="X149" s="184">
        <f>SUM('Pin Sylvestre'!AR133*'Pin Sylvestre'!$F$21,Douglas!AR133*Douglas!$F$21,'Pin Maritime'!AR133*'Pin Maritime'!$F$21,'Meleze Hybride'!AR133*'Meleze Hybride'!$F$21,Thuya!AR133*Thuya!$F$21,'Chêne et feuillus divers'!AR133*'Chêne et feuillus divers'!$F$21)</f>
        <v>0</v>
      </c>
      <c r="Y149" s="184">
        <f>SUM('Pin Sylvestre'!AS133*'Pin Sylvestre'!$F$21,Douglas!AS133*Douglas!$F$21,'Pin Maritime'!AS133*'Pin Maritime'!$F$21,'Meleze Hybride'!AS133*'Meleze Hybride'!$F$21,Thuya!AS133*Thuya!$F$21,'Chêne et feuillus divers'!AS133*'Chêne et feuillus divers'!$F$21)</f>
        <v>0</v>
      </c>
      <c r="Z149" s="327">
        <f>SUM('Pin Sylvestre'!AT133*'Pin Sylvestre'!$F$21,Douglas!AT133*Douglas!$F$21,'Pin Maritime'!AT133*'Pin Maritime'!$F$21,'Meleze Hybride'!AT133*'Meleze Hybride'!$F$21,Thuya!AT133*Thuya!$F$21,'Chêne et feuillus divers'!AT133*'Chêne et feuillus divers'!$F$21)</f>
        <v>0</v>
      </c>
      <c r="AA149" s="174">
        <f t="shared" si="18"/>
        <v>0</v>
      </c>
      <c r="AB149" s="175">
        <f t="shared" ref="AB149:AB212" si="25">IF(N149&lt;=$L$4,(AA149-SUM(O149:T149))/((1+4.5%)^N149),)</f>
        <v>-0.38239258097936468</v>
      </c>
      <c r="AC149" s="174"/>
      <c r="AD149" s="174"/>
    </row>
    <row r="150" spans="2:30">
      <c r="B150" s="165" t="s">
        <v>37</v>
      </c>
      <c r="C150" s="4">
        <v>0.57999999999999996</v>
      </c>
      <c r="D150" s="187" t="s">
        <v>229</v>
      </c>
      <c r="E150" s="204">
        <v>25</v>
      </c>
      <c r="F150" s="250">
        <f>IF(Tableau14582[[#This Row],[Type]]="Feuillus",11*1.25,15.5*1.25)</f>
        <v>19.375</v>
      </c>
      <c r="G150" s="204">
        <v>10</v>
      </c>
      <c r="M150"/>
      <c r="N150" s="71">
        <v>129</v>
      </c>
      <c r="O150" s="235"/>
      <c r="P150" s="176"/>
      <c r="Q150" s="236">
        <f t="shared" si="22"/>
        <v>100.0025</v>
      </c>
      <c r="R150" s="176">
        <f t="shared" si="23"/>
        <v>7.0001750000000005</v>
      </c>
      <c r="S150" s="176">
        <f>$L$11*(1+$L$9)^N150*'Récapitulatif des résultats'!$I$11</f>
        <v>0</v>
      </c>
      <c r="T150" s="237"/>
      <c r="U150" s="176"/>
      <c r="V150" s="245">
        <f t="shared" si="24"/>
        <v>0</v>
      </c>
      <c r="W150" s="184">
        <f>SUM('Pin Sylvestre'!AQ134*'Pin Sylvestre'!$F$21,Douglas!AQ134*Douglas!$F$21,'Pin Maritime'!AQ134*'Pin Maritime'!$F$21,'Meleze Hybride'!AQ134*'Meleze Hybride'!$F$21,Thuya!AQ134*Thuya!$F$21,'Chêne et feuillus divers'!AQ134*'Chêne et feuillus divers'!$F$21)</f>
        <v>0</v>
      </c>
      <c r="X150" s="184">
        <f>SUM('Pin Sylvestre'!AR134*'Pin Sylvestre'!$F$21,Douglas!AR134*Douglas!$F$21,'Pin Maritime'!AR134*'Pin Maritime'!$F$21,'Meleze Hybride'!AR134*'Meleze Hybride'!$F$21,Thuya!AR134*Thuya!$F$21,'Chêne et feuillus divers'!AR134*'Chêne et feuillus divers'!$F$21)</f>
        <v>0</v>
      </c>
      <c r="Y150" s="184">
        <f>SUM('Pin Sylvestre'!AS134*'Pin Sylvestre'!$F$21,Douglas!AS134*Douglas!$F$21,'Pin Maritime'!AS134*'Pin Maritime'!$F$21,'Meleze Hybride'!AS134*'Meleze Hybride'!$F$21,Thuya!AS134*Thuya!$F$21,'Chêne et feuillus divers'!AS134*'Chêne et feuillus divers'!$F$21)</f>
        <v>0</v>
      </c>
      <c r="Z150" s="327">
        <f>SUM('Pin Sylvestre'!AT134*'Pin Sylvestre'!$F$21,Douglas!AT134*Douglas!$F$21,'Pin Maritime'!AT134*'Pin Maritime'!$F$21,'Meleze Hybride'!AT134*'Meleze Hybride'!$F$21,Thuya!AT134*Thuya!$F$21,'Chêne et feuillus divers'!AT134*'Chêne et feuillus divers'!$F$21)</f>
        <v>0</v>
      </c>
      <c r="AA150" s="174">
        <f t="shared" ref="AA150:AA213" si="26">SUMIF(B$23:B$115,N150,L$23:L$115)+U150</f>
        <v>0</v>
      </c>
      <c r="AB150" s="175">
        <f t="shared" si="25"/>
        <v>-0.36592591481278919</v>
      </c>
      <c r="AC150" s="174"/>
      <c r="AD150" s="174"/>
    </row>
    <row r="151" spans="2:30">
      <c r="B151" s="165" t="s">
        <v>38</v>
      </c>
      <c r="C151" s="4">
        <v>0.48</v>
      </c>
      <c r="D151" s="187" t="s">
        <v>229</v>
      </c>
      <c r="E151" s="204">
        <v>50</v>
      </c>
      <c r="F151" s="250">
        <f>IF(Tableau14582[[#This Row],[Type]]="Feuillus",11*1.25,15.5*1.25)</f>
        <v>19.375</v>
      </c>
      <c r="G151" s="204">
        <v>10</v>
      </c>
      <c r="M151"/>
      <c r="N151" s="71">
        <v>130</v>
      </c>
      <c r="O151" s="235"/>
      <c r="P151" s="176"/>
      <c r="Q151" s="236">
        <f t="shared" si="22"/>
        <v>100.0025</v>
      </c>
      <c r="R151" s="176">
        <f t="shared" si="23"/>
        <v>7.0001750000000005</v>
      </c>
      <c r="S151" s="176">
        <f>$L$11*(1+$L$9)^N151*'Récapitulatif des résultats'!$I$11</f>
        <v>0</v>
      </c>
      <c r="T151" s="237"/>
      <c r="U151" s="176"/>
      <c r="V151" s="245">
        <f t="shared" si="24"/>
        <v>0</v>
      </c>
      <c r="W151" s="184">
        <f>SUM('Pin Sylvestre'!AQ135*'Pin Sylvestre'!$F$21,Douglas!AQ135*Douglas!$F$21,'Pin Maritime'!AQ135*'Pin Maritime'!$F$21,'Meleze Hybride'!AQ135*'Meleze Hybride'!$F$21,Thuya!AQ135*Thuya!$F$21,'Chêne et feuillus divers'!AQ135*'Chêne et feuillus divers'!$F$21)</f>
        <v>0</v>
      </c>
      <c r="X151" s="184">
        <f>SUM('Pin Sylvestre'!AR135*'Pin Sylvestre'!$F$21,Douglas!AR135*Douglas!$F$21,'Pin Maritime'!AR135*'Pin Maritime'!$F$21,'Meleze Hybride'!AR135*'Meleze Hybride'!$F$21,Thuya!AR135*Thuya!$F$21,'Chêne et feuillus divers'!AR135*'Chêne et feuillus divers'!$F$21)</f>
        <v>0</v>
      </c>
      <c r="Y151" s="184">
        <f>SUM('Pin Sylvestre'!AS135*'Pin Sylvestre'!$F$21,Douglas!AS135*Douglas!$F$21,'Pin Maritime'!AS135*'Pin Maritime'!$F$21,'Meleze Hybride'!AS135*'Meleze Hybride'!$F$21,Thuya!AS135*Thuya!$F$21,'Chêne et feuillus divers'!AS135*'Chêne et feuillus divers'!$F$21)</f>
        <v>0</v>
      </c>
      <c r="Z151" s="327">
        <f>SUM('Pin Sylvestre'!AT135*'Pin Sylvestre'!$F$21,Douglas!AT135*Douglas!$F$21,'Pin Maritime'!AT135*'Pin Maritime'!$F$21,'Meleze Hybride'!AT135*'Meleze Hybride'!$F$21,Thuya!AT135*Thuya!$F$21,'Chêne et feuillus divers'!AT135*'Chêne et feuillus divers'!$F$21)</f>
        <v>0</v>
      </c>
      <c r="AA151" s="174">
        <f t="shared" si="26"/>
        <v>0</v>
      </c>
      <c r="AB151" s="175">
        <f t="shared" si="25"/>
        <v>-0.35016833953376958</v>
      </c>
      <c r="AC151" s="174"/>
      <c r="AD151" s="174"/>
    </row>
    <row r="152" spans="2:30">
      <c r="B152" s="165" t="s">
        <v>39</v>
      </c>
      <c r="C152" s="4">
        <v>0.42</v>
      </c>
      <c r="D152" s="187" t="s">
        <v>229</v>
      </c>
      <c r="E152" s="204">
        <v>50</v>
      </c>
      <c r="F152" s="250">
        <f>IF(Tableau14582[[#This Row],[Type]]="Feuillus",11*1.25,15.5*1.25)</f>
        <v>19.375</v>
      </c>
      <c r="G152" s="204">
        <v>10</v>
      </c>
      <c r="M152"/>
      <c r="N152" s="71">
        <v>131</v>
      </c>
      <c r="O152" s="235"/>
      <c r="P152" s="176"/>
      <c r="Q152" s="236">
        <f t="shared" si="22"/>
        <v>100.0025</v>
      </c>
      <c r="R152" s="176">
        <f t="shared" si="23"/>
        <v>7.0001750000000005</v>
      </c>
      <c r="S152" s="176">
        <f>$L$11*(1+$L$9)^N152*'Récapitulatif des résultats'!$I$11</f>
        <v>0</v>
      </c>
      <c r="T152" s="237"/>
      <c r="U152" s="176"/>
      <c r="V152" s="245">
        <f t="shared" si="24"/>
        <v>0</v>
      </c>
      <c r="W152" s="184">
        <f>SUM('Pin Sylvestre'!AQ136*'Pin Sylvestre'!$F$21,Douglas!AQ136*Douglas!$F$21,'Pin Maritime'!AQ136*'Pin Maritime'!$F$21,'Meleze Hybride'!AQ136*'Meleze Hybride'!$F$21,Thuya!AQ136*Thuya!$F$21,'Chêne et feuillus divers'!AQ136*'Chêne et feuillus divers'!$F$21)</f>
        <v>0</v>
      </c>
      <c r="X152" s="184">
        <f>SUM('Pin Sylvestre'!AR136*'Pin Sylvestre'!$F$21,Douglas!AR136*Douglas!$F$21,'Pin Maritime'!AR136*'Pin Maritime'!$F$21,'Meleze Hybride'!AR136*'Meleze Hybride'!$F$21,Thuya!AR136*Thuya!$F$21,'Chêne et feuillus divers'!AR136*'Chêne et feuillus divers'!$F$21)</f>
        <v>0</v>
      </c>
      <c r="Y152" s="184">
        <f>SUM('Pin Sylvestre'!AS136*'Pin Sylvestre'!$F$21,Douglas!AS136*Douglas!$F$21,'Pin Maritime'!AS136*'Pin Maritime'!$F$21,'Meleze Hybride'!AS136*'Meleze Hybride'!$F$21,Thuya!AS136*Thuya!$F$21,'Chêne et feuillus divers'!AS136*'Chêne et feuillus divers'!$F$21)</f>
        <v>0</v>
      </c>
      <c r="Z152" s="327">
        <f>SUM('Pin Sylvestre'!AT136*'Pin Sylvestre'!$F$21,Douglas!AT136*Douglas!$F$21,'Pin Maritime'!AT136*'Pin Maritime'!$F$21,'Meleze Hybride'!AT136*'Meleze Hybride'!$F$21,Thuya!AT136*Thuya!$F$21,'Chêne et feuillus divers'!AT136*'Chêne et feuillus divers'!$F$21)</f>
        <v>0</v>
      </c>
      <c r="AA152" s="174">
        <f t="shared" si="26"/>
        <v>0</v>
      </c>
      <c r="AB152" s="175">
        <f t="shared" si="25"/>
        <v>-0.33508932012800918</v>
      </c>
      <c r="AC152" s="174"/>
      <c r="AD152" s="174"/>
    </row>
    <row r="153" spans="2:30">
      <c r="B153" s="165" t="s">
        <v>40</v>
      </c>
      <c r="C153" s="4">
        <v>0.5</v>
      </c>
      <c r="D153" s="187" t="s">
        <v>228</v>
      </c>
      <c r="E153" s="204">
        <v>80</v>
      </c>
      <c r="F153" s="250">
        <f>IF(Tableau14582[[#This Row],[Type]]="Feuillus",11*1.25,15.5*1.25)</f>
        <v>13.75</v>
      </c>
      <c r="G153" s="204">
        <v>10</v>
      </c>
      <c r="M153"/>
      <c r="N153" s="71">
        <v>132</v>
      </c>
      <c r="O153" s="235"/>
      <c r="P153" s="176"/>
      <c r="Q153" s="236">
        <f t="shared" si="22"/>
        <v>100.0025</v>
      </c>
      <c r="R153" s="176">
        <f t="shared" si="23"/>
        <v>7.0001750000000005</v>
      </c>
      <c r="S153" s="176">
        <f>$L$11*(1+$L$9)^N153*'Récapitulatif des résultats'!$I$11</f>
        <v>0</v>
      </c>
      <c r="T153" s="237"/>
      <c r="U153" s="176"/>
      <c r="V153" s="245">
        <f t="shared" si="24"/>
        <v>0</v>
      </c>
      <c r="W153" s="184">
        <f>SUM('Pin Sylvestre'!AQ137*'Pin Sylvestre'!$F$21,Douglas!AQ137*Douglas!$F$21,'Pin Maritime'!AQ137*'Pin Maritime'!$F$21,'Meleze Hybride'!AQ137*'Meleze Hybride'!$F$21,Thuya!AQ137*Thuya!$F$21,'Chêne et feuillus divers'!AQ137*'Chêne et feuillus divers'!$F$21)</f>
        <v>0</v>
      </c>
      <c r="X153" s="184">
        <f>SUM('Pin Sylvestre'!AR137*'Pin Sylvestre'!$F$21,Douglas!AR137*Douglas!$F$21,'Pin Maritime'!AR137*'Pin Maritime'!$F$21,'Meleze Hybride'!AR137*'Meleze Hybride'!$F$21,Thuya!AR137*Thuya!$F$21,'Chêne et feuillus divers'!AR137*'Chêne et feuillus divers'!$F$21)</f>
        <v>0</v>
      </c>
      <c r="Y153" s="184">
        <f>SUM('Pin Sylvestre'!AS137*'Pin Sylvestre'!$F$21,Douglas!AS137*Douglas!$F$21,'Pin Maritime'!AS137*'Pin Maritime'!$F$21,'Meleze Hybride'!AS137*'Meleze Hybride'!$F$21,Thuya!AS137*Thuya!$F$21,'Chêne et feuillus divers'!AS137*'Chêne et feuillus divers'!$F$21)</f>
        <v>0</v>
      </c>
      <c r="Z153" s="327">
        <f>SUM('Pin Sylvestre'!AT137*'Pin Sylvestre'!$F$21,Douglas!AT137*Douglas!$F$21,'Pin Maritime'!AT137*'Pin Maritime'!$F$21,'Meleze Hybride'!AT137*'Meleze Hybride'!$F$21,Thuya!AT137*Thuya!$F$21,'Chêne et feuillus divers'!AT137*'Chêne et feuillus divers'!$F$21)</f>
        <v>0</v>
      </c>
      <c r="AA153" s="174">
        <f t="shared" si="26"/>
        <v>0</v>
      </c>
      <c r="AB153" s="175">
        <f t="shared" si="25"/>
        <v>-0.32065963648613327</v>
      </c>
      <c r="AC153" s="174"/>
      <c r="AD153" s="174"/>
    </row>
    <row r="154" spans="2:30">
      <c r="B154" s="165" t="s">
        <v>41</v>
      </c>
      <c r="C154" s="4">
        <v>0.55000000000000004</v>
      </c>
      <c r="D154" s="187" t="s">
        <v>228</v>
      </c>
      <c r="E154" s="251" t="s">
        <v>250</v>
      </c>
      <c r="F154" s="250">
        <f>IF(Tableau14582[[#This Row],[Type]]="Feuillus",11*1.25,15.5*1.25)</f>
        <v>13.75</v>
      </c>
      <c r="G154" s="204">
        <v>10</v>
      </c>
      <c r="M154"/>
      <c r="N154" s="71">
        <v>133</v>
      </c>
      <c r="O154" s="235"/>
      <c r="P154" s="176"/>
      <c r="Q154" s="236">
        <f t="shared" si="22"/>
        <v>100.0025</v>
      </c>
      <c r="R154" s="176">
        <f t="shared" si="23"/>
        <v>7.0001750000000005</v>
      </c>
      <c r="S154" s="176">
        <f>$L$11*(1+$L$9)^N154*'Récapitulatif des résultats'!$I$11</f>
        <v>0</v>
      </c>
      <c r="T154" s="237"/>
      <c r="U154" s="176"/>
      <c r="V154" s="245">
        <f t="shared" si="24"/>
        <v>0</v>
      </c>
      <c r="W154" s="184">
        <f>SUM('Pin Sylvestre'!AQ138*'Pin Sylvestre'!$F$21,Douglas!AQ138*Douglas!$F$21,'Pin Maritime'!AQ138*'Pin Maritime'!$F$21,'Meleze Hybride'!AQ138*'Meleze Hybride'!$F$21,Thuya!AQ138*Thuya!$F$21,'Chêne et feuillus divers'!AQ138*'Chêne et feuillus divers'!$F$21)</f>
        <v>0</v>
      </c>
      <c r="X154" s="184">
        <f>SUM('Pin Sylvestre'!AR138*'Pin Sylvestre'!$F$21,Douglas!AR138*Douglas!$F$21,'Pin Maritime'!AR138*'Pin Maritime'!$F$21,'Meleze Hybride'!AR138*'Meleze Hybride'!$F$21,Thuya!AR138*Thuya!$F$21,'Chêne et feuillus divers'!AR138*'Chêne et feuillus divers'!$F$21)</f>
        <v>0</v>
      </c>
      <c r="Y154" s="184">
        <f>SUM('Pin Sylvestre'!AS138*'Pin Sylvestre'!$F$21,Douglas!AS138*Douglas!$F$21,'Pin Maritime'!AS138*'Pin Maritime'!$F$21,'Meleze Hybride'!AS138*'Meleze Hybride'!$F$21,Thuya!AS138*Thuya!$F$21,'Chêne et feuillus divers'!AS138*'Chêne et feuillus divers'!$F$21)</f>
        <v>0</v>
      </c>
      <c r="Z154" s="327">
        <f>SUM('Pin Sylvestre'!AT138*'Pin Sylvestre'!$F$21,Douglas!AT138*Douglas!$F$21,'Pin Maritime'!AT138*'Pin Maritime'!$F$21,'Meleze Hybride'!AT138*'Meleze Hybride'!$F$21,Thuya!AT138*Thuya!$F$21,'Chêne et feuillus divers'!AT138*'Chêne et feuillus divers'!$F$21)</f>
        <v>0</v>
      </c>
      <c r="AA154" s="174">
        <f t="shared" si="26"/>
        <v>0</v>
      </c>
      <c r="AB154" s="175">
        <f t="shared" si="25"/>
        <v>-0.30685132678098875</v>
      </c>
      <c r="AC154" s="174"/>
      <c r="AD154" s="174"/>
    </row>
    <row r="155" spans="2:30">
      <c r="B155" s="165" t="s">
        <v>42</v>
      </c>
      <c r="C155" s="4">
        <v>0.53</v>
      </c>
      <c r="D155" s="187" t="s">
        <v>228</v>
      </c>
      <c r="E155" s="251" t="s">
        <v>250</v>
      </c>
      <c r="F155" s="250">
        <f>IF(Tableau14582[[#This Row],[Type]]="Feuillus",11*1.25,15.5*1.25)</f>
        <v>13.75</v>
      </c>
      <c r="G155" s="204">
        <v>10</v>
      </c>
      <c r="M155"/>
      <c r="N155" s="71">
        <v>134</v>
      </c>
      <c r="O155" s="235"/>
      <c r="P155" s="176"/>
      <c r="Q155" s="236">
        <f t="shared" ref="Q155:Q186" si="27">$L$13*(1+$L$9)^N155*$L$5</f>
        <v>100.0025</v>
      </c>
      <c r="R155" s="176">
        <f t="shared" si="23"/>
        <v>7.0001750000000005</v>
      </c>
      <c r="S155" s="176">
        <f>$L$11*(1+$L$9)^N155*'Récapitulatif des résultats'!$I$11</f>
        <v>0</v>
      </c>
      <c r="T155" s="237"/>
      <c r="U155" s="176"/>
      <c r="V155" s="245">
        <f t="shared" si="24"/>
        <v>0</v>
      </c>
      <c r="W155" s="184">
        <f>SUM('Pin Sylvestre'!AQ139*'Pin Sylvestre'!$F$21,Douglas!AQ139*Douglas!$F$21,'Pin Maritime'!AQ139*'Pin Maritime'!$F$21,'Meleze Hybride'!AQ139*'Meleze Hybride'!$F$21,Thuya!AQ139*Thuya!$F$21,'Chêne et feuillus divers'!AQ139*'Chêne et feuillus divers'!$F$21)</f>
        <v>0</v>
      </c>
      <c r="X155" s="184">
        <f>SUM('Pin Sylvestre'!AR139*'Pin Sylvestre'!$F$21,Douglas!AR139*Douglas!$F$21,'Pin Maritime'!AR139*'Pin Maritime'!$F$21,'Meleze Hybride'!AR139*'Meleze Hybride'!$F$21,Thuya!AR139*Thuya!$F$21,'Chêne et feuillus divers'!AR139*'Chêne et feuillus divers'!$F$21)</f>
        <v>0</v>
      </c>
      <c r="Y155" s="184">
        <f>SUM('Pin Sylvestre'!AS139*'Pin Sylvestre'!$F$21,Douglas!AS139*Douglas!$F$21,'Pin Maritime'!AS139*'Pin Maritime'!$F$21,'Meleze Hybride'!AS139*'Meleze Hybride'!$F$21,Thuya!AS139*Thuya!$F$21,'Chêne et feuillus divers'!AS139*'Chêne et feuillus divers'!$F$21)</f>
        <v>0</v>
      </c>
      <c r="Z155" s="327">
        <f>SUM('Pin Sylvestre'!AT139*'Pin Sylvestre'!$F$21,Douglas!AT139*Douglas!$F$21,'Pin Maritime'!AT139*'Pin Maritime'!$F$21,'Meleze Hybride'!AT139*'Meleze Hybride'!$F$21,Thuya!AT139*Thuya!$F$21,'Chêne et feuillus divers'!AT139*'Chêne et feuillus divers'!$F$21)</f>
        <v>0</v>
      </c>
      <c r="AA155" s="174">
        <f t="shared" si="26"/>
        <v>0</v>
      </c>
      <c r="AB155" s="175">
        <f t="shared" si="25"/>
        <v>-0.29363763328324294</v>
      </c>
      <c r="AC155" s="174"/>
      <c r="AD155" s="174"/>
    </row>
    <row r="156" spans="2:30">
      <c r="B156" s="165" t="s">
        <v>43</v>
      </c>
      <c r="C156" s="4">
        <v>0.52</v>
      </c>
      <c r="D156" s="187" t="s">
        <v>228</v>
      </c>
      <c r="E156" s="251" t="s">
        <v>250</v>
      </c>
      <c r="F156" s="250">
        <f>IF(Tableau14582[[#This Row],[Type]]="Feuillus",11*1.25,15.5*1.25)</f>
        <v>13.75</v>
      </c>
      <c r="G156" s="204">
        <v>10</v>
      </c>
      <c r="M156"/>
      <c r="N156" s="71">
        <v>135</v>
      </c>
      <c r="O156" s="235"/>
      <c r="P156" s="176"/>
      <c r="Q156" s="236">
        <f t="shared" si="27"/>
        <v>100.0025</v>
      </c>
      <c r="R156" s="176">
        <f t="shared" si="23"/>
        <v>7.0001750000000005</v>
      </c>
      <c r="S156" s="176">
        <f>$L$11*(1+$L$9)^N156*'Récapitulatif des résultats'!$I$11</f>
        <v>0</v>
      </c>
      <c r="T156" s="237"/>
      <c r="U156" s="176"/>
      <c r="V156" s="245">
        <f t="shared" si="24"/>
        <v>0</v>
      </c>
      <c r="W156" s="184">
        <f>SUM('Pin Sylvestre'!AQ140*'Pin Sylvestre'!$F$21,Douglas!AQ140*Douglas!$F$21,'Pin Maritime'!AQ140*'Pin Maritime'!$F$21,'Meleze Hybride'!AQ140*'Meleze Hybride'!$F$21,Thuya!AQ140*Thuya!$F$21,'Chêne et feuillus divers'!AQ140*'Chêne et feuillus divers'!$F$21)</f>
        <v>0</v>
      </c>
      <c r="X156" s="184">
        <f>SUM('Pin Sylvestre'!AR140*'Pin Sylvestre'!$F$21,Douglas!AR140*Douglas!$F$21,'Pin Maritime'!AR140*'Pin Maritime'!$F$21,'Meleze Hybride'!AR140*'Meleze Hybride'!$F$21,Thuya!AR140*Thuya!$F$21,'Chêne et feuillus divers'!AR140*'Chêne et feuillus divers'!$F$21)</f>
        <v>0</v>
      </c>
      <c r="Y156" s="184">
        <f>SUM('Pin Sylvestre'!AS140*'Pin Sylvestre'!$F$21,Douglas!AS140*Douglas!$F$21,'Pin Maritime'!AS140*'Pin Maritime'!$F$21,'Meleze Hybride'!AS140*'Meleze Hybride'!$F$21,Thuya!AS140*Thuya!$F$21,'Chêne et feuillus divers'!AS140*'Chêne et feuillus divers'!$F$21)</f>
        <v>0</v>
      </c>
      <c r="Z156" s="327">
        <f>SUM('Pin Sylvestre'!AT140*'Pin Sylvestre'!$F$21,Douglas!AT140*Douglas!$F$21,'Pin Maritime'!AT140*'Pin Maritime'!$F$21,'Meleze Hybride'!AT140*'Meleze Hybride'!$F$21,Thuya!AT140*Thuya!$F$21,'Chêne et feuillus divers'!AT140*'Chêne et feuillus divers'!$F$21)</f>
        <v>0</v>
      </c>
      <c r="AA156" s="174">
        <f t="shared" si="26"/>
        <v>0</v>
      </c>
      <c r="AB156" s="175">
        <f t="shared" si="25"/>
        <v>-0.28099295051028028</v>
      </c>
      <c r="AC156" s="174"/>
      <c r="AD156" s="174"/>
    </row>
    <row r="157" spans="2:30">
      <c r="B157" s="165" t="s">
        <v>44</v>
      </c>
      <c r="C157" s="4">
        <v>0.52</v>
      </c>
      <c r="D157" s="187" t="s">
        <v>228</v>
      </c>
      <c r="E157" s="204">
        <v>300</v>
      </c>
      <c r="F157" s="250">
        <f>IF(Tableau14582[[#This Row],[Type]]="Feuillus",11*1.25,15.5*1.25)</f>
        <v>13.75</v>
      </c>
      <c r="G157" s="204">
        <v>10</v>
      </c>
      <c r="M157"/>
      <c r="N157" s="71">
        <v>136</v>
      </c>
      <c r="O157" s="235"/>
      <c r="P157" s="176"/>
      <c r="Q157" s="236">
        <f t="shared" si="27"/>
        <v>100.0025</v>
      </c>
      <c r="R157" s="176">
        <f t="shared" si="23"/>
        <v>7.0001750000000005</v>
      </c>
      <c r="S157" s="176">
        <f>$L$11*(1+$L$9)^N157*'Récapitulatif des résultats'!$I$11</f>
        <v>0</v>
      </c>
      <c r="T157" s="237"/>
      <c r="U157" s="176"/>
      <c r="V157" s="245">
        <f t="shared" si="24"/>
        <v>0</v>
      </c>
      <c r="W157" s="184">
        <f>SUM('Pin Sylvestre'!AQ141*'Pin Sylvestre'!$F$21,Douglas!AQ141*Douglas!$F$21,'Pin Maritime'!AQ141*'Pin Maritime'!$F$21,'Meleze Hybride'!AQ141*'Meleze Hybride'!$F$21,Thuya!AQ141*Thuya!$F$21,'Chêne et feuillus divers'!AQ141*'Chêne et feuillus divers'!$F$21)</f>
        <v>0</v>
      </c>
      <c r="X157" s="184">
        <f>SUM('Pin Sylvestre'!AR141*'Pin Sylvestre'!$F$21,Douglas!AR141*Douglas!$F$21,'Pin Maritime'!AR141*'Pin Maritime'!$F$21,'Meleze Hybride'!AR141*'Meleze Hybride'!$F$21,Thuya!AR141*Thuya!$F$21,'Chêne et feuillus divers'!AR141*'Chêne et feuillus divers'!$F$21)</f>
        <v>0</v>
      </c>
      <c r="Y157" s="184">
        <f>SUM('Pin Sylvestre'!AS141*'Pin Sylvestre'!$F$21,Douglas!AS141*Douglas!$F$21,'Pin Maritime'!AS141*'Pin Maritime'!$F$21,'Meleze Hybride'!AS141*'Meleze Hybride'!$F$21,Thuya!AS141*Thuya!$F$21,'Chêne et feuillus divers'!AS141*'Chêne et feuillus divers'!$F$21)</f>
        <v>0</v>
      </c>
      <c r="Z157" s="327">
        <f>SUM('Pin Sylvestre'!AT141*'Pin Sylvestre'!$F$21,Douglas!AT141*Douglas!$F$21,'Pin Maritime'!AT141*'Pin Maritime'!$F$21,'Meleze Hybride'!AT141*'Meleze Hybride'!$F$21,Thuya!AT141*Thuya!$F$21,'Chêne et feuillus divers'!AT141*'Chêne et feuillus divers'!$F$21)</f>
        <v>0</v>
      </c>
      <c r="AA157" s="174">
        <f t="shared" si="26"/>
        <v>0</v>
      </c>
      <c r="AB157" s="175">
        <f t="shared" si="25"/>
        <v>-0.2688927756079238</v>
      </c>
      <c r="AC157" s="174"/>
      <c r="AD157" s="174"/>
    </row>
    <row r="158" spans="2:30">
      <c r="B158" s="165" t="s">
        <v>45</v>
      </c>
      <c r="C158" s="4">
        <v>0.75</v>
      </c>
      <c r="D158" s="187" t="s">
        <v>228</v>
      </c>
      <c r="E158" s="251" t="s">
        <v>250</v>
      </c>
      <c r="F158" s="250">
        <f>IF(Tableau14582[[#This Row],[Type]]="Feuillus",11*1.25,15.5*1.25)</f>
        <v>13.75</v>
      </c>
      <c r="G158" s="204">
        <v>10</v>
      </c>
      <c r="M158"/>
      <c r="N158" s="71">
        <v>137</v>
      </c>
      <c r="O158" s="235"/>
      <c r="P158" s="176"/>
      <c r="Q158" s="236">
        <f t="shared" si="27"/>
        <v>100.0025</v>
      </c>
      <c r="R158" s="176">
        <f t="shared" si="23"/>
        <v>7.0001750000000005</v>
      </c>
      <c r="S158" s="176">
        <f>$L$11*(1+$L$9)^N158*'Récapitulatif des résultats'!$I$11</f>
        <v>0</v>
      </c>
      <c r="T158" s="237"/>
      <c r="U158" s="176"/>
      <c r="V158" s="245">
        <f t="shared" si="24"/>
        <v>0</v>
      </c>
      <c r="W158" s="184">
        <f>SUM('Pin Sylvestre'!AQ142*'Pin Sylvestre'!$F$21,Douglas!AQ142*Douglas!$F$21,'Pin Maritime'!AQ142*'Pin Maritime'!$F$21,'Meleze Hybride'!AQ142*'Meleze Hybride'!$F$21,Thuya!AQ142*Thuya!$F$21,'Chêne et feuillus divers'!AQ142*'Chêne et feuillus divers'!$F$21)</f>
        <v>0</v>
      </c>
      <c r="X158" s="184">
        <f>SUM('Pin Sylvestre'!AR142*'Pin Sylvestre'!$F$21,Douglas!AR142*Douglas!$F$21,'Pin Maritime'!AR142*'Pin Maritime'!$F$21,'Meleze Hybride'!AR142*'Meleze Hybride'!$F$21,Thuya!AR142*Thuya!$F$21,'Chêne et feuillus divers'!AR142*'Chêne et feuillus divers'!$F$21)</f>
        <v>0</v>
      </c>
      <c r="Y158" s="184">
        <f>SUM('Pin Sylvestre'!AS142*'Pin Sylvestre'!$F$21,Douglas!AS142*Douglas!$F$21,'Pin Maritime'!AS142*'Pin Maritime'!$F$21,'Meleze Hybride'!AS142*'Meleze Hybride'!$F$21,Thuya!AS142*Thuya!$F$21,'Chêne et feuillus divers'!AS142*'Chêne et feuillus divers'!$F$21)</f>
        <v>0</v>
      </c>
      <c r="Z158" s="327">
        <f>SUM('Pin Sylvestre'!AT142*'Pin Sylvestre'!$F$21,Douglas!AT142*Douglas!$F$21,'Pin Maritime'!AT142*'Pin Maritime'!$F$21,'Meleze Hybride'!AT142*'Meleze Hybride'!$F$21,Thuya!AT142*Thuya!$F$21,'Chêne et feuillus divers'!AT142*'Chêne et feuillus divers'!$F$21)</f>
        <v>0</v>
      </c>
      <c r="AA158" s="174">
        <f t="shared" si="26"/>
        <v>0</v>
      </c>
      <c r="AB158" s="175">
        <f t="shared" si="25"/>
        <v>-0.25731366086882662</v>
      </c>
      <c r="AC158" s="174"/>
      <c r="AD158" s="174"/>
    </row>
    <row r="159" spans="2:30">
      <c r="B159" s="165" t="s">
        <v>46</v>
      </c>
      <c r="C159" s="4">
        <v>0.52</v>
      </c>
      <c r="D159" s="187" t="s">
        <v>228</v>
      </c>
      <c r="E159" s="204">
        <v>50</v>
      </c>
      <c r="F159" s="250">
        <f>IF(Tableau14582[[#This Row],[Type]]="Feuillus",11*1.25,15.5*1.25)</f>
        <v>13.75</v>
      </c>
      <c r="G159" s="204">
        <v>10</v>
      </c>
      <c r="M159"/>
      <c r="N159" s="71">
        <v>138</v>
      </c>
      <c r="O159" s="235"/>
      <c r="P159" s="176"/>
      <c r="Q159" s="236">
        <f t="shared" si="27"/>
        <v>100.0025</v>
      </c>
      <c r="R159" s="176">
        <f t="shared" si="23"/>
        <v>7.0001750000000005</v>
      </c>
      <c r="S159" s="176">
        <f>$L$11*(1+$L$9)^N159*'Récapitulatif des résultats'!$I$11</f>
        <v>0</v>
      </c>
      <c r="T159" s="237"/>
      <c r="U159" s="176"/>
      <c r="V159" s="245">
        <f t="shared" si="24"/>
        <v>0</v>
      </c>
      <c r="W159" s="184">
        <f>SUM('Pin Sylvestre'!AQ143*'Pin Sylvestre'!$F$21,Douglas!AQ143*Douglas!$F$21,'Pin Maritime'!AQ143*'Pin Maritime'!$F$21,'Meleze Hybride'!AQ143*'Meleze Hybride'!$F$21,Thuya!AQ143*Thuya!$F$21,'Chêne et feuillus divers'!AQ143*'Chêne et feuillus divers'!$F$21)</f>
        <v>0</v>
      </c>
      <c r="X159" s="184">
        <f>SUM('Pin Sylvestre'!AR143*'Pin Sylvestre'!$F$21,Douglas!AR143*Douglas!$F$21,'Pin Maritime'!AR143*'Pin Maritime'!$F$21,'Meleze Hybride'!AR143*'Meleze Hybride'!$F$21,Thuya!AR143*Thuya!$F$21,'Chêne et feuillus divers'!AR143*'Chêne et feuillus divers'!$F$21)</f>
        <v>0</v>
      </c>
      <c r="Y159" s="184">
        <f>SUM('Pin Sylvestre'!AS143*'Pin Sylvestre'!$F$21,Douglas!AS143*Douglas!$F$21,'Pin Maritime'!AS143*'Pin Maritime'!$F$21,'Meleze Hybride'!AS143*'Meleze Hybride'!$F$21,Thuya!AS143*Thuya!$F$21,'Chêne et feuillus divers'!AS143*'Chêne et feuillus divers'!$F$21)</f>
        <v>0</v>
      </c>
      <c r="Z159" s="327">
        <f>SUM('Pin Sylvestre'!AT143*'Pin Sylvestre'!$F$21,Douglas!AT143*Douglas!$F$21,'Pin Maritime'!AT143*'Pin Maritime'!$F$21,'Meleze Hybride'!AT143*'Meleze Hybride'!$F$21,Thuya!AT143*Thuya!$F$21,'Chêne et feuillus divers'!AT143*'Chêne et feuillus divers'!$F$21)</f>
        <v>0</v>
      </c>
      <c r="AA159" s="174">
        <f t="shared" si="26"/>
        <v>0</v>
      </c>
      <c r="AB159" s="175">
        <f t="shared" si="25"/>
        <v>-0.24623316829552791</v>
      </c>
      <c r="AC159" s="174"/>
      <c r="AD159" s="174"/>
    </row>
    <row r="160" spans="2:30">
      <c r="B160" s="165" t="s">
        <v>47</v>
      </c>
      <c r="C160" s="4">
        <v>0.35</v>
      </c>
      <c r="D160" s="187" t="s">
        <v>230</v>
      </c>
      <c r="E160" s="204">
        <v>42</v>
      </c>
      <c r="F160" s="250">
        <f>IF(Tableau14582[[#This Row],[Type]]="Feuillus",11*1.25,15.5*1.25)</f>
        <v>19.375</v>
      </c>
      <c r="G160" s="204">
        <v>10</v>
      </c>
      <c r="M160"/>
      <c r="N160" s="71">
        <v>139</v>
      </c>
      <c r="O160" s="235"/>
      <c r="P160" s="176"/>
      <c r="Q160" s="236">
        <f t="shared" si="27"/>
        <v>100.0025</v>
      </c>
      <c r="R160" s="176">
        <f t="shared" si="23"/>
        <v>7.0001750000000005</v>
      </c>
      <c r="S160" s="176">
        <f>$L$11*(1+$L$9)^N160*'Récapitulatif des résultats'!$I$11</f>
        <v>0</v>
      </c>
      <c r="T160" s="237"/>
      <c r="U160" s="176"/>
      <c r="V160" s="245">
        <f t="shared" si="24"/>
        <v>0</v>
      </c>
      <c r="W160" s="184">
        <f>SUM('Pin Sylvestre'!AQ144*'Pin Sylvestre'!$F$21,Douglas!AQ144*Douglas!$F$21,'Pin Maritime'!AQ144*'Pin Maritime'!$F$21,'Meleze Hybride'!AQ144*'Meleze Hybride'!$F$21,Thuya!AQ144*Thuya!$F$21,'Chêne et feuillus divers'!AQ144*'Chêne et feuillus divers'!$F$21)</f>
        <v>0</v>
      </c>
      <c r="X160" s="184">
        <f>SUM('Pin Sylvestre'!AR144*'Pin Sylvestre'!$F$21,Douglas!AR144*Douglas!$F$21,'Pin Maritime'!AR144*'Pin Maritime'!$F$21,'Meleze Hybride'!AR144*'Meleze Hybride'!$F$21,Thuya!AR144*Thuya!$F$21,'Chêne et feuillus divers'!AR144*'Chêne et feuillus divers'!$F$21)</f>
        <v>0</v>
      </c>
      <c r="Y160" s="184">
        <f>SUM('Pin Sylvestre'!AS144*'Pin Sylvestre'!$F$21,Douglas!AS144*Douglas!$F$21,'Pin Maritime'!AS144*'Pin Maritime'!$F$21,'Meleze Hybride'!AS144*'Meleze Hybride'!$F$21,Thuya!AS144*Thuya!$F$21,'Chêne et feuillus divers'!AS144*'Chêne et feuillus divers'!$F$21)</f>
        <v>0</v>
      </c>
      <c r="Z160" s="327">
        <f>SUM('Pin Sylvestre'!AT144*'Pin Sylvestre'!$F$21,Douglas!AT144*Douglas!$F$21,'Pin Maritime'!AT144*'Pin Maritime'!$F$21,'Meleze Hybride'!AT144*'Meleze Hybride'!$F$21,Thuya!AT144*Thuya!$F$21,'Chêne et feuillus divers'!AT144*'Chêne et feuillus divers'!$F$21)</f>
        <v>0</v>
      </c>
      <c r="AA160" s="174">
        <f t="shared" si="26"/>
        <v>0</v>
      </c>
      <c r="AB160" s="175">
        <f t="shared" si="25"/>
        <v>-0.2356298261201224</v>
      </c>
      <c r="AC160" s="174"/>
      <c r="AD160" s="174"/>
    </row>
    <row r="161" spans="2:30">
      <c r="B161" s="165" t="s">
        <v>48</v>
      </c>
      <c r="C161" s="4">
        <v>0.37</v>
      </c>
      <c r="D161" s="187" t="s">
        <v>228</v>
      </c>
      <c r="E161" s="204">
        <v>17.5</v>
      </c>
      <c r="F161" s="250">
        <f>IF(Tableau14582[[#This Row],[Type]]="Feuillus",11*1.25,15.5*1.25)</f>
        <v>13.75</v>
      </c>
      <c r="G161" s="204">
        <v>10</v>
      </c>
      <c r="M161"/>
      <c r="N161" s="71">
        <v>140</v>
      </c>
      <c r="O161" s="235"/>
      <c r="P161" s="176"/>
      <c r="Q161" s="236">
        <f t="shared" si="27"/>
        <v>100.0025</v>
      </c>
      <c r="R161" s="176">
        <f t="shared" si="23"/>
        <v>7.0001750000000005</v>
      </c>
      <c r="S161" s="176">
        <f>$L$11*(1+$L$9)^N161*'Récapitulatif des résultats'!$I$11</f>
        <v>0</v>
      </c>
      <c r="T161" s="237"/>
      <c r="U161" s="176"/>
      <c r="V161" s="245">
        <f t="shared" si="24"/>
        <v>0</v>
      </c>
      <c r="W161" s="184">
        <f>SUM('Pin Sylvestre'!AQ145*'Pin Sylvestre'!$F$21,Douglas!AQ145*Douglas!$F$21,'Pin Maritime'!AQ145*'Pin Maritime'!$F$21,'Meleze Hybride'!AQ145*'Meleze Hybride'!$F$21,Thuya!AQ145*Thuya!$F$21,'Chêne et feuillus divers'!AQ145*'Chêne et feuillus divers'!$F$21)</f>
        <v>0</v>
      </c>
      <c r="X161" s="184">
        <f>SUM('Pin Sylvestre'!AR145*'Pin Sylvestre'!$F$21,Douglas!AR145*Douglas!$F$21,'Pin Maritime'!AR145*'Pin Maritime'!$F$21,'Meleze Hybride'!AR145*'Meleze Hybride'!$F$21,Thuya!AR145*Thuya!$F$21,'Chêne et feuillus divers'!AR145*'Chêne et feuillus divers'!$F$21)</f>
        <v>0</v>
      </c>
      <c r="Y161" s="184">
        <f>SUM('Pin Sylvestre'!AS145*'Pin Sylvestre'!$F$21,Douglas!AS145*Douglas!$F$21,'Pin Maritime'!AS145*'Pin Maritime'!$F$21,'Meleze Hybride'!AS145*'Meleze Hybride'!$F$21,Thuya!AS145*Thuya!$F$21,'Chêne et feuillus divers'!AS145*'Chêne et feuillus divers'!$F$21)</f>
        <v>0</v>
      </c>
      <c r="Z161" s="327">
        <f>SUM('Pin Sylvestre'!AT145*'Pin Sylvestre'!$F$21,Douglas!AT145*Douglas!$F$21,'Pin Maritime'!AT145*'Pin Maritime'!$F$21,'Meleze Hybride'!AT145*'Meleze Hybride'!$F$21,Thuya!AT145*Thuya!$F$21,'Chêne et feuillus divers'!AT145*'Chêne et feuillus divers'!$F$21)</f>
        <v>0</v>
      </c>
      <c r="AA161" s="174">
        <f t="shared" si="26"/>
        <v>0</v>
      </c>
      <c r="AB161" s="175">
        <f t="shared" si="25"/>
        <v>-0.22548308719628943</v>
      </c>
      <c r="AC161" s="174"/>
      <c r="AD161" s="174"/>
    </row>
    <row r="162" spans="2:30">
      <c r="B162" s="165" t="s">
        <v>49</v>
      </c>
      <c r="C162" s="4">
        <v>0.45</v>
      </c>
      <c r="D162" s="187" t="s">
        <v>229</v>
      </c>
      <c r="E162" s="204">
        <v>30</v>
      </c>
      <c r="F162" s="250">
        <f>IF(Tableau14582[[#This Row],[Type]]="Feuillus",11*1.25,15.5*1.25)</f>
        <v>19.375</v>
      </c>
      <c r="G162" s="204">
        <v>10</v>
      </c>
      <c r="M162"/>
      <c r="N162" s="71">
        <v>141</v>
      </c>
      <c r="O162" s="235"/>
      <c r="P162" s="176"/>
      <c r="Q162" s="236">
        <f t="shared" si="27"/>
        <v>100.0025</v>
      </c>
      <c r="R162" s="176">
        <f t="shared" si="23"/>
        <v>7.0001750000000005</v>
      </c>
      <c r="S162" s="176">
        <f>$L$11*(1+$L$9)^N162*'Récapitulatif des résultats'!$I$11</f>
        <v>0</v>
      </c>
      <c r="T162" s="237"/>
      <c r="U162" s="176"/>
      <c r="V162" s="245">
        <f t="shared" si="24"/>
        <v>0</v>
      </c>
      <c r="W162" s="184">
        <f>SUM('Pin Sylvestre'!AQ146*'Pin Sylvestre'!$F$21,Douglas!AQ146*Douglas!$F$21,'Pin Maritime'!AQ146*'Pin Maritime'!$F$21,'Meleze Hybride'!AQ146*'Meleze Hybride'!$F$21,Thuya!AQ146*Thuya!$F$21,'Chêne et feuillus divers'!AQ146*'Chêne et feuillus divers'!$F$21)</f>
        <v>0</v>
      </c>
      <c r="X162" s="184">
        <f>SUM('Pin Sylvestre'!AR146*'Pin Sylvestre'!$F$21,Douglas!AR146*Douglas!$F$21,'Pin Maritime'!AR146*'Pin Maritime'!$F$21,'Meleze Hybride'!AR146*'Meleze Hybride'!$F$21,Thuya!AR146*Thuya!$F$21,'Chêne et feuillus divers'!AR146*'Chêne et feuillus divers'!$F$21)</f>
        <v>0</v>
      </c>
      <c r="Y162" s="184">
        <f>SUM('Pin Sylvestre'!AS146*'Pin Sylvestre'!$F$21,Douglas!AS146*Douglas!$F$21,'Pin Maritime'!AS146*'Pin Maritime'!$F$21,'Meleze Hybride'!AS146*'Meleze Hybride'!$F$21,Thuya!AS146*Thuya!$F$21,'Chêne et feuillus divers'!AS146*'Chêne et feuillus divers'!$F$21)</f>
        <v>0</v>
      </c>
      <c r="Z162" s="327">
        <f>SUM('Pin Sylvestre'!AT146*'Pin Sylvestre'!$F$21,Douglas!AT146*Douglas!$F$21,'Pin Maritime'!AT146*'Pin Maritime'!$F$21,'Meleze Hybride'!AT146*'Meleze Hybride'!$F$21,Thuya!AT146*Thuya!$F$21,'Chêne et feuillus divers'!AT146*'Chêne et feuillus divers'!$F$21)</f>
        <v>0</v>
      </c>
      <c r="AA162" s="174">
        <f t="shared" si="26"/>
        <v>0</v>
      </c>
      <c r="AB162" s="175">
        <f t="shared" si="25"/>
        <v>-0.21577328918305205</v>
      </c>
      <c r="AC162" s="174"/>
      <c r="AD162" s="174"/>
    </row>
    <row r="163" spans="2:30">
      <c r="B163" s="165" t="s">
        <v>50</v>
      </c>
      <c r="C163" s="4">
        <v>0.39</v>
      </c>
      <c r="D163" s="187" t="s">
        <v>229</v>
      </c>
      <c r="E163" s="204">
        <v>30</v>
      </c>
      <c r="F163" s="250">
        <f>IF(Tableau14582[[#This Row],[Type]]="Feuillus",11*1.25,15.5*1.25)</f>
        <v>19.375</v>
      </c>
      <c r="G163" s="204">
        <v>10</v>
      </c>
      <c r="M163"/>
      <c r="N163" s="71">
        <v>142</v>
      </c>
      <c r="O163" s="235"/>
      <c r="P163" s="176"/>
      <c r="Q163" s="236">
        <f t="shared" si="27"/>
        <v>100.0025</v>
      </c>
      <c r="R163" s="176">
        <f t="shared" si="23"/>
        <v>7.0001750000000005</v>
      </c>
      <c r="S163" s="176">
        <f>$L$11*(1+$L$9)^N163*'Récapitulatif des résultats'!$I$11</f>
        <v>0</v>
      </c>
      <c r="T163" s="237"/>
      <c r="U163" s="176"/>
      <c r="V163" s="245">
        <f t="shared" si="24"/>
        <v>0</v>
      </c>
      <c r="W163" s="184">
        <f>SUM('Pin Sylvestre'!AQ147*'Pin Sylvestre'!$F$21,Douglas!AQ147*Douglas!$F$21,'Pin Maritime'!AQ147*'Pin Maritime'!$F$21,'Meleze Hybride'!AQ147*'Meleze Hybride'!$F$21,Thuya!AQ147*Thuya!$F$21,'Chêne et feuillus divers'!AQ147*'Chêne et feuillus divers'!$F$21)</f>
        <v>0</v>
      </c>
      <c r="X163" s="184">
        <f>SUM('Pin Sylvestre'!AR147*'Pin Sylvestre'!$F$21,Douglas!AR147*Douglas!$F$21,'Pin Maritime'!AR147*'Pin Maritime'!$F$21,'Meleze Hybride'!AR147*'Meleze Hybride'!$F$21,Thuya!AR147*Thuya!$F$21,'Chêne et feuillus divers'!AR147*'Chêne et feuillus divers'!$F$21)</f>
        <v>0</v>
      </c>
      <c r="Y163" s="184">
        <f>SUM('Pin Sylvestre'!AS147*'Pin Sylvestre'!$F$21,Douglas!AS147*Douglas!$F$21,'Pin Maritime'!AS147*'Pin Maritime'!$F$21,'Meleze Hybride'!AS147*'Meleze Hybride'!$F$21,Thuya!AS147*Thuya!$F$21,'Chêne et feuillus divers'!AS147*'Chêne et feuillus divers'!$F$21)</f>
        <v>0</v>
      </c>
      <c r="Z163" s="327">
        <f>SUM('Pin Sylvestre'!AT147*'Pin Sylvestre'!$F$21,Douglas!AT147*Douglas!$F$21,'Pin Maritime'!AT147*'Pin Maritime'!$F$21,'Meleze Hybride'!AT147*'Meleze Hybride'!$F$21,Thuya!AT147*Thuya!$F$21,'Chêne et feuillus divers'!AT147*'Chêne et feuillus divers'!$F$21)</f>
        <v>0</v>
      </c>
      <c r="AA163" s="174">
        <f t="shared" si="26"/>
        <v>0</v>
      </c>
      <c r="AB163" s="175">
        <f t="shared" si="25"/>
        <v>-0.20648161644311208</v>
      </c>
      <c r="AC163" s="174"/>
      <c r="AD163" s="174"/>
    </row>
    <row r="164" spans="2:30">
      <c r="B164" s="165" t="s">
        <v>51</v>
      </c>
      <c r="C164" s="4">
        <v>0.44</v>
      </c>
      <c r="D164" s="187" t="s">
        <v>229</v>
      </c>
      <c r="E164" s="204">
        <v>30</v>
      </c>
      <c r="F164" s="250">
        <f>IF(Tableau14582[[#This Row],[Type]]="Feuillus",11*1.25,15.5*1.25)</f>
        <v>19.375</v>
      </c>
      <c r="G164" s="204">
        <v>10</v>
      </c>
      <c r="M164"/>
      <c r="N164" s="71">
        <v>143</v>
      </c>
      <c r="O164" s="235"/>
      <c r="P164" s="176"/>
      <c r="Q164" s="236">
        <f t="shared" si="27"/>
        <v>100.0025</v>
      </c>
      <c r="R164" s="176">
        <f t="shared" si="23"/>
        <v>7.0001750000000005</v>
      </c>
      <c r="S164" s="176">
        <f>$L$11*(1+$L$9)^N164*'Récapitulatif des résultats'!$I$11</f>
        <v>0</v>
      </c>
      <c r="T164" s="237"/>
      <c r="U164" s="176"/>
      <c r="V164" s="245">
        <f t="shared" si="24"/>
        <v>0</v>
      </c>
      <c r="W164" s="184">
        <f>SUM('Pin Sylvestre'!AQ148*'Pin Sylvestre'!$F$21,Douglas!AQ148*Douglas!$F$21,'Pin Maritime'!AQ148*'Pin Maritime'!$F$21,'Meleze Hybride'!AQ148*'Meleze Hybride'!$F$21,Thuya!AQ148*Thuya!$F$21,'Chêne et feuillus divers'!AQ148*'Chêne et feuillus divers'!$F$21)</f>
        <v>0</v>
      </c>
      <c r="X164" s="184">
        <f>SUM('Pin Sylvestre'!AR148*'Pin Sylvestre'!$F$21,Douglas!AR148*Douglas!$F$21,'Pin Maritime'!AR148*'Pin Maritime'!$F$21,'Meleze Hybride'!AR148*'Meleze Hybride'!$F$21,Thuya!AR148*Thuya!$F$21,'Chêne et feuillus divers'!AR148*'Chêne et feuillus divers'!$F$21)</f>
        <v>0</v>
      </c>
      <c r="Y164" s="184">
        <f>SUM('Pin Sylvestre'!AS148*'Pin Sylvestre'!$F$21,Douglas!AS148*Douglas!$F$21,'Pin Maritime'!AS148*'Pin Maritime'!$F$21,'Meleze Hybride'!AS148*'Meleze Hybride'!$F$21,Thuya!AS148*Thuya!$F$21,'Chêne et feuillus divers'!AS148*'Chêne et feuillus divers'!$F$21)</f>
        <v>0</v>
      </c>
      <c r="Z164" s="327">
        <f>SUM('Pin Sylvestre'!AT148*'Pin Sylvestre'!$F$21,Douglas!AT148*Douglas!$F$21,'Pin Maritime'!AT148*'Pin Maritime'!$F$21,'Meleze Hybride'!AT148*'Meleze Hybride'!$F$21,Thuya!AT148*Thuya!$F$21,'Chêne et feuillus divers'!AT148*'Chêne et feuillus divers'!$F$21)</f>
        <v>0</v>
      </c>
      <c r="AA164" s="174">
        <f t="shared" si="26"/>
        <v>0</v>
      </c>
      <c r="AB164" s="175">
        <f t="shared" si="25"/>
        <v>-0.19759006358192543</v>
      </c>
      <c r="AC164" s="174"/>
      <c r="AD164" s="174"/>
    </row>
    <row r="165" spans="2:30">
      <c r="B165" s="165" t="s">
        <v>52</v>
      </c>
      <c r="C165" s="4">
        <v>0.46</v>
      </c>
      <c r="D165" s="187" t="s">
        <v>229</v>
      </c>
      <c r="E165" s="204">
        <v>30</v>
      </c>
      <c r="F165" s="250">
        <f>IF(Tableau14582[[#This Row],[Type]]="Feuillus",11*1.25,15.5*1.25)</f>
        <v>19.375</v>
      </c>
      <c r="G165" s="204">
        <v>10</v>
      </c>
      <c r="M165"/>
      <c r="N165" s="71">
        <v>144</v>
      </c>
      <c r="O165" s="235"/>
      <c r="P165" s="176"/>
      <c r="Q165" s="236">
        <f t="shared" si="27"/>
        <v>100.0025</v>
      </c>
      <c r="R165" s="176">
        <f t="shared" si="23"/>
        <v>7.0001750000000005</v>
      </c>
      <c r="S165" s="176">
        <f>$L$11*(1+$L$9)^N165*'Récapitulatif des résultats'!$I$11</f>
        <v>0</v>
      </c>
      <c r="T165" s="237"/>
      <c r="U165" s="176"/>
      <c r="V165" s="245">
        <f t="shared" si="24"/>
        <v>0</v>
      </c>
      <c r="W165" s="184">
        <f>SUM('Pin Sylvestre'!AQ149*'Pin Sylvestre'!$F$21,Douglas!AQ149*Douglas!$F$21,'Pin Maritime'!AQ149*'Pin Maritime'!$F$21,'Meleze Hybride'!AQ149*'Meleze Hybride'!$F$21,Thuya!AQ149*Thuya!$F$21,'Chêne et feuillus divers'!AQ149*'Chêne et feuillus divers'!$F$21)</f>
        <v>0</v>
      </c>
      <c r="X165" s="184">
        <f>SUM('Pin Sylvestre'!AR149*'Pin Sylvestre'!$F$21,Douglas!AR149*Douglas!$F$21,'Pin Maritime'!AR149*'Pin Maritime'!$F$21,'Meleze Hybride'!AR149*'Meleze Hybride'!$F$21,Thuya!AR149*Thuya!$F$21,'Chêne et feuillus divers'!AR149*'Chêne et feuillus divers'!$F$21)</f>
        <v>0</v>
      </c>
      <c r="Y165" s="184">
        <f>SUM('Pin Sylvestre'!AS149*'Pin Sylvestre'!$F$21,Douglas!AS149*Douglas!$F$21,'Pin Maritime'!AS149*'Pin Maritime'!$F$21,'Meleze Hybride'!AS149*'Meleze Hybride'!$F$21,Thuya!AS149*Thuya!$F$21,'Chêne et feuillus divers'!AS149*'Chêne et feuillus divers'!$F$21)</f>
        <v>0</v>
      </c>
      <c r="Z165" s="327">
        <f>SUM('Pin Sylvestre'!AT149*'Pin Sylvestre'!$F$21,Douglas!AT149*Douglas!$F$21,'Pin Maritime'!AT149*'Pin Maritime'!$F$21,'Meleze Hybride'!AT149*'Meleze Hybride'!$F$21,Thuya!AT149*Thuya!$F$21,'Chêne et feuillus divers'!AT149*'Chêne et feuillus divers'!$F$21)</f>
        <v>0</v>
      </c>
      <c r="AA165" s="174">
        <f t="shared" si="26"/>
        <v>0</v>
      </c>
      <c r="AB165" s="175">
        <f t="shared" si="25"/>
        <v>-0.18908140055686651</v>
      </c>
      <c r="AC165" s="174"/>
      <c r="AD165" s="174"/>
    </row>
    <row r="166" spans="2:30" ht="30">
      <c r="B166" s="165" t="s">
        <v>53</v>
      </c>
      <c r="C166" s="4">
        <v>0.46</v>
      </c>
      <c r="D166" s="187" t="s">
        <v>231</v>
      </c>
      <c r="E166" s="204">
        <v>42</v>
      </c>
      <c r="F166" s="250">
        <f>IF(Tableau14582[[#This Row],[Type]]="Feuillus",11*1.25,15.5*1.25)</f>
        <v>19.375</v>
      </c>
      <c r="G166" s="204">
        <v>10</v>
      </c>
      <c r="M166"/>
      <c r="N166" s="71">
        <v>145</v>
      </c>
      <c r="O166" s="235"/>
      <c r="P166" s="176"/>
      <c r="Q166" s="236">
        <f t="shared" si="27"/>
        <v>100.0025</v>
      </c>
      <c r="R166" s="176">
        <f t="shared" si="23"/>
        <v>7.0001750000000005</v>
      </c>
      <c r="S166" s="176">
        <f>$L$11*(1+$L$9)^N166*'Récapitulatif des résultats'!$I$11</f>
        <v>0</v>
      </c>
      <c r="T166" s="237"/>
      <c r="U166" s="176"/>
      <c r="V166" s="245">
        <f t="shared" si="24"/>
        <v>0</v>
      </c>
      <c r="W166" s="184">
        <f>SUM('Pin Sylvestre'!AQ150*'Pin Sylvestre'!$F$21,Douglas!AQ150*Douglas!$F$21,'Pin Maritime'!AQ150*'Pin Maritime'!$F$21,'Meleze Hybride'!AQ150*'Meleze Hybride'!$F$21,Thuya!AQ150*Thuya!$F$21,'Chêne et feuillus divers'!AQ150*'Chêne et feuillus divers'!$F$21)</f>
        <v>0</v>
      </c>
      <c r="X166" s="184">
        <f>SUM('Pin Sylvestre'!AR150*'Pin Sylvestre'!$F$21,Douglas!AR150*Douglas!$F$21,'Pin Maritime'!AR150*'Pin Maritime'!$F$21,'Meleze Hybride'!AR150*'Meleze Hybride'!$F$21,Thuya!AR150*Thuya!$F$21,'Chêne et feuillus divers'!AR150*'Chêne et feuillus divers'!$F$21)</f>
        <v>0</v>
      </c>
      <c r="Y166" s="184">
        <f>SUM('Pin Sylvestre'!AS150*'Pin Sylvestre'!$F$21,Douglas!AS150*Douglas!$F$21,'Pin Maritime'!AS150*'Pin Maritime'!$F$21,'Meleze Hybride'!AS150*'Meleze Hybride'!$F$21,Thuya!AS150*Thuya!$F$21,'Chêne et feuillus divers'!AS150*'Chêne et feuillus divers'!$F$21)</f>
        <v>0</v>
      </c>
      <c r="Z166" s="327">
        <f>SUM('Pin Sylvestre'!AT150*'Pin Sylvestre'!$F$21,Douglas!AT150*Douglas!$F$21,'Pin Maritime'!AT150*'Pin Maritime'!$F$21,'Meleze Hybride'!AT150*'Meleze Hybride'!$F$21,Thuya!AT150*Thuya!$F$21,'Chêne et feuillus divers'!AT150*'Chêne et feuillus divers'!$F$21)</f>
        <v>0</v>
      </c>
      <c r="AA166" s="174">
        <f t="shared" si="26"/>
        <v>0</v>
      </c>
      <c r="AB166" s="175">
        <f t="shared" si="25"/>
        <v>-0.18093913928886748</v>
      </c>
      <c r="AC166" s="174"/>
      <c r="AD166" s="174"/>
    </row>
    <row r="167" spans="2:30">
      <c r="B167" s="165" t="s">
        <v>54</v>
      </c>
      <c r="C167" s="4">
        <v>0.44</v>
      </c>
      <c r="D167" s="187" t="s">
        <v>229</v>
      </c>
      <c r="E167" s="204">
        <v>30</v>
      </c>
      <c r="F167" s="250">
        <f>IF(Tableau14582[[#This Row],[Type]]="Feuillus",11*1.25,15.5*1.25)</f>
        <v>19.375</v>
      </c>
      <c r="G167" s="204">
        <v>10</v>
      </c>
      <c r="M167"/>
      <c r="N167" s="71">
        <v>146</v>
      </c>
      <c r="O167" s="235"/>
      <c r="P167" s="176"/>
      <c r="Q167" s="236">
        <f t="shared" si="27"/>
        <v>100.0025</v>
      </c>
      <c r="R167" s="176">
        <f t="shared" si="23"/>
        <v>7.0001750000000005</v>
      </c>
      <c r="S167" s="176">
        <f>$L$11*(1+$L$9)^N167*'Récapitulatif des résultats'!$I$11</f>
        <v>0</v>
      </c>
      <c r="T167" s="237"/>
      <c r="U167" s="176"/>
      <c r="V167" s="245">
        <f t="shared" si="24"/>
        <v>0</v>
      </c>
      <c r="W167" s="184">
        <f>SUM('Pin Sylvestre'!AQ151*'Pin Sylvestre'!$F$21,Douglas!AQ151*Douglas!$F$21,'Pin Maritime'!AQ151*'Pin Maritime'!$F$21,'Meleze Hybride'!AQ151*'Meleze Hybride'!$F$21,Thuya!AQ151*Thuya!$F$21,'Chêne et feuillus divers'!AQ151*'Chêne et feuillus divers'!$F$21)</f>
        <v>0</v>
      </c>
      <c r="X167" s="184">
        <f>SUM('Pin Sylvestre'!AR151*'Pin Sylvestre'!$F$21,Douglas!AR151*Douglas!$F$21,'Pin Maritime'!AR151*'Pin Maritime'!$F$21,'Meleze Hybride'!AR151*'Meleze Hybride'!$F$21,Thuya!AR151*Thuya!$F$21,'Chêne et feuillus divers'!AR151*'Chêne et feuillus divers'!$F$21)</f>
        <v>0</v>
      </c>
      <c r="Y167" s="184">
        <f>SUM('Pin Sylvestre'!AS151*'Pin Sylvestre'!$F$21,Douglas!AS151*Douglas!$F$21,'Pin Maritime'!AS151*'Pin Maritime'!$F$21,'Meleze Hybride'!AS151*'Meleze Hybride'!$F$21,Thuya!AS151*Thuya!$F$21,'Chêne et feuillus divers'!AS151*'Chêne et feuillus divers'!$F$21)</f>
        <v>0</v>
      </c>
      <c r="Z167" s="327">
        <f>SUM('Pin Sylvestre'!AT151*'Pin Sylvestre'!$F$21,Douglas!AT151*Douglas!$F$21,'Pin Maritime'!AT151*'Pin Maritime'!$F$21,'Meleze Hybride'!AT151*'Meleze Hybride'!$F$21,Thuya!AT151*Thuya!$F$21,'Chêne et feuillus divers'!AT151*'Chêne et feuillus divers'!$F$21)</f>
        <v>0</v>
      </c>
      <c r="AA167" s="174">
        <f t="shared" si="26"/>
        <v>0</v>
      </c>
      <c r="AB167" s="175">
        <f t="shared" si="25"/>
        <v>-0.17314750171183491</v>
      </c>
      <c r="AC167" s="174"/>
      <c r="AD167" s="174"/>
    </row>
    <row r="168" spans="2:30">
      <c r="B168" s="165" t="s">
        <v>55</v>
      </c>
      <c r="C168" s="4">
        <v>0.46</v>
      </c>
      <c r="D168" s="187" t="s">
        <v>229</v>
      </c>
      <c r="E168" s="204">
        <v>30</v>
      </c>
      <c r="F168" s="250">
        <f>IF(Tableau14582[[#This Row],[Type]]="Feuillus",11*1.25,15.5*1.25)</f>
        <v>19.375</v>
      </c>
      <c r="G168" s="204">
        <v>10</v>
      </c>
      <c r="M168"/>
      <c r="N168" s="71">
        <v>147</v>
      </c>
      <c r="O168" s="235"/>
      <c r="P168" s="176"/>
      <c r="Q168" s="236">
        <f t="shared" si="27"/>
        <v>100.0025</v>
      </c>
      <c r="R168" s="176">
        <f t="shared" si="23"/>
        <v>7.0001750000000005</v>
      </c>
      <c r="S168" s="176">
        <f>$L$11*(1+$L$9)^N168*'Récapitulatif des résultats'!$I$11</f>
        <v>0</v>
      </c>
      <c r="T168" s="237"/>
      <c r="U168" s="176"/>
      <c r="V168" s="245">
        <f t="shared" si="24"/>
        <v>0</v>
      </c>
      <c r="W168" s="184">
        <f>SUM('Pin Sylvestre'!AQ152*'Pin Sylvestre'!$F$21,Douglas!AQ152*Douglas!$F$21,'Pin Maritime'!AQ152*'Pin Maritime'!$F$21,'Meleze Hybride'!AQ152*'Meleze Hybride'!$F$21,Thuya!AQ152*Thuya!$F$21,'Chêne et feuillus divers'!AQ152*'Chêne et feuillus divers'!$F$21)</f>
        <v>0</v>
      </c>
      <c r="X168" s="184">
        <f>SUM('Pin Sylvestre'!AR152*'Pin Sylvestre'!$F$21,Douglas!AR152*Douglas!$F$21,'Pin Maritime'!AR152*'Pin Maritime'!$F$21,'Meleze Hybride'!AR152*'Meleze Hybride'!$F$21,Thuya!AR152*Thuya!$F$21,'Chêne et feuillus divers'!AR152*'Chêne et feuillus divers'!$F$21)</f>
        <v>0</v>
      </c>
      <c r="Y168" s="184">
        <f>SUM('Pin Sylvestre'!AS152*'Pin Sylvestre'!$F$21,Douglas!AS152*Douglas!$F$21,'Pin Maritime'!AS152*'Pin Maritime'!$F$21,'Meleze Hybride'!AS152*'Meleze Hybride'!$F$21,Thuya!AS152*Thuya!$F$21,'Chêne et feuillus divers'!AS152*'Chêne et feuillus divers'!$F$21)</f>
        <v>0</v>
      </c>
      <c r="Z168" s="327">
        <f>SUM('Pin Sylvestre'!AT152*'Pin Sylvestre'!$F$21,Douglas!AT152*Douglas!$F$21,'Pin Maritime'!AT152*'Pin Maritime'!$F$21,'Meleze Hybride'!AT152*'Meleze Hybride'!$F$21,Thuya!AT152*Thuya!$F$21,'Chêne et feuillus divers'!AT152*'Chêne et feuillus divers'!$F$21)</f>
        <v>0</v>
      </c>
      <c r="AA168" s="174">
        <f t="shared" si="26"/>
        <v>0</v>
      </c>
      <c r="AB168" s="175">
        <f t="shared" si="25"/>
        <v>-0.16569138919792817</v>
      </c>
      <c r="AC168" s="174"/>
      <c r="AD168" s="174"/>
    </row>
    <row r="169" spans="2:30">
      <c r="B169" s="165" t="s">
        <v>56</v>
      </c>
      <c r="C169" s="4">
        <v>0.48</v>
      </c>
      <c r="D169" s="187" t="s">
        <v>229</v>
      </c>
      <c r="E169" s="204">
        <v>30</v>
      </c>
      <c r="F169" s="250">
        <f>IF(Tableau14582[[#This Row],[Type]]="Feuillus",11*1.25,15.5*1.25)</f>
        <v>19.375</v>
      </c>
      <c r="G169" s="204">
        <v>10</v>
      </c>
      <c r="M169"/>
      <c r="N169" s="71">
        <v>148</v>
      </c>
      <c r="O169" s="235"/>
      <c r="P169" s="176"/>
      <c r="Q169" s="236">
        <f t="shared" si="27"/>
        <v>100.0025</v>
      </c>
      <c r="R169" s="176">
        <f t="shared" si="23"/>
        <v>7.0001750000000005</v>
      </c>
      <c r="S169" s="176">
        <f>$L$11*(1+$L$9)^N169*'Récapitulatif des résultats'!$I$11</f>
        <v>0</v>
      </c>
      <c r="T169" s="237"/>
      <c r="U169" s="176"/>
      <c r="V169" s="245">
        <f t="shared" si="24"/>
        <v>0</v>
      </c>
      <c r="W169" s="184">
        <f>SUM('Pin Sylvestre'!AQ153*'Pin Sylvestre'!$F$21,Douglas!AQ153*Douglas!$F$21,'Pin Maritime'!AQ153*'Pin Maritime'!$F$21,'Meleze Hybride'!AQ153*'Meleze Hybride'!$F$21,Thuya!AQ153*Thuya!$F$21,'Chêne et feuillus divers'!AQ153*'Chêne et feuillus divers'!$F$21)</f>
        <v>0</v>
      </c>
      <c r="X169" s="184">
        <f>SUM('Pin Sylvestre'!AR153*'Pin Sylvestre'!$F$21,Douglas!AR153*Douglas!$F$21,'Pin Maritime'!AR153*'Pin Maritime'!$F$21,'Meleze Hybride'!AR153*'Meleze Hybride'!$F$21,Thuya!AR153*Thuya!$F$21,'Chêne et feuillus divers'!AR153*'Chêne et feuillus divers'!$F$21)</f>
        <v>0</v>
      </c>
      <c r="Y169" s="184">
        <f>SUM('Pin Sylvestre'!AS153*'Pin Sylvestre'!$F$21,Douglas!AS153*Douglas!$F$21,'Pin Maritime'!AS153*'Pin Maritime'!$F$21,'Meleze Hybride'!AS153*'Meleze Hybride'!$F$21,Thuya!AS153*Thuya!$F$21,'Chêne et feuillus divers'!AS153*'Chêne et feuillus divers'!$F$21)</f>
        <v>0</v>
      </c>
      <c r="Z169" s="327">
        <f>SUM('Pin Sylvestre'!AT153*'Pin Sylvestre'!$F$21,Douglas!AT153*Douglas!$F$21,'Pin Maritime'!AT153*'Pin Maritime'!$F$21,'Meleze Hybride'!AT153*'Meleze Hybride'!$F$21,Thuya!AT153*Thuya!$F$21,'Chêne et feuillus divers'!AT153*'Chêne et feuillus divers'!$F$21)</f>
        <v>0</v>
      </c>
      <c r="AA169" s="174">
        <f t="shared" si="26"/>
        <v>0</v>
      </c>
      <c r="AB169" s="175">
        <f t="shared" si="25"/>
        <v>-0.15855635329945283</v>
      </c>
      <c r="AC169" s="174"/>
      <c r="AD169" s="174"/>
    </row>
    <row r="170" spans="2:30">
      <c r="B170" s="165" t="s">
        <v>57</v>
      </c>
      <c r="C170" s="4">
        <v>0.44</v>
      </c>
      <c r="D170" s="187" t="s">
        <v>229</v>
      </c>
      <c r="E170" s="204">
        <v>30</v>
      </c>
      <c r="F170" s="250">
        <f>IF(Tableau14582[[#This Row],[Type]]="Feuillus",11*1.25,15.5*1.25)</f>
        <v>19.375</v>
      </c>
      <c r="G170" s="204">
        <v>10</v>
      </c>
      <c r="M170"/>
      <c r="N170" s="71">
        <v>149</v>
      </c>
      <c r="O170" s="235"/>
      <c r="P170" s="176"/>
      <c r="Q170" s="236">
        <f t="shared" si="27"/>
        <v>100.0025</v>
      </c>
      <c r="R170" s="176">
        <f t="shared" si="23"/>
        <v>7.0001750000000005</v>
      </c>
      <c r="S170" s="176">
        <f>$L$11*(1+$L$9)^N170*'Récapitulatif des résultats'!$I$11</f>
        <v>0</v>
      </c>
      <c r="T170" s="237"/>
      <c r="U170" s="176"/>
      <c r="V170" s="245">
        <f t="shared" si="24"/>
        <v>0</v>
      </c>
      <c r="W170" s="184">
        <f>SUM('Pin Sylvestre'!AQ154*'Pin Sylvestre'!$F$21,Douglas!AQ154*Douglas!$F$21,'Pin Maritime'!AQ154*'Pin Maritime'!$F$21,'Meleze Hybride'!AQ154*'Meleze Hybride'!$F$21,Thuya!AQ154*Thuya!$F$21,'Chêne et feuillus divers'!AQ154*'Chêne et feuillus divers'!$F$21)</f>
        <v>0</v>
      </c>
      <c r="X170" s="184">
        <f>SUM('Pin Sylvestre'!AR154*'Pin Sylvestre'!$F$21,Douglas!AR154*Douglas!$F$21,'Pin Maritime'!AR154*'Pin Maritime'!$F$21,'Meleze Hybride'!AR154*'Meleze Hybride'!$F$21,Thuya!AR154*Thuya!$F$21,'Chêne et feuillus divers'!AR154*'Chêne et feuillus divers'!$F$21)</f>
        <v>0</v>
      </c>
      <c r="Y170" s="184">
        <f>SUM('Pin Sylvestre'!AS154*'Pin Sylvestre'!$F$21,Douglas!AS154*Douglas!$F$21,'Pin Maritime'!AS154*'Pin Maritime'!$F$21,'Meleze Hybride'!AS154*'Meleze Hybride'!$F$21,Thuya!AS154*Thuya!$F$21,'Chêne et feuillus divers'!AS154*'Chêne et feuillus divers'!$F$21)</f>
        <v>0</v>
      </c>
      <c r="Z170" s="327">
        <f>SUM('Pin Sylvestre'!AT154*'Pin Sylvestre'!$F$21,Douglas!AT154*Douglas!$F$21,'Pin Maritime'!AT154*'Pin Maritime'!$F$21,'Meleze Hybride'!AT154*'Meleze Hybride'!$F$21,Thuya!AT154*Thuya!$F$21,'Chêne et feuillus divers'!AT154*'Chêne et feuillus divers'!$F$21)</f>
        <v>0</v>
      </c>
      <c r="AA170" s="174">
        <f t="shared" si="26"/>
        <v>0</v>
      </c>
      <c r="AB170" s="175">
        <f t="shared" si="25"/>
        <v>-0.15172856775067253</v>
      </c>
      <c r="AC170" s="174"/>
      <c r="AD170" s="174"/>
    </row>
    <row r="171" spans="2:30">
      <c r="B171" s="165" t="s">
        <v>58</v>
      </c>
      <c r="C171" s="4">
        <v>0.34</v>
      </c>
      <c r="D171" s="187" t="s">
        <v>229</v>
      </c>
      <c r="E171" s="204">
        <v>30</v>
      </c>
      <c r="F171" s="250">
        <f>IF(Tableau14582[[#This Row],[Type]]="Feuillus",11*1.25,15.5*1.25)</f>
        <v>19.375</v>
      </c>
      <c r="G171" s="204">
        <v>10</v>
      </c>
      <c r="M171"/>
      <c r="N171" s="71">
        <v>150</v>
      </c>
      <c r="O171" s="235"/>
      <c r="P171" s="176"/>
      <c r="Q171" s="236">
        <f t="shared" si="27"/>
        <v>100.0025</v>
      </c>
      <c r="R171" s="176">
        <f t="shared" si="23"/>
        <v>7.0001750000000005</v>
      </c>
      <c r="S171" s="176">
        <f>$L$11*(1+$L$9)^N171*'Récapitulatif des résultats'!$I$11</f>
        <v>0</v>
      </c>
      <c r="T171" s="237"/>
      <c r="U171" s="176"/>
      <c r="V171" s="245">
        <f t="shared" si="24"/>
        <v>0</v>
      </c>
      <c r="W171" s="184">
        <f>SUM('Pin Sylvestre'!AQ155*'Pin Sylvestre'!$F$21,Douglas!AQ155*Douglas!$F$21,'Pin Maritime'!AQ155*'Pin Maritime'!$F$21,'Meleze Hybride'!AQ155*'Meleze Hybride'!$F$21,Thuya!AQ155*Thuya!$F$21,'Chêne et feuillus divers'!AQ155*'Chêne et feuillus divers'!$F$21)</f>
        <v>0</v>
      </c>
      <c r="X171" s="184">
        <f>SUM('Pin Sylvestre'!AR155*'Pin Sylvestre'!$F$21,Douglas!AR155*Douglas!$F$21,'Pin Maritime'!AR155*'Pin Maritime'!$F$21,'Meleze Hybride'!AR155*'Meleze Hybride'!$F$21,Thuya!AR155*Thuya!$F$21,'Chêne et feuillus divers'!AR155*'Chêne et feuillus divers'!$F$21)</f>
        <v>0</v>
      </c>
      <c r="Y171" s="184">
        <f>SUM('Pin Sylvestre'!AS155*'Pin Sylvestre'!$F$21,Douglas!AS155*Douglas!$F$21,'Pin Maritime'!AS155*'Pin Maritime'!$F$21,'Meleze Hybride'!AS155*'Meleze Hybride'!$F$21,Thuya!AS155*Thuya!$F$21,'Chêne et feuillus divers'!AS155*'Chêne et feuillus divers'!$F$21)</f>
        <v>0</v>
      </c>
      <c r="Z171" s="327">
        <f>SUM('Pin Sylvestre'!AT155*'Pin Sylvestre'!$F$21,Douglas!AT155*Douglas!$F$21,'Pin Maritime'!AT155*'Pin Maritime'!$F$21,'Meleze Hybride'!AT155*'Meleze Hybride'!$F$21,Thuya!AT155*Thuya!$F$21,'Chêne et feuillus divers'!AT155*'Chêne et feuillus divers'!$F$21)</f>
        <v>0</v>
      </c>
      <c r="AA171" s="174">
        <f t="shared" si="26"/>
        <v>80080</v>
      </c>
      <c r="AB171" s="175">
        <f t="shared" si="25"/>
        <v>108.51750655748987</v>
      </c>
      <c r="AC171" s="174"/>
      <c r="AD171" s="174"/>
    </row>
    <row r="172" spans="2:30">
      <c r="B172" s="165" t="s">
        <v>59</v>
      </c>
      <c r="C172" s="4">
        <v>0.5</v>
      </c>
      <c r="D172" s="187" t="s">
        <v>228</v>
      </c>
      <c r="E172" s="204">
        <v>50</v>
      </c>
      <c r="F172" s="250">
        <f>IF(Tableau14582[[#This Row],[Type]]="Feuillus",11*1.25,15.5*1.25)</f>
        <v>13.75</v>
      </c>
      <c r="G172" s="204">
        <v>10</v>
      </c>
      <c r="M172"/>
      <c r="N172" s="71">
        <v>151</v>
      </c>
      <c r="O172" s="235"/>
      <c r="P172" s="176"/>
      <c r="Q172" s="236">
        <f t="shared" si="27"/>
        <v>100.0025</v>
      </c>
      <c r="R172" s="176">
        <f t="shared" si="23"/>
        <v>7.0001750000000005</v>
      </c>
      <c r="S172" s="176">
        <f>$L$11*(1+$L$9)^N172*'Récapitulatif des résultats'!$I$11</f>
        <v>0</v>
      </c>
      <c r="T172" s="237"/>
      <c r="U172" s="176"/>
      <c r="V172" s="245">
        <f t="shared" si="24"/>
        <v>0</v>
      </c>
      <c r="W172" s="184">
        <f>SUM('Pin Sylvestre'!AQ156*'Pin Sylvestre'!$F$21,Douglas!AQ156*Douglas!$F$21,'Pin Maritime'!AQ156*'Pin Maritime'!$F$21,'Meleze Hybride'!AQ156*'Meleze Hybride'!$F$21,Thuya!AQ156*Thuya!$F$21,'Chêne et feuillus divers'!AQ156*'Chêne et feuillus divers'!$F$21)</f>
        <v>0</v>
      </c>
      <c r="X172" s="184">
        <f>SUM('Pin Sylvestre'!AR156*'Pin Sylvestre'!$F$21,Douglas!AR156*Douglas!$F$21,'Pin Maritime'!AR156*'Pin Maritime'!$F$21,'Meleze Hybride'!AR156*'Meleze Hybride'!$F$21,Thuya!AR156*Thuya!$F$21,'Chêne et feuillus divers'!AR156*'Chêne et feuillus divers'!$F$21)</f>
        <v>0</v>
      </c>
      <c r="Y172" s="184">
        <f>SUM('Pin Sylvestre'!AS156*'Pin Sylvestre'!$F$21,Douglas!AS156*Douglas!$F$21,'Pin Maritime'!AS156*'Pin Maritime'!$F$21,'Meleze Hybride'!AS156*'Meleze Hybride'!$F$21,Thuya!AS156*Thuya!$F$21,'Chêne et feuillus divers'!AS156*'Chêne et feuillus divers'!$F$21)</f>
        <v>0</v>
      </c>
      <c r="Z172" s="327">
        <f>SUM('Pin Sylvestre'!AT156*'Pin Sylvestre'!$F$21,Douglas!AT156*Douglas!$F$21,'Pin Maritime'!AT156*'Pin Maritime'!$F$21,'Meleze Hybride'!AT156*'Meleze Hybride'!$F$21,Thuya!AT156*Thuya!$F$21,'Chêne et feuillus divers'!AT156*'Chêne et feuillus divers'!$F$21)</f>
        <v>0</v>
      </c>
      <c r="AA172" s="174">
        <f t="shared" si="26"/>
        <v>0</v>
      </c>
      <c r="AB172" s="175">
        <f t="shared" si="25"/>
        <v>0</v>
      </c>
      <c r="AC172" s="174"/>
      <c r="AD172" s="174"/>
    </row>
    <row r="173" spans="2:30">
      <c r="B173" s="165" t="s">
        <v>60</v>
      </c>
      <c r="C173" s="4">
        <v>0.57999999999999996</v>
      </c>
      <c r="D173" s="187" t="s">
        <v>228</v>
      </c>
      <c r="E173" s="204">
        <v>70</v>
      </c>
      <c r="F173" s="250">
        <f>IF(Tableau14582[[#This Row],[Type]]="Feuillus",11*1.25,15.5*1.25)</f>
        <v>13.75</v>
      </c>
      <c r="G173" s="204">
        <v>10</v>
      </c>
      <c r="M173"/>
      <c r="N173" s="71">
        <v>152</v>
      </c>
      <c r="O173" s="235"/>
      <c r="P173" s="176"/>
      <c r="Q173" s="236">
        <f t="shared" si="27"/>
        <v>100.0025</v>
      </c>
      <c r="R173" s="176">
        <f t="shared" si="23"/>
        <v>7.0001750000000005</v>
      </c>
      <c r="S173" s="176">
        <f>$L$11*(1+$L$9)^N173*'Récapitulatif des résultats'!$I$11</f>
        <v>0</v>
      </c>
      <c r="T173" s="237"/>
      <c r="U173" s="176"/>
      <c r="V173" s="245">
        <f t="shared" si="24"/>
        <v>0</v>
      </c>
      <c r="W173" s="184">
        <f>SUM('Pin Sylvestre'!AQ157*'Pin Sylvestre'!$F$21,Douglas!AQ157*Douglas!$F$21,'Pin Maritime'!AQ157*'Pin Maritime'!$F$21,'Meleze Hybride'!AQ157*'Meleze Hybride'!$F$21,Thuya!AQ157*Thuya!$F$21,'Chêne et feuillus divers'!AQ157*'Chêne et feuillus divers'!$F$21)</f>
        <v>0</v>
      </c>
      <c r="X173" s="184">
        <f>SUM('Pin Sylvestre'!AR157*'Pin Sylvestre'!$F$21,Douglas!AR157*Douglas!$F$21,'Pin Maritime'!AR157*'Pin Maritime'!$F$21,'Meleze Hybride'!AR157*'Meleze Hybride'!$F$21,Thuya!AR157*Thuya!$F$21,'Chêne et feuillus divers'!AR157*'Chêne et feuillus divers'!$F$21)</f>
        <v>0</v>
      </c>
      <c r="Y173" s="184">
        <f>SUM('Pin Sylvestre'!AS157*'Pin Sylvestre'!$F$21,Douglas!AS157*Douglas!$F$21,'Pin Maritime'!AS157*'Pin Maritime'!$F$21,'Meleze Hybride'!AS157*'Meleze Hybride'!$F$21,Thuya!AS157*Thuya!$F$21,'Chêne et feuillus divers'!AS157*'Chêne et feuillus divers'!$F$21)</f>
        <v>0</v>
      </c>
      <c r="Z173" s="327">
        <f>SUM('Pin Sylvestre'!AT157*'Pin Sylvestre'!$F$21,Douglas!AT157*Douglas!$F$21,'Pin Maritime'!AT157*'Pin Maritime'!$F$21,'Meleze Hybride'!AT157*'Meleze Hybride'!$F$21,Thuya!AT157*Thuya!$F$21,'Chêne et feuillus divers'!AT157*'Chêne et feuillus divers'!$F$21)</f>
        <v>0</v>
      </c>
      <c r="AA173" s="174">
        <f t="shared" si="26"/>
        <v>0</v>
      </c>
      <c r="AB173" s="175">
        <f t="shared" si="25"/>
        <v>0</v>
      </c>
      <c r="AC173" s="174"/>
      <c r="AD173" s="174"/>
    </row>
    <row r="174" spans="2:30">
      <c r="B174" s="165" t="s">
        <v>61</v>
      </c>
      <c r="C174" s="4">
        <v>0.37</v>
      </c>
      <c r="D174" s="187" t="s">
        <v>229</v>
      </c>
      <c r="E174" s="204">
        <v>44</v>
      </c>
      <c r="F174" s="250">
        <f>IF(Tableau14582[[#This Row],[Type]]="Feuillus",11*1.25,15.5*1.25)</f>
        <v>19.375</v>
      </c>
      <c r="G174" s="204">
        <v>10</v>
      </c>
      <c r="M174"/>
      <c r="N174" s="71">
        <v>153</v>
      </c>
      <c r="O174" s="235"/>
      <c r="P174" s="176"/>
      <c r="Q174" s="236">
        <f t="shared" si="27"/>
        <v>100.0025</v>
      </c>
      <c r="R174" s="176">
        <f t="shared" si="23"/>
        <v>7.0001750000000005</v>
      </c>
      <c r="S174" s="176">
        <f>$L$11*(1+$L$9)^N174*'Récapitulatif des résultats'!$I$11</f>
        <v>0</v>
      </c>
      <c r="T174" s="237"/>
      <c r="U174" s="176"/>
      <c r="V174" s="245">
        <f t="shared" si="24"/>
        <v>0</v>
      </c>
      <c r="W174" s="184">
        <f>SUM('Pin Sylvestre'!AQ158*'Pin Sylvestre'!$F$21,Douglas!AQ158*Douglas!$F$21,'Pin Maritime'!AQ158*'Pin Maritime'!$F$21,'Meleze Hybride'!AQ158*'Meleze Hybride'!$F$21,Thuya!AQ158*Thuya!$F$21,'Chêne et feuillus divers'!AQ158*'Chêne et feuillus divers'!$F$21)</f>
        <v>0</v>
      </c>
      <c r="X174" s="184">
        <f>SUM('Pin Sylvestre'!AR158*'Pin Sylvestre'!$F$21,Douglas!AR158*Douglas!$F$21,'Pin Maritime'!AR158*'Pin Maritime'!$F$21,'Meleze Hybride'!AR158*'Meleze Hybride'!$F$21,Thuya!AR158*Thuya!$F$21,'Chêne et feuillus divers'!AR158*'Chêne et feuillus divers'!$F$21)</f>
        <v>0</v>
      </c>
      <c r="Y174" s="184">
        <f>SUM('Pin Sylvestre'!AS158*'Pin Sylvestre'!$F$21,Douglas!AS158*Douglas!$F$21,'Pin Maritime'!AS158*'Pin Maritime'!$F$21,'Meleze Hybride'!AS158*'Meleze Hybride'!$F$21,Thuya!AS158*Thuya!$F$21,'Chêne et feuillus divers'!AS158*'Chêne et feuillus divers'!$F$21)</f>
        <v>0</v>
      </c>
      <c r="Z174" s="327">
        <f>SUM('Pin Sylvestre'!AT158*'Pin Sylvestre'!$F$21,Douglas!AT158*Douglas!$F$21,'Pin Maritime'!AT158*'Pin Maritime'!$F$21,'Meleze Hybride'!AT158*'Meleze Hybride'!$F$21,Thuya!AT158*Thuya!$F$21,'Chêne et feuillus divers'!AT158*'Chêne et feuillus divers'!$F$21)</f>
        <v>0</v>
      </c>
      <c r="AA174" s="174">
        <f t="shared" si="26"/>
        <v>0</v>
      </c>
      <c r="AB174" s="175">
        <f t="shared" si="25"/>
        <v>0</v>
      </c>
      <c r="AC174" s="174"/>
      <c r="AD174" s="174"/>
    </row>
    <row r="175" spans="2:30">
      <c r="B175" s="165" t="s">
        <v>62</v>
      </c>
      <c r="C175" s="4">
        <v>0.37</v>
      </c>
      <c r="D175" s="187" t="s">
        <v>229</v>
      </c>
      <c r="E175" s="204">
        <v>44</v>
      </c>
      <c r="F175" s="250">
        <f>IF(Tableau14582[[#This Row],[Type]]="Feuillus",11*1.25,15.5*1.25)</f>
        <v>19.375</v>
      </c>
      <c r="G175" s="204">
        <v>10</v>
      </c>
      <c r="M175"/>
      <c r="N175" s="71">
        <v>154</v>
      </c>
      <c r="O175" s="235"/>
      <c r="P175" s="176"/>
      <c r="Q175" s="236">
        <f t="shared" si="27"/>
        <v>100.0025</v>
      </c>
      <c r="R175" s="176">
        <f t="shared" si="23"/>
        <v>7.0001750000000005</v>
      </c>
      <c r="S175" s="176">
        <f>$L$11*(1+$L$9)^N175*'Récapitulatif des résultats'!$I$11</f>
        <v>0</v>
      </c>
      <c r="T175" s="237"/>
      <c r="U175" s="176"/>
      <c r="V175" s="245">
        <f t="shared" si="24"/>
        <v>0</v>
      </c>
      <c r="W175" s="184">
        <f>SUM('Pin Sylvestre'!AQ159*'Pin Sylvestre'!$F$21,Douglas!AQ159*Douglas!$F$21,'Pin Maritime'!AQ159*'Pin Maritime'!$F$21,'Meleze Hybride'!AQ159*'Meleze Hybride'!$F$21,Thuya!AQ159*Thuya!$F$21,'Chêne et feuillus divers'!AQ159*'Chêne et feuillus divers'!$F$21)</f>
        <v>0</v>
      </c>
      <c r="X175" s="184">
        <f>SUM('Pin Sylvestre'!AR159*'Pin Sylvestre'!$F$21,Douglas!AR159*Douglas!$F$21,'Pin Maritime'!AR159*'Pin Maritime'!$F$21,'Meleze Hybride'!AR159*'Meleze Hybride'!$F$21,Thuya!AR159*Thuya!$F$21,'Chêne et feuillus divers'!AR159*'Chêne et feuillus divers'!$F$21)</f>
        <v>0</v>
      </c>
      <c r="Y175" s="184">
        <f>SUM('Pin Sylvestre'!AS159*'Pin Sylvestre'!$F$21,Douglas!AS159*Douglas!$F$21,'Pin Maritime'!AS159*'Pin Maritime'!$F$21,'Meleze Hybride'!AS159*'Meleze Hybride'!$F$21,Thuya!AS159*Thuya!$F$21,'Chêne et feuillus divers'!AS159*'Chêne et feuillus divers'!$F$21)</f>
        <v>0</v>
      </c>
      <c r="Z175" s="327">
        <f>SUM('Pin Sylvestre'!AT159*'Pin Sylvestre'!$F$21,Douglas!AT159*Douglas!$F$21,'Pin Maritime'!AT159*'Pin Maritime'!$F$21,'Meleze Hybride'!AT159*'Meleze Hybride'!$F$21,Thuya!AT159*Thuya!$F$21,'Chêne et feuillus divers'!AT159*'Chêne et feuillus divers'!$F$21)</f>
        <v>0</v>
      </c>
      <c r="AA175" s="174">
        <f t="shared" si="26"/>
        <v>0</v>
      </c>
      <c r="AB175" s="175">
        <f t="shared" si="25"/>
        <v>0</v>
      </c>
      <c r="AC175" s="174"/>
      <c r="AD175" s="174"/>
    </row>
    <row r="176" spans="2:30">
      <c r="B176" s="165" t="s">
        <v>63</v>
      </c>
      <c r="C176" s="4">
        <v>0.38</v>
      </c>
      <c r="D176" s="187" t="s">
        <v>229</v>
      </c>
      <c r="E176" s="204">
        <v>37</v>
      </c>
      <c r="F176" s="250">
        <f>IF(Tableau14582[[#This Row],[Type]]="Feuillus",11*1.25,15.5*1.25)</f>
        <v>19.375</v>
      </c>
      <c r="G176" s="204">
        <v>10</v>
      </c>
      <c r="M176"/>
      <c r="N176" s="71">
        <v>155</v>
      </c>
      <c r="O176" s="235"/>
      <c r="P176" s="176"/>
      <c r="Q176" s="236">
        <f t="shared" si="27"/>
        <v>100.0025</v>
      </c>
      <c r="R176" s="176">
        <f t="shared" si="23"/>
        <v>7.0001750000000005</v>
      </c>
      <c r="S176" s="176">
        <f>$L$11*(1+$L$9)^N176*'Récapitulatif des résultats'!$I$11</f>
        <v>0</v>
      </c>
      <c r="T176" s="237"/>
      <c r="U176" s="176"/>
      <c r="V176" s="245">
        <f t="shared" si="24"/>
        <v>0</v>
      </c>
      <c r="W176" s="184">
        <f>SUM('Pin Sylvestre'!AQ160*'Pin Sylvestre'!$F$21,Douglas!AQ160*Douglas!$F$21,'Pin Maritime'!AQ160*'Pin Maritime'!$F$21,'Meleze Hybride'!AQ160*'Meleze Hybride'!$F$21,Thuya!AQ160*Thuya!$F$21,'Chêne et feuillus divers'!AQ160*'Chêne et feuillus divers'!$F$21)</f>
        <v>0</v>
      </c>
      <c r="X176" s="184">
        <f>SUM('Pin Sylvestre'!AR160*'Pin Sylvestre'!$F$21,Douglas!AR160*Douglas!$F$21,'Pin Maritime'!AR160*'Pin Maritime'!$F$21,'Meleze Hybride'!AR160*'Meleze Hybride'!$F$21,Thuya!AR160*Thuya!$F$21,'Chêne et feuillus divers'!AR160*'Chêne et feuillus divers'!$F$21)</f>
        <v>0</v>
      </c>
      <c r="Y176" s="184">
        <f>SUM('Pin Sylvestre'!AS160*'Pin Sylvestre'!$F$21,Douglas!AS160*Douglas!$F$21,'Pin Maritime'!AS160*'Pin Maritime'!$F$21,'Meleze Hybride'!AS160*'Meleze Hybride'!$F$21,Thuya!AS160*Thuya!$F$21,'Chêne et feuillus divers'!AS160*'Chêne et feuillus divers'!$F$21)</f>
        <v>0</v>
      </c>
      <c r="Z176" s="327">
        <f>SUM('Pin Sylvestre'!AT160*'Pin Sylvestre'!$F$21,Douglas!AT160*Douglas!$F$21,'Pin Maritime'!AT160*'Pin Maritime'!$F$21,'Meleze Hybride'!AT160*'Meleze Hybride'!$F$21,Thuya!AT160*Thuya!$F$21,'Chêne et feuillus divers'!AT160*'Chêne et feuillus divers'!$F$21)</f>
        <v>0</v>
      </c>
      <c r="AA176" s="174">
        <f t="shared" si="26"/>
        <v>0</v>
      </c>
      <c r="AB176" s="175">
        <f t="shared" si="25"/>
        <v>0</v>
      </c>
      <c r="AC176" s="174"/>
      <c r="AD176" s="174"/>
    </row>
    <row r="177" spans="2:30">
      <c r="B177" s="165" t="s">
        <v>64</v>
      </c>
      <c r="C177" s="4">
        <v>0.36</v>
      </c>
      <c r="D177" s="187" t="s">
        <v>229</v>
      </c>
      <c r="E177" s="204">
        <v>44</v>
      </c>
      <c r="F177" s="250">
        <f>IF(Tableau14582[[#This Row],[Type]]="Feuillus",11*1.25,15.5*1.25)</f>
        <v>19.375</v>
      </c>
      <c r="G177" s="204">
        <v>10</v>
      </c>
      <c r="M177"/>
      <c r="N177" s="71">
        <v>156</v>
      </c>
      <c r="O177" s="235"/>
      <c r="P177" s="176"/>
      <c r="Q177" s="236">
        <f t="shared" si="27"/>
        <v>100.0025</v>
      </c>
      <c r="R177" s="176">
        <f t="shared" si="23"/>
        <v>7.0001750000000005</v>
      </c>
      <c r="S177" s="176">
        <f>$L$11*(1+$L$9)^N177*'Récapitulatif des résultats'!$I$11</f>
        <v>0</v>
      </c>
      <c r="T177" s="237"/>
      <c r="U177" s="176"/>
      <c r="V177" s="245">
        <f t="shared" si="24"/>
        <v>0</v>
      </c>
      <c r="W177" s="184">
        <f>SUM('Pin Sylvestre'!AQ161*'Pin Sylvestre'!$F$21,Douglas!AQ161*Douglas!$F$21,'Pin Maritime'!AQ161*'Pin Maritime'!$F$21,'Meleze Hybride'!AQ161*'Meleze Hybride'!$F$21,Thuya!AQ161*Thuya!$F$21,'Chêne et feuillus divers'!AQ161*'Chêne et feuillus divers'!$F$21)</f>
        <v>0</v>
      </c>
      <c r="X177" s="184">
        <f>SUM('Pin Sylvestre'!AR161*'Pin Sylvestre'!$F$21,Douglas!AR161*Douglas!$F$21,'Pin Maritime'!AR161*'Pin Maritime'!$F$21,'Meleze Hybride'!AR161*'Meleze Hybride'!$F$21,Thuya!AR161*Thuya!$F$21,'Chêne et feuillus divers'!AR161*'Chêne et feuillus divers'!$F$21)</f>
        <v>0</v>
      </c>
      <c r="Y177" s="184">
        <f>SUM('Pin Sylvestre'!AS161*'Pin Sylvestre'!$F$21,Douglas!AS161*Douglas!$F$21,'Pin Maritime'!AS161*'Pin Maritime'!$F$21,'Meleze Hybride'!AS161*'Meleze Hybride'!$F$21,Thuya!AS161*Thuya!$F$21,'Chêne et feuillus divers'!AS161*'Chêne et feuillus divers'!$F$21)</f>
        <v>0</v>
      </c>
      <c r="Z177" s="327">
        <f>SUM('Pin Sylvestre'!AT161*'Pin Sylvestre'!$F$21,Douglas!AT161*Douglas!$F$21,'Pin Maritime'!AT161*'Pin Maritime'!$F$21,'Meleze Hybride'!AT161*'Meleze Hybride'!$F$21,Thuya!AT161*Thuya!$F$21,'Chêne et feuillus divers'!AT161*'Chêne et feuillus divers'!$F$21)</f>
        <v>0</v>
      </c>
      <c r="AA177" s="174">
        <f t="shared" si="26"/>
        <v>0</v>
      </c>
      <c r="AB177" s="175">
        <f t="shared" si="25"/>
        <v>0</v>
      </c>
      <c r="AC177" s="174"/>
      <c r="AD177" s="174"/>
    </row>
    <row r="178" spans="2:30">
      <c r="B178" s="165" t="s">
        <v>65</v>
      </c>
      <c r="C178" s="4">
        <v>0.37</v>
      </c>
      <c r="D178" s="187" t="s">
        <v>228</v>
      </c>
      <c r="E178" s="204">
        <v>25</v>
      </c>
      <c r="F178" s="250">
        <f>IF(Tableau14582[[#This Row],[Type]]="Feuillus",11*1.25,15.5*1.25)</f>
        <v>13.75</v>
      </c>
      <c r="G178" s="204">
        <v>10</v>
      </c>
      <c r="M178"/>
      <c r="N178" s="71">
        <v>157</v>
      </c>
      <c r="O178" s="235"/>
      <c r="P178" s="176"/>
      <c r="Q178" s="236">
        <f t="shared" si="27"/>
        <v>100.0025</v>
      </c>
      <c r="R178" s="176">
        <f t="shared" si="23"/>
        <v>7.0001750000000005</v>
      </c>
      <c r="S178" s="176">
        <f>$L$11*(1+$L$9)^N178*'Récapitulatif des résultats'!$I$11</f>
        <v>0</v>
      </c>
      <c r="T178" s="237"/>
      <c r="U178" s="176"/>
      <c r="V178" s="245">
        <f t="shared" si="24"/>
        <v>0</v>
      </c>
      <c r="W178" s="184">
        <f>SUM('Pin Sylvestre'!AQ162*'Pin Sylvestre'!$F$21,Douglas!AQ162*Douglas!$F$21,'Pin Maritime'!AQ162*'Pin Maritime'!$F$21,'Meleze Hybride'!AQ162*'Meleze Hybride'!$F$21,Thuya!AQ162*Thuya!$F$21,'Chêne et feuillus divers'!AQ162*'Chêne et feuillus divers'!$F$21)</f>
        <v>0</v>
      </c>
      <c r="X178" s="184">
        <f>SUM('Pin Sylvestre'!AR162*'Pin Sylvestre'!$F$21,Douglas!AR162*Douglas!$F$21,'Pin Maritime'!AR162*'Pin Maritime'!$F$21,'Meleze Hybride'!AR162*'Meleze Hybride'!$F$21,Thuya!AR162*Thuya!$F$21,'Chêne et feuillus divers'!AR162*'Chêne et feuillus divers'!$F$21)</f>
        <v>0</v>
      </c>
      <c r="Y178" s="184">
        <f>SUM('Pin Sylvestre'!AS162*'Pin Sylvestre'!$F$21,Douglas!AS162*Douglas!$F$21,'Pin Maritime'!AS162*'Pin Maritime'!$F$21,'Meleze Hybride'!AS162*'Meleze Hybride'!$F$21,Thuya!AS162*Thuya!$F$21,'Chêne et feuillus divers'!AS162*'Chêne et feuillus divers'!$F$21)</f>
        <v>0</v>
      </c>
      <c r="Z178" s="327">
        <f>SUM('Pin Sylvestre'!AT162*'Pin Sylvestre'!$F$21,Douglas!AT162*Douglas!$F$21,'Pin Maritime'!AT162*'Pin Maritime'!$F$21,'Meleze Hybride'!AT162*'Meleze Hybride'!$F$21,Thuya!AT162*Thuya!$F$21,'Chêne et feuillus divers'!AT162*'Chêne et feuillus divers'!$F$21)</f>
        <v>0</v>
      </c>
      <c r="AA178" s="174">
        <f t="shared" si="26"/>
        <v>0</v>
      </c>
      <c r="AB178" s="175">
        <f t="shared" si="25"/>
        <v>0</v>
      </c>
      <c r="AC178" s="174"/>
      <c r="AD178" s="174"/>
    </row>
    <row r="179" spans="2:30">
      <c r="B179" s="165" t="s">
        <v>66</v>
      </c>
      <c r="C179" s="4">
        <v>0.53</v>
      </c>
      <c r="D179" s="187" t="s">
        <v>228</v>
      </c>
      <c r="E179" s="251" t="s">
        <v>250</v>
      </c>
      <c r="F179" s="250">
        <f>IF(Tableau14582[[#This Row],[Type]]="Feuillus",11*1.25,15.5*1.25)</f>
        <v>13.75</v>
      </c>
      <c r="G179" s="204">
        <v>10</v>
      </c>
      <c r="M179"/>
      <c r="N179" s="71">
        <v>158</v>
      </c>
      <c r="O179" s="235"/>
      <c r="P179" s="176"/>
      <c r="Q179" s="236">
        <f t="shared" si="27"/>
        <v>100.0025</v>
      </c>
      <c r="R179" s="176">
        <f t="shared" si="23"/>
        <v>7.0001750000000005</v>
      </c>
      <c r="S179" s="176">
        <f>$L$11*(1+$L$9)^N179*'Récapitulatif des résultats'!$I$11</f>
        <v>0</v>
      </c>
      <c r="T179" s="237"/>
      <c r="U179" s="176"/>
      <c r="V179" s="245">
        <f t="shared" si="24"/>
        <v>0</v>
      </c>
      <c r="W179" s="184">
        <f>SUM('Pin Sylvestre'!AQ163*'Pin Sylvestre'!$F$21,Douglas!AQ163*Douglas!$F$21,'Pin Maritime'!AQ163*'Pin Maritime'!$F$21,'Meleze Hybride'!AQ163*'Meleze Hybride'!$F$21,Thuya!AQ163*Thuya!$F$21,'Chêne et feuillus divers'!AQ163*'Chêne et feuillus divers'!$F$21)</f>
        <v>0</v>
      </c>
      <c r="X179" s="184">
        <f>SUM('Pin Sylvestre'!AR163*'Pin Sylvestre'!$F$21,Douglas!AR163*Douglas!$F$21,'Pin Maritime'!AR163*'Pin Maritime'!$F$21,'Meleze Hybride'!AR163*'Meleze Hybride'!$F$21,Thuya!AR163*Thuya!$F$21,'Chêne et feuillus divers'!AR163*'Chêne et feuillus divers'!$F$21)</f>
        <v>0</v>
      </c>
      <c r="Y179" s="184">
        <f>SUM('Pin Sylvestre'!AS163*'Pin Sylvestre'!$F$21,Douglas!AS163*Douglas!$F$21,'Pin Maritime'!AS163*'Pin Maritime'!$F$21,'Meleze Hybride'!AS163*'Meleze Hybride'!$F$21,Thuya!AS163*Thuya!$F$21,'Chêne et feuillus divers'!AS163*'Chêne et feuillus divers'!$F$21)</f>
        <v>0</v>
      </c>
      <c r="Z179" s="327">
        <f>SUM('Pin Sylvestre'!AT163*'Pin Sylvestre'!$F$21,Douglas!AT163*Douglas!$F$21,'Pin Maritime'!AT163*'Pin Maritime'!$F$21,'Meleze Hybride'!AT163*'Meleze Hybride'!$F$21,Thuya!AT163*Thuya!$F$21,'Chêne et feuillus divers'!AT163*'Chêne et feuillus divers'!$F$21)</f>
        <v>0</v>
      </c>
      <c r="AA179" s="174">
        <f t="shared" si="26"/>
        <v>0</v>
      </c>
      <c r="AB179" s="175">
        <f t="shared" si="25"/>
        <v>0</v>
      </c>
      <c r="AC179" s="174"/>
      <c r="AD179" s="174"/>
    </row>
    <row r="180" spans="2:30">
      <c r="B180" s="165" t="s">
        <v>67</v>
      </c>
      <c r="C180" s="4">
        <v>0.43</v>
      </c>
      <c r="D180" s="187" t="s">
        <v>228</v>
      </c>
      <c r="E180" s="204">
        <v>50</v>
      </c>
      <c r="F180" s="250">
        <f>IF(Tableau14582[[#This Row],[Type]]="Feuillus",11*1.25,15.5*1.25)</f>
        <v>13.75</v>
      </c>
      <c r="G180" s="204">
        <v>10</v>
      </c>
      <c r="M180"/>
      <c r="N180" s="71">
        <v>159</v>
      </c>
      <c r="O180" s="235"/>
      <c r="P180" s="176"/>
      <c r="Q180" s="236">
        <f t="shared" si="27"/>
        <v>100.0025</v>
      </c>
      <c r="R180" s="176">
        <f t="shared" si="23"/>
        <v>7.0001750000000005</v>
      </c>
      <c r="S180" s="176">
        <f>$L$11*(1+$L$9)^N180*'Récapitulatif des résultats'!$I$11</f>
        <v>0</v>
      </c>
      <c r="T180" s="237"/>
      <c r="U180" s="176"/>
      <c r="V180" s="245">
        <f t="shared" si="24"/>
        <v>0</v>
      </c>
      <c r="W180" s="184">
        <f>SUM('Pin Sylvestre'!AQ164*'Pin Sylvestre'!$F$21,Douglas!AQ164*Douglas!$F$21,'Pin Maritime'!AQ164*'Pin Maritime'!$F$21,'Meleze Hybride'!AQ164*'Meleze Hybride'!$F$21,Thuya!AQ164*Thuya!$F$21,'Chêne et feuillus divers'!AQ164*'Chêne et feuillus divers'!$F$21)</f>
        <v>0</v>
      </c>
      <c r="X180" s="184">
        <f>SUM('Pin Sylvestre'!AR164*'Pin Sylvestre'!$F$21,Douglas!AR164*Douglas!$F$21,'Pin Maritime'!AR164*'Pin Maritime'!$F$21,'Meleze Hybride'!AR164*'Meleze Hybride'!$F$21,Thuya!AR164*Thuya!$F$21,'Chêne et feuillus divers'!AR164*'Chêne et feuillus divers'!$F$21)</f>
        <v>0</v>
      </c>
      <c r="Y180" s="184">
        <f>SUM('Pin Sylvestre'!AS164*'Pin Sylvestre'!$F$21,Douglas!AS164*Douglas!$F$21,'Pin Maritime'!AS164*'Pin Maritime'!$F$21,'Meleze Hybride'!AS164*'Meleze Hybride'!$F$21,Thuya!AS164*Thuya!$F$21,'Chêne et feuillus divers'!AS164*'Chêne et feuillus divers'!$F$21)</f>
        <v>0</v>
      </c>
      <c r="Z180" s="327">
        <f>SUM('Pin Sylvestre'!AT164*'Pin Sylvestre'!$F$21,Douglas!AT164*Douglas!$F$21,'Pin Maritime'!AT164*'Pin Maritime'!$F$21,'Meleze Hybride'!AT164*'Meleze Hybride'!$F$21,Thuya!AT164*Thuya!$F$21,'Chêne et feuillus divers'!AT164*'Chêne et feuillus divers'!$F$21)</f>
        <v>0</v>
      </c>
      <c r="AA180" s="174">
        <f t="shared" si="26"/>
        <v>0</v>
      </c>
      <c r="AB180" s="175">
        <f t="shared" si="25"/>
        <v>0</v>
      </c>
      <c r="AC180" s="174"/>
      <c r="AD180" s="174"/>
    </row>
    <row r="181" spans="2:30">
      <c r="B181" s="165" t="s">
        <v>68</v>
      </c>
      <c r="C181" s="4">
        <v>0.38</v>
      </c>
      <c r="D181" s="187" t="s">
        <v>228</v>
      </c>
      <c r="E181" s="204">
        <v>25</v>
      </c>
      <c r="F181" s="250">
        <f>IF(Tableau14582[[#This Row],[Type]]="Feuillus",11*1.25,15.5*1.25)</f>
        <v>13.75</v>
      </c>
      <c r="G181" s="204">
        <v>10</v>
      </c>
      <c r="M181"/>
      <c r="N181" s="71">
        <v>160</v>
      </c>
      <c r="O181" s="235"/>
      <c r="P181" s="176"/>
      <c r="Q181" s="236">
        <f t="shared" si="27"/>
        <v>100.0025</v>
      </c>
      <c r="R181" s="176">
        <f t="shared" si="23"/>
        <v>7.0001750000000005</v>
      </c>
      <c r="S181" s="176">
        <f>$L$11*(1+$L$9)^N181*'Récapitulatif des résultats'!$I$11</f>
        <v>0</v>
      </c>
      <c r="T181" s="237"/>
      <c r="U181" s="176"/>
      <c r="V181" s="245">
        <f t="shared" si="24"/>
        <v>0</v>
      </c>
      <c r="W181" s="184">
        <f>SUM('Pin Sylvestre'!AQ165*'Pin Sylvestre'!$F$21,Douglas!AQ165*Douglas!$F$21,'Pin Maritime'!AQ165*'Pin Maritime'!$F$21,'Meleze Hybride'!AQ165*'Meleze Hybride'!$F$21,Thuya!AQ165*Thuya!$F$21,'Chêne et feuillus divers'!AQ165*'Chêne et feuillus divers'!$F$21)</f>
        <v>0</v>
      </c>
      <c r="X181" s="184">
        <f>SUM('Pin Sylvestre'!AR165*'Pin Sylvestre'!$F$21,Douglas!AR165*Douglas!$F$21,'Pin Maritime'!AR165*'Pin Maritime'!$F$21,'Meleze Hybride'!AR165*'Meleze Hybride'!$F$21,Thuya!AR165*Thuya!$F$21,'Chêne et feuillus divers'!AR165*'Chêne et feuillus divers'!$F$21)</f>
        <v>0</v>
      </c>
      <c r="Y181" s="184">
        <f>SUM('Pin Sylvestre'!AS165*'Pin Sylvestre'!$F$21,Douglas!AS165*Douglas!$F$21,'Pin Maritime'!AS165*'Pin Maritime'!$F$21,'Meleze Hybride'!AS165*'Meleze Hybride'!$F$21,Thuya!AS165*Thuya!$F$21,'Chêne et feuillus divers'!AS165*'Chêne et feuillus divers'!$F$21)</f>
        <v>0</v>
      </c>
      <c r="Z181" s="327">
        <f>SUM('Pin Sylvestre'!AT165*'Pin Sylvestre'!$F$21,Douglas!AT165*Douglas!$F$21,'Pin Maritime'!AT165*'Pin Maritime'!$F$21,'Meleze Hybride'!AT165*'Meleze Hybride'!$F$21,Thuya!AT165*Thuya!$F$21,'Chêne et feuillus divers'!AT165*'Chêne et feuillus divers'!$F$21)</f>
        <v>0</v>
      </c>
      <c r="AA181" s="174">
        <f t="shared" si="26"/>
        <v>0</v>
      </c>
      <c r="AB181" s="175">
        <f t="shared" si="25"/>
        <v>0</v>
      </c>
      <c r="AC181" s="174"/>
      <c r="AD181" s="174"/>
    </row>
    <row r="182" spans="2:30">
      <c r="B182" s="167" t="s">
        <v>69</v>
      </c>
      <c r="C182" s="3">
        <v>0.42</v>
      </c>
      <c r="D182" s="187" t="s">
        <v>229</v>
      </c>
      <c r="E182" s="204">
        <v>44</v>
      </c>
      <c r="F182" s="250">
        <f>IF(Tableau14582[[#This Row],[Type]]="Feuillus",11*1.25,15.5*1.25)</f>
        <v>19.375</v>
      </c>
      <c r="G182" s="204">
        <v>10</v>
      </c>
      <c r="M182"/>
      <c r="N182" s="71">
        <v>161</v>
      </c>
      <c r="O182" s="235"/>
      <c r="P182" s="176"/>
      <c r="Q182" s="236">
        <f t="shared" si="27"/>
        <v>100.0025</v>
      </c>
      <c r="R182" s="176">
        <f t="shared" si="23"/>
        <v>7.0001750000000005</v>
      </c>
      <c r="S182" s="176">
        <f>$L$11*(1+$L$9)^N182*'Récapitulatif des résultats'!$I$11</f>
        <v>0</v>
      </c>
      <c r="T182" s="237"/>
      <c r="U182" s="176"/>
      <c r="V182" s="245">
        <f t="shared" si="24"/>
        <v>0</v>
      </c>
      <c r="W182" s="184">
        <f>SUM('Pin Sylvestre'!AQ166*'Pin Sylvestre'!$F$21,Douglas!AQ166*Douglas!$F$21,'Pin Maritime'!AQ166*'Pin Maritime'!$F$21,'Meleze Hybride'!AQ166*'Meleze Hybride'!$F$21,Thuya!AQ166*Thuya!$F$21,'Chêne et feuillus divers'!AQ166*'Chêne et feuillus divers'!$F$21)</f>
        <v>0</v>
      </c>
      <c r="X182" s="184">
        <f>SUM('Pin Sylvestre'!AR166*'Pin Sylvestre'!$F$21,Douglas!AR166*Douglas!$F$21,'Pin Maritime'!AR166*'Pin Maritime'!$F$21,'Meleze Hybride'!AR166*'Meleze Hybride'!$F$21,Thuya!AR166*Thuya!$F$21,'Chêne et feuillus divers'!AR166*'Chêne et feuillus divers'!$F$21)</f>
        <v>0</v>
      </c>
      <c r="Y182" s="184">
        <f>SUM('Pin Sylvestre'!AS166*'Pin Sylvestre'!$F$21,Douglas!AS166*Douglas!$F$21,'Pin Maritime'!AS166*'Pin Maritime'!$F$21,'Meleze Hybride'!AS166*'Meleze Hybride'!$F$21,Thuya!AS166*Thuya!$F$21,'Chêne et feuillus divers'!AS166*'Chêne et feuillus divers'!$F$21)</f>
        <v>0</v>
      </c>
      <c r="Z182" s="327">
        <f>SUM('Pin Sylvestre'!AT166*'Pin Sylvestre'!$F$21,Douglas!AT166*Douglas!$F$21,'Pin Maritime'!AT166*'Pin Maritime'!$F$21,'Meleze Hybride'!AT166*'Meleze Hybride'!$F$21,Thuya!AT166*Thuya!$F$21,'Chêne et feuillus divers'!AT166*'Chêne et feuillus divers'!$F$21)</f>
        <v>0</v>
      </c>
      <c r="AA182" s="174">
        <f t="shared" si="26"/>
        <v>0</v>
      </c>
      <c r="AB182" s="175">
        <f t="shared" si="25"/>
        <v>0</v>
      </c>
      <c r="AC182" s="174"/>
      <c r="AD182" s="174"/>
    </row>
    <row r="183" spans="2:30">
      <c r="B183" s="167" t="s">
        <v>70</v>
      </c>
      <c r="C183" s="3">
        <v>0.56999999999999995</v>
      </c>
      <c r="D183" s="187" t="s">
        <v>228</v>
      </c>
      <c r="E183" s="251">
        <v>50</v>
      </c>
      <c r="F183" s="250">
        <f>IF(Tableau14582[[#This Row],[Type]]="Feuillus",11*1.25,15.5*1.25)</f>
        <v>13.75</v>
      </c>
      <c r="G183" s="204">
        <v>10</v>
      </c>
      <c r="M183"/>
      <c r="N183" s="71">
        <v>162</v>
      </c>
      <c r="O183" s="235"/>
      <c r="P183" s="176"/>
      <c r="Q183" s="236">
        <f t="shared" si="27"/>
        <v>100.0025</v>
      </c>
      <c r="R183" s="176">
        <f t="shared" si="23"/>
        <v>7.0001750000000005</v>
      </c>
      <c r="S183" s="176">
        <f>$L$11*(1+$L$9)^N183*'Récapitulatif des résultats'!$I$11</f>
        <v>0</v>
      </c>
      <c r="T183" s="237"/>
      <c r="U183" s="176"/>
      <c r="V183" s="245">
        <f t="shared" si="24"/>
        <v>0</v>
      </c>
      <c r="W183" s="184">
        <f>SUM('Pin Sylvestre'!AQ167*'Pin Sylvestre'!$F$21,Douglas!AQ167*Douglas!$F$21,'Pin Maritime'!AQ167*'Pin Maritime'!$F$21,'Meleze Hybride'!AQ167*'Meleze Hybride'!$F$21,Thuya!AQ167*Thuya!$F$21,'Chêne et feuillus divers'!AQ167*'Chêne et feuillus divers'!$F$21)</f>
        <v>0</v>
      </c>
      <c r="X183" s="184">
        <f>SUM('Pin Sylvestre'!AR167*'Pin Sylvestre'!$F$21,Douglas!AR167*Douglas!$F$21,'Pin Maritime'!AR167*'Pin Maritime'!$F$21,'Meleze Hybride'!AR167*'Meleze Hybride'!$F$21,Thuya!AR167*Thuya!$F$21,'Chêne et feuillus divers'!AR167*'Chêne et feuillus divers'!$F$21)</f>
        <v>0</v>
      </c>
      <c r="Y183" s="184">
        <f>SUM('Pin Sylvestre'!AS167*'Pin Sylvestre'!$F$21,Douglas!AS167*Douglas!$F$21,'Pin Maritime'!AS167*'Pin Maritime'!$F$21,'Meleze Hybride'!AS167*'Meleze Hybride'!$F$21,Thuya!AS167*Thuya!$F$21,'Chêne et feuillus divers'!AS167*'Chêne et feuillus divers'!$F$21)</f>
        <v>0</v>
      </c>
      <c r="Z183" s="327">
        <f>SUM('Pin Sylvestre'!AT167*'Pin Sylvestre'!$F$21,Douglas!AT167*Douglas!$F$21,'Pin Maritime'!AT167*'Pin Maritime'!$F$21,'Meleze Hybride'!AT167*'Meleze Hybride'!$F$21,Thuya!AT167*Thuya!$F$21,'Chêne et feuillus divers'!AT167*'Chêne et feuillus divers'!$F$21)</f>
        <v>0</v>
      </c>
      <c r="AA183" s="174">
        <f t="shared" si="26"/>
        <v>0</v>
      </c>
      <c r="AB183" s="175">
        <f t="shared" si="25"/>
        <v>0</v>
      </c>
      <c r="AC183" s="174"/>
      <c r="AD183" s="174"/>
    </row>
    <row r="184" spans="2:30">
      <c r="B184" s="167" t="s">
        <v>71</v>
      </c>
      <c r="C184" s="3">
        <v>0.54</v>
      </c>
      <c r="D184" s="187"/>
      <c r="E184" s="204">
        <v>60</v>
      </c>
      <c r="F184" s="204"/>
      <c r="G184" s="204">
        <v>10</v>
      </c>
      <c r="M184"/>
      <c r="N184" s="71">
        <v>163</v>
      </c>
      <c r="O184" s="235"/>
      <c r="P184" s="176"/>
      <c r="Q184" s="236">
        <f t="shared" si="27"/>
        <v>100.0025</v>
      </c>
      <c r="R184" s="176">
        <f t="shared" si="23"/>
        <v>7.0001750000000005</v>
      </c>
      <c r="S184" s="176">
        <f>$L$11*(1+$L$9)^N184*'Récapitulatif des résultats'!$I$11</f>
        <v>0</v>
      </c>
      <c r="T184" s="237"/>
      <c r="U184" s="176"/>
      <c r="V184" s="245">
        <f t="shared" si="24"/>
        <v>0</v>
      </c>
      <c r="W184" s="184">
        <f>SUM('Pin Sylvestre'!AQ168*'Pin Sylvestre'!$F$21,Douglas!AQ168*Douglas!$F$21,'Pin Maritime'!AQ168*'Pin Maritime'!$F$21,'Meleze Hybride'!AQ168*'Meleze Hybride'!$F$21,Thuya!AQ168*Thuya!$F$21,'Chêne et feuillus divers'!AQ168*'Chêne et feuillus divers'!$F$21)</f>
        <v>0</v>
      </c>
      <c r="X184" s="184">
        <f>SUM('Pin Sylvestre'!AR168*'Pin Sylvestre'!$F$21,Douglas!AR168*Douglas!$F$21,'Pin Maritime'!AR168*'Pin Maritime'!$F$21,'Meleze Hybride'!AR168*'Meleze Hybride'!$F$21,Thuya!AR168*Thuya!$F$21,'Chêne et feuillus divers'!AR168*'Chêne et feuillus divers'!$F$21)</f>
        <v>0</v>
      </c>
      <c r="Y184" s="184">
        <f>SUM('Pin Sylvestre'!AS168*'Pin Sylvestre'!$F$21,Douglas!AS168*Douglas!$F$21,'Pin Maritime'!AS168*'Pin Maritime'!$F$21,'Meleze Hybride'!AS168*'Meleze Hybride'!$F$21,Thuya!AS168*Thuya!$F$21,'Chêne et feuillus divers'!AS168*'Chêne et feuillus divers'!$F$21)</f>
        <v>0</v>
      </c>
      <c r="Z184" s="327">
        <f>SUM('Pin Sylvestre'!AT168*'Pin Sylvestre'!$F$21,Douglas!AT168*Douglas!$F$21,'Pin Maritime'!AT168*'Pin Maritime'!$F$21,'Meleze Hybride'!AT168*'Meleze Hybride'!$F$21,Thuya!AT168*Thuya!$F$21,'Chêne et feuillus divers'!AT168*'Chêne et feuillus divers'!$F$21)</f>
        <v>0</v>
      </c>
      <c r="AA184" s="174">
        <f t="shared" si="26"/>
        <v>0</v>
      </c>
      <c r="AB184" s="175">
        <f t="shared" si="25"/>
        <v>0</v>
      </c>
      <c r="AC184" s="174"/>
      <c r="AD184" s="174"/>
    </row>
    <row r="185" spans="2:30">
      <c r="M185"/>
      <c r="N185" s="71">
        <v>164</v>
      </c>
      <c r="O185" s="235"/>
      <c r="P185" s="176"/>
      <c r="Q185" s="236">
        <f t="shared" si="27"/>
        <v>100.0025</v>
      </c>
      <c r="R185" s="176">
        <f t="shared" si="23"/>
        <v>7.0001750000000005</v>
      </c>
      <c r="S185" s="176">
        <f>$L$11*(1+$L$9)^N185*'Récapitulatif des résultats'!$I$11</f>
        <v>0</v>
      </c>
      <c r="T185" s="237"/>
      <c r="U185" s="176"/>
      <c r="V185" s="245">
        <f t="shared" si="24"/>
        <v>0</v>
      </c>
      <c r="W185" s="184">
        <f>SUM('Pin Sylvestre'!AQ169*'Pin Sylvestre'!$F$21,Douglas!AQ169*Douglas!$F$21,'Pin Maritime'!AQ169*'Pin Maritime'!$F$21,'Meleze Hybride'!AQ169*'Meleze Hybride'!$F$21,Thuya!AQ169*Thuya!$F$21,'Chêne et feuillus divers'!AQ169*'Chêne et feuillus divers'!$F$21)</f>
        <v>0</v>
      </c>
      <c r="X185" s="184">
        <f>SUM('Pin Sylvestre'!AR169*'Pin Sylvestre'!$F$21,Douglas!AR169*Douglas!$F$21,'Pin Maritime'!AR169*'Pin Maritime'!$F$21,'Meleze Hybride'!AR169*'Meleze Hybride'!$F$21,Thuya!AR169*Thuya!$F$21,'Chêne et feuillus divers'!AR169*'Chêne et feuillus divers'!$F$21)</f>
        <v>0</v>
      </c>
      <c r="Y185" s="184">
        <f>SUM('Pin Sylvestre'!AS169*'Pin Sylvestre'!$F$21,Douglas!AS169*Douglas!$F$21,'Pin Maritime'!AS169*'Pin Maritime'!$F$21,'Meleze Hybride'!AS169*'Meleze Hybride'!$F$21,Thuya!AS169*Thuya!$F$21,'Chêne et feuillus divers'!AS169*'Chêne et feuillus divers'!$F$21)</f>
        <v>0</v>
      </c>
      <c r="Z185" s="327">
        <f>SUM('Pin Sylvestre'!AT169*'Pin Sylvestre'!$F$21,Douglas!AT169*Douglas!$F$21,'Pin Maritime'!AT169*'Pin Maritime'!$F$21,'Meleze Hybride'!AT169*'Meleze Hybride'!$F$21,Thuya!AT169*Thuya!$F$21,'Chêne et feuillus divers'!AT169*'Chêne et feuillus divers'!$F$21)</f>
        <v>0</v>
      </c>
      <c r="AA185" s="174">
        <f t="shared" si="26"/>
        <v>0</v>
      </c>
      <c r="AB185" s="175">
        <f t="shared" si="25"/>
        <v>0</v>
      </c>
      <c r="AC185" s="174"/>
      <c r="AD185" s="174"/>
    </row>
    <row r="186" spans="2:30">
      <c r="B186" t="s">
        <v>237</v>
      </c>
      <c r="N186" s="71">
        <v>165</v>
      </c>
      <c r="O186" s="235"/>
      <c r="P186" s="176"/>
      <c r="Q186" s="236">
        <f t="shared" si="27"/>
        <v>100.0025</v>
      </c>
      <c r="R186" s="176">
        <f t="shared" si="23"/>
        <v>7.0001750000000005</v>
      </c>
      <c r="S186" s="176">
        <f>$L$11*(1+$L$9)^N186*'Récapitulatif des résultats'!$I$11</f>
        <v>0</v>
      </c>
      <c r="T186" s="237"/>
      <c r="U186" s="176"/>
      <c r="V186" s="245">
        <f t="shared" si="24"/>
        <v>0</v>
      </c>
      <c r="W186" s="184">
        <f>SUM('Pin Sylvestre'!AQ170*'Pin Sylvestre'!$F$21,Douglas!AQ170*Douglas!$F$21,'Pin Maritime'!AQ170*'Pin Maritime'!$F$21,'Meleze Hybride'!AQ170*'Meleze Hybride'!$F$21,Thuya!AQ170*Thuya!$F$21,'Chêne et feuillus divers'!AQ170*'Chêne et feuillus divers'!$F$21)</f>
        <v>0</v>
      </c>
      <c r="X186" s="184">
        <f>SUM('Pin Sylvestre'!AR170*'Pin Sylvestre'!$F$21,Douglas!AR170*Douglas!$F$21,'Pin Maritime'!AR170*'Pin Maritime'!$F$21,'Meleze Hybride'!AR170*'Meleze Hybride'!$F$21,Thuya!AR170*Thuya!$F$21,'Chêne et feuillus divers'!AR170*'Chêne et feuillus divers'!$F$21)</f>
        <v>0</v>
      </c>
      <c r="Y186" s="184">
        <f>SUM('Pin Sylvestre'!AS170*'Pin Sylvestre'!$F$21,Douglas!AS170*Douglas!$F$21,'Pin Maritime'!AS170*'Pin Maritime'!$F$21,'Meleze Hybride'!AS170*'Meleze Hybride'!$F$21,Thuya!AS170*Thuya!$F$21,'Chêne et feuillus divers'!AS170*'Chêne et feuillus divers'!$F$21)</f>
        <v>0</v>
      </c>
      <c r="Z186" s="327">
        <f>SUM('Pin Sylvestre'!AT170*'Pin Sylvestre'!$F$21,Douglas!AT170*Douglas!$F$21,'Pin Maritime'!AT170*'Pin Maritime'!$F$21,'Meleze Hybride'!AT170*'Meleze Hybride'!$F$21,Thuya!AT170*Thuya!$F$21,'Chêne et feuillus divers'!AT170*'Chêne et feuillus divers'!$F$21)</f>
        <v>0</v>
      </c>
      <c r="AA186" s="174">
        <f t="shared" si="26"/>
        <v>0</v>
      </c>
      <c r="AB186" s="175">
        <f t="shared" si="25"/>
        <v>0</v>
      </c>
      <c r="AC186" s="174"/>
      <c r="AD186" s="174"/>
    </row>
    <row r="187" spans="2:30">
      <c r="B187" t="s">
        <v>238</v>
      </c>
      <c r="N187" s="71">
        <v>166</v>
      </c>
      <c r="O187" s="235"/>
      <c r="P187" s="176"/>
      <c r="Q187" s="236">
        <f t="shared" ref="Q187:Q221" si="28">$L$13*(1+$L$9)^N187*$L$5</f>
        <v>100.0025</v>
      </c>
      <c r="R187" s="176">
        <f t="shared" si="23"/>
        <v>7.0001750000000005</v>
      </c>
      <c r="S187" s="176">
        <f>$L$11*(1+$L$9)^N187*'Récapitulatif des résultats'!$I$11</f>
        <v>0</v>
      </c>
      <c r="T187" s="237"/>
      <c r="U187" s="176"/>
      <c r="V187" s="245">
        <f t="shared" si="24"/>
        <v>0</v>
      </c>
      <c r="W187" s="184">
        <f>SUM('Pin Sylvestre'!AQ171*'Pin Sylvestre'!$F$21,Douglas!AQ171*Douglas!$F$21,'Pin Maritime'!AQ171*'Pin Maritime'!$F$21,'Meleze Hybride'!AQ171*'Meleze Hybride'!$F$21,Thuya!AQ171*Thuya!$F$21,'Chêne et feuillus divers'!AQ171*'Chêne et feuillus divers'!$F$21)</f>
        <v>0</v>
      </c>
      <c r="X187" s="184">
        <f>SUM('Pin Sylvestre'!AR171*'Pin Sylvestre'!$F$21,Douglas!AR171*Douglas!$F$21,'Pin Maritime'!AR171*'Pin Maritime'!$F$21,'Meleze Hybride'!AR171*'Meleze Hybride'!$F$21,Thuya!AR171*Thuya!$F$21,'Chêne et feuillus divers'!AR171*'Chêne et feuillus divers'!$F$21)</f>
        <v>0</v>
      </c>
      <c r="Y187" s="184">
        <f>SUM('Pin Sylvestre'!AS171*'Pin Sylvestre'!$F$21,Douglas!AS171*Douglas!$F$21,'Pin Maritime'!AS171*'Pin Maritime'!$F$21,'Meleze Hybride'!AS171*'Meleze Hybride'!$F$21,Thuya!AS171*Thuya!$F$21,'Chêne et feuillus divers'!AS171*'Chêne et feuillus divers'!$F$21)</f>
        <v>0</v>
      </c>
      <c r="Z187" s="327">
        <f>SUM('Pin Sylvestre'!AT171*'Pin Sylvestre'!$F$21,Douglas!AT171*Douglas!$F$21,'Pin Maritime'!AT171*'Pin Maritime'!$F$21,'Meleze Hybride'!AT171*'Meleze Hybride'!$F$21,Thuya!AT171*Thuya!$F$21,'Chêne et feuillus divers'!AT171*'Chêne et feuillus divers'!$F$21)</f>
        <v>0</v>
      </c>
      <c r="AA187" s="174">
        <f t="shared" si="26"/>
        <v>0</v>
      </c>
      <c r="AB187" s="175">
        <f t="shared" si="25"/>
        <v>0</v>
      </c>
      <c r="AC187" s="174"/>
      <c r="AD187" s="174"/>
    </row>
    <row r="188" spans="2:30">
      <c r="B188" t="s">
        <v>243</v>
      </c>
      <c r="N188" s="71">
        <v>167</v>
      </c>
      <c r="O188" s="235"/>
      <c r="P188" s="176"/>
      <c r="Q188" s="236">
        <f t="shared" si="28"/>
        <v>100.0025</v>
      </c>
      <c r="R188" s="176">
        <f t="shared" si="23"/>
        <v>7.0001750000000005</v>
      </c>
      <c r="S188" s="176">
        <f>$L$11*(1+$L$9)^N188*'Récapitulatif des résultats'!$I$11</f>
        <v>0</v>
      </c>
      <c r="T188" s="237"/>
      <c r="U188" s="176"/>
      <c r="V188" s="245">
        <f t="shared" si="24"/>
        <v>0</v>
      </c>
      <c r="W188" s="184">
        <f>SUM('Pin Sylvestre'!AQ172*'Pin Sylvestre'!$F$21,Douglas!AQ172*Douglas!$F$21,'Pin Maritime'!AQ172*'Pin Maritime'!$F$21,'Meleze Hybride'!AQ172*'Meleze Hybride'!$F$21,Thuya!AQ172*Thuya!$F$21,'Chêne et feuillus divers'!AQ172*'Chêne et feuillus divers'!$F$21)</f>
        <v>0</v>
      </c>
      <c r="X188" s="184">
        <f>SUM('Pin Sylvestre'!AR172*'Pin Sylvestre'!$F$21,Douglas!AR172*Douglas!$F$21,'Pin Maritime'!AR172*'Pin Maritime'!$F$21,'Meleze Hybride'!AR172*'Meleze Hybride'!$F$21,Thuya!AR172*Thuya!$F$21,'Chêne et feuillus divers'!AR172*'Chêne et feuillus divers'!$F$21)</f>
        <v>0</v>
      </c>
      <c r="Y188" s="184">
        <f>SUM('Pin Sylvestre'!AS172*'Pin Sylvestre'!$F$21,Douglas!AS172*Douglas!$F$21,'Pin Maritime'!AS172*'Pin Maritime'!$F$21,'Meleze Hybride'!AS172*'Meleze Hybride'!$F$21,Thuya!AS172*Thuya!$F$21,'Chêne et feuillus divers'!AS172*'Chêne et feuillus divers'!$F$21)</f>
        <v>0</v>
      </c>
      <c r="Z188" s="327">
        <f>SUM('Pin Sylvestre'!AT172*'Pin Sylvestre'!$F$21,Douglas!AT172*Douglas!$F$21,'Pin Maritime'!AT172*'Pin Maritime'!$F$21,'Meleze Hybride'!AT172*'Meleze Hybride'!$F$21,Thuya!AT172*Thuya!$F$21,'Chêne et feuillus divers'!AT172*'Chêne et feuillus divers'!$F$21)</f>
        <v>0</v>
      </c>
      <c r="AA188" s="174">
        <f t="shared" si="26"/>
        <v>0</v>
      </c>
      <c r="AB188" s="175">
        <f t="shared" si="25"/>
        <v>0</v>
      </c>
      <c r="AC188" s="174"/>
      <c r="AD188" s="174"/>
    </row>
    <row r="189" spans="2:30">
      <c r="B189" t="s">
        <v>241</v>
      </c>
      <c r="N189" s="71">
        <v>168</v>
      </c>
      <c r="O189" s="235"/>
      <c r="P189" s="176"/>
      <c r="Q189" s="236">
        <f t="shared" si="28"/>
        <v>100.0025</v>
      </c>
      <c r="R189" s="176">
        <f t="shared" si="23"/>
        <v>7.0001750000000005</v>
      </c>
      <c r="S189" s="176">
        <f>$L$11*(1+$L$9)^N189*'Récapitulatif des résultats'!$I$11</f>
        <v>0</v>
      </c>
      <c r="T189" s="237"/>
      <c r="U189" s="176"/>
      <c r="V189" s="245">
        <f t="shared" si="24"/>
        <v>0</v>
      </c>
      <c r="W189" s="184">
        <f>SUM('Pin Sylvestre'!AQ173*'Pin Sylvestre'!$F$21,Douglas!AQ173*Douglas!$F$21,'Pin Maritime'!AQ173*'Pin Maritime'!$F$21,'Meleze Hybride'!AQ173*'Meleze Hybride'!$F$21,Thuya!AQ173*Thuya!$F$21,'Chêne et feuillus divers'!AQ173*'Chêne et feuillus divers'!$F$21)</f>
        <v>0</v>
      </c>
      <c r="X189" s="184">
        <f>SUM('Pin Sylvestre'!AR173*'Pin Sylvestre'!$F$21,Douglas!AR173*Douglas!$F$21,'Pin Maritime'!AR173*'Pin Maritime'!$F$21,'Meleze Hybride'!AR173*'Meleze Hybride'!$F$21,Thuya!AR173*Thuya!$F$21,'Chêne et feuillus divers'!AR173*'Chêne et feuillus divers'!$F$21)</f>
        <v>0</v>
      </c>
      <c r="Y189" s="184">
        <f>SUM('Pin Sylvestre'!AS173*'Pin Sylvestre'!$F$21,Douglas!AS173*Douglas!$F$21,'Pin Maritime'!AS173*'Pin Maritime'!$F$21,'Meleze Hybride'!AS173*'Meleze Hybride'!$F$21,Thuya!AS173*Thuya!$F$21,'Chêne et feuillus divers'!AS173*'Chêne et feuillus divers'!$F$21)</f>
        <v>0</v>
      </c>
      <c r="Z189" s="327">
        <f>SUM('Pin Sylvestre'!AT173*'Pin Sylvestre'!$F$21,Douglas!AT173*Douglas!$F$21,'Pin Maritime'!AT173*'Pin Maritime'!$F$21,'Meleze Hybride'!AT173*'Meleze Hybride'!$F$21,Thuya!AT173*Thuya!$F$21,'Chêne et feuillus divers'!AT173*'Chêne et feuillus divers'!$F$21)</f>
        <v>0</v>
      </c>
      <c r="AA189" s="174">
        <f t="shared" si="26"/>
        <v>0</v>
      </c>
      <c r="AB189" s="175">
        <f t="shared" si="25"/>
        <v>0</v>
      </c>
      <c r="AC189" s="174"/>
      <c r="AD189" s="174"/>
    </row>
    <row r="190" spans="2:30">
      <c r="B190" t="s">
        <v>242</v>
      </c>
      <c r="N190" s="71">
        <v>169</v>
      </c>
      <c r="O190" s="235"/>
      <c r="P190" s="176"/>
      <c r="Q190" s="236">
        <f t="shared" si="28"/>
        <v>100.0025</v>
      </c>
      <c r="R190" s="176">
        <f t="shared" si="23"/>
        <v>7.0001750000000005</v>
      </c>
      <c r="S190" s="176">
        <f>$L$11*(1+$L$9)^N190*'Récapitulatif des résultats'!$I$11</f>
        <v>0</v>
      </c>
      <c r="T190" s="237"/>
      <c r="U190" s="176"/>
      <c r="V190" s="245">
        <f t="shared" si="24"/>
        <v>0</v>
      </c>
      <c r="W190" s="184">
        <f>SUM('Pin Sylvestre'!AQ174*'Pin Sylvestre'!$F$21,Douglas!AQ174*Douglas!$F$21,'Pin Maritime'!AQ174*'Pin Maritime'!$F$21,'Meleze Hybride'!AQ174*'Meleze Hybride'!$F$21,Thuya!AQ174*Thuya!$F$21,'Chêne et feuillus divers'!AQ174*'Chêne et feuillus divers'!$F$21)</f>
        <v>0</v>
      </c>
      <c r="X190" s="184">
        <f>SUM('Pin Sylvestre'!AR174*'Pin Sylvestre'!$F$21,Douglas!AR174*Douglas!$F$21,'Pin Maritime'!AR174*'Pin Maritime'!$F$21,'Meleze Hybride'!AR174*'Meleze Hybride'!$F$21,Thuya!AR174*Thuya!$F$21,'Chêne et feuillus divers'!AR174*'Chêne et feuillus divers'!$F$21)</f>
        <v>0</v>
      </c>
      <c r="Y190" s="184">
        <f>SUM('Pin Sylvestre'!AS174*'Pin Sylvestre'!$F$21,Douglas!AS174*Douglas!$F$21,'Pin Maritime'!AS174*'Pin Maritime'!$F$21,'Meleze Hybride'!AS174*'Meleze Hybride'!$F$21,Thuya!AS174*Thuya!$F$21,'Chêne et feuillus divers'!AS174*'Chêne et feuillus divers'!$F$21)</f>
        <v>0</v>
      </c>
      <c r="Z190" s="327">
        <f>SUM('Pin Sylvestre'!AT174*'Pin Sylvestre'!$F$21,Douglas!AT174*Douglas!$F$21,'Pin Maritime'!AT174*'Pin Maritime'!$F$21,'Meleze Hybride'!AT174*'Meleze Hybride'!$F$21,Thuya!AT174*Thuya!$F$21,'Chêne et feuillus divers'!AT174*'Chêne et feuillus divers'!$F$21)</f>
        <v>0</v>
      </c>
      <c r="AA190" s="174">
        <f t="shared" si="26"/>
        <v>0</v>
      </c>
      <c r="AB190" s="175">
        <f t="shared" si="25"/>
        <v>0</v>
      </c>
      <c r="AC190" s="174"/>
      <c r="AD190" s="174"/>
    </row>
    <row r="191" spans="2:30">
      <c r="B191" t="s">
        <v>240</v>
      </c>
      <c r="N191" s="71">
        <v>170</v>
      </c>
      <c r="O191" s="235"/>
      <c r="P191" s="176"/>
      <c r="Q191" s="236">
        <f t="shared" si="28"/>
        <v>100.0025</v>
      </c>
      <c r="R191" s="176">
        <f t="shared" si="23"/>
        <v>7.0001750000000005</v>
      </c>
      <c r="S191" s="176">
        <f>$L$11*(1+$L$9)^N191*'Récapitulatif des résultats'!$I$11</f>
        <v>0</v>
      </c>
      <c r="T191" s="237"/>
      <c r="U191" s="176"/>
      <c r="V191" s="245">
        <f t="shared" si="24"/>
        <v>0</v>
      </c>
      <c r="W191" s="184">
        <f>SUM('Pin Sylvestre'!AQ175*'Pin Sylvestre'!$F$21,Douglas!AQ175*Douglas!$F$21,'Pin Maritime'!AQ175*'Pin Maritime'!$F$21,'Meleze Hybride'!AQ175*'Meleze Hybride'!$F$21,Thuya!AQ175*Thuya!$F$21,'Chêne et feuillus divers'!AQ175*'Chêne et feuillus divers'!$F$21)</f>
        <v>0</v>
      </c>
      <c r="X191" s="184">
        <f>SUM('Pin Sylvestre'!AR175*'Pin Sylvestre'!$F$21,Douglas!AR175*Douglas!$F$21,'Pin Maritime'!AR175*'Pin Maritime'!$F$21,'Meleze Hybride'!AR175*'Meleze Hybride'!$F$21,Thuya!AR175*Thuya!$F$21,'Chêne et feuillus divers'!AR175*'Chêne et feuillus divers'!$F$21)</f>
        <v>0</v>
      </c>
      <c r="Y191" s="184">
        <f>SUM('Pin Sylvestre'!AS175*'Pin Sylvestre'!$F$21,Douglas!AS175*Douglas!$F$21,'Pin Maritime'!AS175*'Pin Maritime'!$F$21,'Meleze Hybride'!AS175*'Meleze Hybride'!$F$21,Thuya!AS175*Thuya!$F$21,'Chêne et feuillus divers'!AS175*'Chêne et feuillus divers'!$F$21)</f>
        <v>0</v>
      </c>
      <c r="Z191" s="327">
        <f>SUM('Pin Sylvestre'!AT175*'Pin Sylvestre'!$F$21,Douglas!AT175*Douglas!$F$21,'Pin Maritime'!AT175*'Pin Maritime'!$F$21,'Meleze Hybride'!AT175*'Meleze Hybride'!$F$21,Thuya!AT175*Thuya!$F$21,'Chêne et feuillus divers'!AT175*'Chêne et feuillus divers'!$F$21)</f>
        <v>0</v>
      </c>
      <c r="AA191" s="174">
        <f t="shared" si="26"/>
        <v>0</v>
      </c>
      <c r="AB191" s="175">
        <f t="shared" si="25"/>
        <v>0</v>
      </c>
      <c r="AC191" s="174"/>
      <c r="AD191" s="174"/>
    </row>
    <row r="192" spans="2:30">
      <c r="B192" t="s">
        <v>244</v>
      </c>
      <c r="N192" s="71">
        <v>171</v>
      </c>
      <c r="O192" s="235"/>
      <c r="P192" s="176"/>
      <c r="Q192" s="236">
        <f t="shared" si="28"/>
        <v>100.0025</v>
      </c>
      <c r="R192" s="176">
        <f t="shared" si="23"/>
        <v>7.0001750000000005</v>
      </c>
      <c r="S192" s="176">
        <f>$L$11*(1+$L$9)^N192*'Récapitulatif des résultats'!$I$11</f>
        <v>0</v>
      </c>
      <c r="T192" s="237"/>
      <c r="U192" s="176"/>
      <c r="V192" s="245">
        <f t="shared" si="24"/>
        <v>0</v>
      </c>
      <c r="W192" s="184">
        <f>SUM('Pin Sylvestre'!AQ176*'Pin Sylvestre'!$F$21,Douglas!AQ176*Douglas!$F$21,'Pin Maritime'!AQ176*'Pin Maritime'!$F$21,'Meleze Hybride'!AQ176*'Meleze Hybride'!$F$21,Thuya!AQ176*Thuya!$F$21,'Chêne et feuillus divers'!AQ176*'Chêne et feuillus divers'!$F$21)</f>
        <v>0</v>
      </c>
      <c r="X192" s="184">
        <f>SUM('Pin Sylvestre'!AR176*'Pin Sylvestre'!$F$21,Douglas!AR176*Douglas!$F$21,'Pin Maritime'!AR176*'Pin Maritime'!$F$21,'Meleze Hybride'!AR176*'Meleze Hybride'!$F$21,Thuya!AR176*Thuya!$F$21,'Chêne et feuillus divers'!AR176*'Chêne et feuillus divers'!$F$21)</f>
        <v>0</v>
      </c>
      <c r="Y192" s="184">
        <f>SUM('Pin Sylvestre'!AS176*'Pin Sylvestre'!$F$21,Douglas!AS176*Douglas!$F$21,'Pin Maritime'!AS176*'Pin Maritime'!$F$21,'Meleze Hybride'!AS176*'Meleze Hybride'!$F$21,Thuya!AS176*Thuya!$F$21,'Chêne et feuillus divers'!AS176*'Chêne et feuillus divers'!$F$21)</f>
        <v>0</v>
      </c>
      <c r="Z192" s="327">
        <f>SUM('Pin Sylvestre'!AT176*'Pin Sylvestre'!$F$21,Douglas!AT176*Douglas!$F$21,'Pin Maritime'!AT176*'Pin Maritime'!$F$21,'Meleze Hybride'!AT176*'Meleze Hybride'!$F$21,Thuya!AT176*Thuya!$F$21,'Chêne et feuillus divers'!AT176*'Chêne et feuillus divers'!$F$21)</f>
        <v>0</v>
      </c>
      <c r="AA192" s="174">
        <f t="shared" si="26"/>
        <v>0</v>
      </c>
      <c r="AB192" s="175">
        <f t="shared" si="25"/>
        <v>0</v>
      </c>
      <c r="AC192" s="174"/>
      <c r="AD192" s="174"/>
    </row>
    <row r="193" spans="14:30">
      <c r="N193" s="71">
        <v>172</v>
      </c>
      <c r="O193" s="235"/>
      <c r="P193" s="176"/>
      <c r="Q193" s="236">
        <f t="shared" si="28"/>
        <v>100.0025</v>
      </c>
      <c r="R193" s="176">
        <f t="shared" si="23"/>
        <v>7.0001750000000005</v>
      </c>
      <c r="S193" s="176">
        <f>$L$11*(1+$L$9)^N193*'Récapitulatif des résultats'!$I$11</f>
        <v>0</v>
      </c>
      <c r="T193" s="237"/>
      <c r="U193" s="176"/>
      <c r="V193" s="245">
        <f t="shared" si="24"/>
        <v>0</v>
      </c>
      <c r="W193" s="184">
        <f>SUM('Pin Sylvestre'!AQ177*'Pin Sylvestre'!$F$21,Douglas!AQ177*Douglas!$F$21,'Pin Maritime'!AQ177*'Pin Maritime'!$F$21,'Meleze Hybride'!AQ177*'Meleze Hybride'!$F$21,Thuya!AQ177*Thuya!$F$21,'Chêne et feuillus divers'!AQ177*'Chêne et feuillus divers'!$F$21)</f>
        <v>0</v>
      </c>
      <c r="X193" s="184">
        <f>SUM('Pin Sylvestre'!AR177*'Pin Sylvestre'!$F$21,Douglas!AR177*Douglas!$F$21,'Pin Maritime'!AR177*'Pin Maritime'!$F$21,'Meleze Hybride'!AR177*'Meleze Hybride'!$F$21,Thuya!AR177*Thuya!$F$21,'Chêne et feuillus divers'!AR177*'Chêne et feuillus divers'!$F$21)</f>
        <v>0</v>
      </c>
      <c r="Y193" s="184">
        <f>SUM('Pin Sylvestre'!AS177*'Pin Sylvestre'!$F$21,Douglas!AS177*Douglas!$F$21,'Pin Maritime'!AS177*'Pin Maritime'!$F$21,'Meleze Hybride'!AS177*'Meleze Hybride'!$F$21,Thuya!AS177*Thuya!$F$21,'Chêne et feuillus divers'!AS177*'Chêne et feuillus divers'!$F$21)</f>
        <v>0</v>
      </c>
      <c r="Z193" s="327">
        <f>SUM('Pin Sylvestre'!AT177*'Pin Sylvestre'!$F$21,Douglas!AT177*Douglas!$F$21,'Pin Maritime'!AT177*'Pin Maritime'!$F$21,'Meleze Hybride'!AT177*'Meleze Hybride'!$F$21,Thuya!AT177*Thuya!$F$21,'Chêne et feuillus divers'!AT177*'Chêne et feuillus divers'!$F$21)</f>
        <v>0</v>
      </c>
      <c r="AA193" s="174">
        <f t="shared" si="26"/>
        <v>0</v>
      </c>
      <c r="AB193" s="175">
        <f t="shared" si="25"/>
        <v>0</v>
      </c>
      <c r="AC193" s="174"/>
      <c r="AD193" s="174"/>
    </row>
    <row r="194" spans="14:30">
      <c r="N194" s="71">
        <v>173</v>
      </c>
      <c r="O194" s="235"/>
      <c r="P194" s="176"/>
      <c r="Q194" s="236">
        <f t="shared" si="28"/>
        <v>100.0025</v>
      </c>
      <c r="R194" s="176">
        <f t="shared" si="23"/>
        <v>7.0001750000000005</v>
      </c>
      <c r="S194" s="176">
        <f>$L$11*(1+$L$9)^N194*'Récapitulatif des résultats'!$I$11</f>
        <v>0</v>
      </c>
      <c r="T194" s="237"/>
      <c r="U194" s="176"/>
      <c r="V194" s="245">
        <f t="shared" si="24"/>
        <v>0</v>
      </c>
      <c r="W194" s="184">
        <f>SUM('Pin Sylvestre'!AQ178*'Pin Sylvestre'!$F$21,Douglas!AQ178*Douglas!$F$21,'Pin Maritime'!AQ178*'Pin Maritime'!$F$21,'Meleze Hybride'!AQ178*'Meleze Hybride'!$F$21,Thuya!AQ178*Thuya!$F$21,'Chêne et feuillus divers'!AQ178*'Chêne et feuillus divers'!$F$21)</f>
        <v>0</v>
      </c>
      <c r="X194" s="184">
        <f>SUM('Pin Sylvestre'!AR178*'Pin Sylvestre'!$F$21,Douglas!AR178*Douglas!$F$21,'Pin Maritime'!AR178*'Pin Maritime'!$F$21,'Meleze Hybride'!AR178*'Meleze Hybride'!$F$21,Thuya!AR178*Thuya!$F$21,'Chêne et feuillus divers'!AR178*'Chêne et feuillus divers'!$F$21)</f>
        <v>0</v>
      </c>
      <c r="Y194" s="184">
        <f>SUM('Pin Sylvestre'!AS178*'Pin Sylvestre'!$F$21,Douglas!AS178*Douglas!$F$21,'Pin Maritime'!AS178*'Pin Maritime'!$F$21,'Meleze Hybride'!AS178*'Meleze Hybride'!$F$21,Thuya!AS178*Thuya!$F$21,'Chêne et feuillus divers'!AS178*'Chêne et feuillus divers'!$F$21)</f>
        <v>0</v>
      </c>
      <c r="Z194" s="327">
        <f>SUM('Pin Sylvestre'!AT178*'Pin Sylvestre'!$F$21,Douglas!AT178*Douglas!$F$21,'Pin Maritime'!AT178*'Pin Maritime'!$F$21,'Meleze Hybride'!AT178*'Meleze Hybride'!$F$21,Thuya!AT178*Thuya!$F$21,'Chêne et feuillus divers'!AT178*'Chêne et feuillus divers'!$F$21)</f>
        <v>0</v>
      </c>
      <c r="AA194" s="174">
        <f t="shared" si="26"/>
        <v>0</v>
      </c>
      <c r="AB194" s="175">
        <f t="shared" si="25"/>
        <v>0</v>
      </c>
      <c r="AC194" s="174"/>
      <c r="AD194" s="174"/>
    </row>
    <row r="195" spans="14:30">
      <c r="N195" s="71">
        <v>174</v>
      </c>
      <c r="O195" s="235"/>
      <c r="P195" s="176"/>
      <c r="Q195" s="236">
        <f t="shared" si="28"/>
        <v>100.0025</v>
      </c>
      <c r="R195" s="176">
        <f t="shared" si="23"/>
        <v>7.0001750000000005</v>
      </c>
      <c r="S195" s="176">
        <f>$L$11*(1+$L$9)^N195*'Récapitulatif des résultats'!$I$11</f>
        <v>0</v>
      </c>
      <c r="T195" s="237"/>
      <c r="U195" s="176"/>
      <c r="V195" s="245">
        <f t="shared" si="24"/>
        <v>0</v>
      </c>
      <c r="W195" s="184">
        <f>SUM('Pin Sylvestre'!AQ179*'Pin Sylvestre'!$F$21,Douglas!AQ179*Douglas!$F$21,'Pin Maritime'!AQ179*'Pin Maritime'!$F$21,'Meleze Hybride'!AQ179*'Meleze Hybride'!$F$21,Thuya!AQ179*Thuya!$F$21,'Chêne et feuillus divers'!AQ179*'Chêne et feuillus divers'!$F$21)</f>
        <v>0</v>
      </c>
      <c r="X195" s="184">
        <f>SUM('Pin Sylvestre'!AR179*'Pin Sylvestre'!$F$21,Douglas!AR179*Douglas!$F$21,'Pin Maritime'!AR179*'Pin Maritime'!$F$21,'Meleze Hybride'!AR179*'Meleze Hybride'!$F$21,Thuya!AR179*Thuya!$F$21,'Chêne et feuillus divers'!AR179*'Chêne et feuillus divers'!$F$21)</f>
        <v>0</v>
      </c>
      <c r="Y195" s="184">
        <f>SUM('Pin Sylvestre'!AS179*'Pin Sylvestre'!$F$21,Douglas!AS179*Douglas!$F$21,'Pin Maritime'!AS179*'Pin Maritime'!$F$21,'Meleze Hybride'!AS179*'Meleze Hybride'!$F$21,Thuya!AS179*Thuya!$F$21,'Chêne et feuillus divers'!AS179*'Chêne et feuillus divers'!$F$21)</f>
        <v>0</v>
      </c>
      <c r="Z195" s="327">
        <f>SUM('Pin Sylvestre'!AT179*'Pin Sylvestre'!$F$21,Douglas!AT179*Douglas!$F$21,'Pin Maritime'!AT179*'Pin Maritime'!$F$21,'Meleze Hybride'!AT179*'Meleze Hybride'!$F$21,Thuya!AT179*Thuya!$F$21,'Chêne et feuillus divers'!AT179*'Chêne et feuillus divers'!$F$21)</f>
        <v>0</v>
      </c>
      <c r="AA195" s="174">
        <f t="shared" si="26"/>
        <v>0</v>
      </c>
      <c r="AB195" s="175">
        <f t="shared" si="25"/>
        <v>0</v>
      </c>
      <c r="AC195" s="174"/>
      <c r="AD195" s="174"/>
    </row>
    <row r="196" spans="14:30">
      <c r="N196" s="71">
        <v>175</v>
      </c>
      <c r="O196" s="235"/>
      <c r="P196" s="176"/>
      <c r="Q196" s="236">
        <f t="shared" si="28"/>
        <v>100.0025</v>
      </c>
      <c r="R196" s="176">
        <f t="shared" si="23"/>
        <v>7.0001750000000005</v>
      </c>
      <c r="S196" s="176">
        <f>$L$11*(1+$L$9)^N196*'Récapitulatif des résultats'!$I$11</f>
        <v>0</v>
      </c>
      <c r="T196" s="237"/>
      <c r="U196" s="176"/>
      <c r="V196" s="245">
        <f t="shared" si="24"/>
        <v>0</v>
      </c>
      <c r="W196" s="184">
        <f>SUM('Pin Sylvestre'!AQ180*'Pin Sylvestre'!$F$21,Douglas!AQ180*Douglas!$F$21,'Pin Maritime'!AQ180*'Pin Maritime'!$F$21,'Meleze Hybride'!AQ180*'Meleze Hybride'!$F$21,Thuya!AQ180*Thuya!$F$21,'Chêne et feuillus divers'!AQ180*'Chêne et feuillus divers'!$F$21)</f>
        <v>0</v>
      </c>
      <c r="X196" s="184">
        <f>SUM('Pin Sylvestre'!AR180*'Pin Sylvestre'!$F$21,Douglas!AR180*Douglas!$F$21,'Pin Maritime'!AR180*'Pin Maritime'!$F$21,'Meleze Hybride'!AR180*'Meleze Hybride'!$F$21,Thuya!AR180*Thuya!$F$21,'Chêne et feuillus divers'!AR180*'Chêne et feuillus divers'!$F$21)</f>
        <v>0</v>
      </c>
      <c r="Y196" s="184">
        <f>SUM('Pin Sylvestre'!AS180*'Pin Sylvestre'!$F$21,Douglas!AS180*Douglas!$F$21,'Pin Maritime'!AS180*'Pin Maritime'!$F$21,'Meleze Hybride'!AS180*'Meleze Hybride'!$F$21,Thuya!AS180*Thuya!$F$21,'Chêne et feuillus divers'!AS180*'Chêne et feuillus divers'!$F$21)</f>
        <v>0</v>
      </c>
      <c r="Z196" s="327">
        <f>SUM('Pin Sylvestre'!AT180*'Pin Sylvestre'!$F$21,Douglas!AT180*Douglas!$F$21,'Pin Maritime'!AT180*'Pin Maritime'!$F$21,'Meleze Hybride'!AT180*'Meleze Hybride'!$F$21,Thuya!AT180*Thuya!$F$21,'Chêne et feuillus divers'!AT180*'Chêne et feuillus divers'!$F$21)</f>
        <v>0</v>
      </c>
      <c r="AA196" s="174">
        <f t="shared" si="26"/>
        <v>0</v>
      </c>
      <c r="AB196" s="175">
        <f t="shared" si="25"/>
        <v>0</v>
      </c>
      <c r="AC196" s="174"/>
      <c r="AD196" s="174"/>
    </row>
    <row r="197" spans="14:30">
      <c r="N197" s="71">
        <v>176</v>
      </c>
      <c r="O197" s="235"/>
      <c r="P197" s="176"/>
      <c r="Q197" s="236">
        <f t="shared" si="28"/>
        <v>100.0025</v>
      </c>
      <c r="R197" s="176">
        <f t="shared" si="23"/>
        <v>7.0001750000000005</v>
      </c>
      <c r="S197" s="176">
        <f>$L$11*(1+$L$9)^N197*'Récapitulatif des résultats'!$I$11</f>
        <v>0</v>
      </c>
      <c r="T197" s="237"/>
      <c r="U197" s="176"/>
      <c r="V197" s="245">
        <f t="shared" si="24"/>
        <v>0</v>
      </c>
      <c r="W197" s="184">
        <f>SUM('Pin Sylvestre'!AQ181*'Pin Sylvestre'!$F$21,Douglas!AQ181*Douglas!$F$21,'Pin Maritime'!AQ181*'Pin Maritime'!$F$21,'Meleze Hybride'!AQ181*'Meleze Hybride'!$F$21,Thuya!AQ181*Thuya!$F$21,'Chêne et feuillus divers'!AQ181*'Chêne et feuillus divers'!$F$21)</f>
        <v>0</v>
      </c>
      <c r="X197" s="184">
        <f>SUM('Pin Sylvestre'!AR181*'Pin Sylvestre'!$F$21,Douglas!AR181*Douglas!$F$21,'Pin Maritime'!AR181*'Pin Maritime'!$F$21,'Meleze Hybride'!AR181*'Meleze Hybride'!$F$21,Thuya!AR181*Thuya!$F$21,'Chêne et feuillus divers'!AR181*'Chêne et feuillus divers'!$F$21)</f>
        <v>0</v>
      </c>
      <c r="Y197" s="184">
        <f>SUM('Pin Sylvestre'!AS181*'Pin Sylvestre'!$F$21,Douglas!AS181*Douglas!$F$21,'Pin Maritime'!AS181*'Pin Maritime'!$F$21,'Meleze Hybride'!AS181*'Meleze Hybride'!$F$21,Thuya!AS181*Thuya!$F$21,'Chêne et feuillus divers'!AS181*'Chêne et feuillus divers'!$F$21)</f>
        <v>0</v>
      </c>
      <c r="Z197" s="327">
        <f>SUM('Pin Sylvestre'!AT181*'Pin Sylvestre'!$F$21,Douglas!AT181*Douglas!$F$21,'Pin Maritime'!AT181*'Pin Maritime'!$F$21,'Meleze Hybride'!AT181*'Meleze Hybride'!$F$21,Thuya!AT181*Thuya!$F$21,'Chêne et feuillus divers'!AT181*'Chêne et feuillus divers'!$F$21)</f>
        <v>0</v>
      </c>
      <c r="AA197" s="174">
        <f t="shared" si="26"/>
        <v>0</v>
      </c>
      <c r="AB197" s="175">
        <f t="shared" si="25"/>
        <v>0</v>
      </c>
      <c r="AC197" s="174"/>
      <c r="AD197" s="174"/>
    </row>
    <row r="198" spans="14:30">
      <c r="N198" s="71">
        <v>177</v>
      </c>
      <c r="O198" s="235"/>
      <c r="P198" s="176"/>
      <c r="Q198" s="236">
        <f t="shared" si="28"/>
        <v>100.0025</v>
      </c>
      <c r="R198" s="176">
        <f t="shared" si="23"/>
        <v>7.0001750000000005</v>
      </c>
      <c r="S198" s="176">
        <f>$L$11*(1+$L$9)^N198*'Récapitulatif des résultats'!$I$11</f>
        <v>0</v>
      </c>
      <c r="T198" s="237"/>
      <c r="U198" s="176"/>
      <c r="V198" s="245">
        <f t="shared" si="24"/>
        <v>0</v>
      </c>
      <c r="W198" s="184">
        <f>SUM('Pin Sylvestre'!AQ182*'Pin Sylvestre'!$F$21,Douglas!AQ182*Douglas!$F$21,'Pin Maritime'!AQ182*'Pin Maritime'!$F$21,'Meleze Hybride'!AQ182*'Meleze Hybride'!$F$21,Thuya!AQ182*Thuya!$F$21,'Chêne et feuillus divers'!AQ182*'Chêne et feuillus divers'!$F$21)</f>
        <v>0</v>
      </c>
      <c r="X198" s="184">
        <f>SUM('Pin Sylvestre'!AR182*'Pin Sylvestre'!$F$21,Douglas!AR182*Douglas!$F$21,'Pin Maritime'!AR182*'Pin Maritime'!$F$21,'Meleze Hybride'!AR182*'Meleze Hybride'!$F$21,Thuya!AR182*Thuya!$F$21,'Chêne et feuillus divers'!AR182*'Chêne et feuillus divers'!$F$21)</f>
        <v>0</v>
      </c>
      <c r="Y198" s="184">
        <f>SUM('Pin Sylvestre'!AS182*'Pin Sylvestre'!$F$21,Douglas!AS182*Douglas!$F$21,'Pin Maritime'!AS182*'Pin Maritime'!$F$21,'Meleze Hybride'!AS182*'Meleze Hybride'!$F$21,Thuya!AS182*Thuya!$F$21,'Chêne et feuillus divers'!AS182*'Chêne et feuillus divers'!$F$21)</f>
        <v>0</v>
      </c>
      <c r="Z198" s="327">
        <f>SUM('Pin Sylvestre'!AT182*'Pin Sylvestre'!$F$21,Douglas!AT182*Douglas!$F$21,'Pin Maritime'!AT182*'Pin Maritime'!$F$21,'Meleze Hybride'!AT182*'Meleze Hybride'!$F$21,Thuya!AT182*Thuya!$F$21,'Chêne et feuillus divers'!AT182*'Chêne et feuillus divers'!$F$21)</f>
        <v>0</v>
      </c>
      <c r="AA198" s="174">
        <f t="shared" si="26"/>
        <v>0</v>
      </c>
      <c r="AB198" s="175">
        <f t="shared" si="25"/>
        <v>0</v>
      </c>
      <c r="AC198" s="174"/>
      <c r="AD198" s="174"/>
    </row>
    <row r="199" spans="14:30">
      <c r="N199" s="71">
        <v>178</v>
      </c>
      <c r="O199" s="235"/>
      <c r="P199" s="176"/>
      <c r="Q199" s="236">
        <f t="shared" si="28"/>
        <v>100.0025</v>
      </c>
      <c r="R199" s="176">
        <f t="shared" si="23"/>
        <v>7.0001750000000005</v>
      </c>
      <c r="S199" s="176">
        <f>$L$11*(1+$L$9)^N199*'Récapitulatif des résultats'!$I$11</f>
        <v>0</v>
      </c>
      <c r="T199" s="237"/>
      <c r="U199" s="176"/>
      <c r="V199" s="245">
        <f t="shared" si="24"/>
        <v>0</v>
      </c>
      <c r="W199" s="184">
        <f>SUM('Pin Sylvestre'!AQ183*'Pin Sylvestre'!$F$21,Douglas!AQ183*Douglas!$F$21,'Pin Maritime'!AQ183*'Pin Maritime'!$F$21,'Meleze Hybride'!AQ183*'Meleze Hybride'!$F$21,Thuya!AQ183*Thuya!$F$21,'Chêne et feuillus divers'!AQ183*'Chêne et feuillus divers'!$F$21)</f>
        <v>0</v>
      </c>
      <c r="X199" s="184">
        <f>SUM('Pin Sylvestre'!AR183*'Pin Sylvestre'!$F$21,Douglas!AR183*Douglas!$F$21,'Pin Maritime'!AR183*'Pin Maritime'!$F$21,'Meleze Hybride'!AR183*'Meleze Hybride'!$F$21,Thuya!AR183*Thuya!$F$21,'Chêne et feuillus divers'!AR183*'Chêne et feuillus divers'!$F$21)</f>
        <v>0</v>
      </c>
      <c r="Y199" s="184">
        <f>SUM('Pin Sylvestre'!AS183*'Pin Sylvestre'!$F$21,Douglas!AS183*Douglas!$F$21,'Pin Maritime'!AS183*'Pin Maritime'!$F$21,'Meleze Hybride'!AS183*'Meleze Hybride'!$F$21,Thuya!AS183*Thuya!$F$21,'Chêne et feuillus divers'!AS183*'Chêne et feuillus divers'!$F$21)</f>
        <v>0</v>
      </c>
      <c r="Z199" s="327">
        <f>SUM('Pin Sylvestre'!AT183*'Pin Sylvestre'!$F$21,Douglas!AT183*Douglas!$F$21,'Pin Maritime'!AT183*'Pin Maritime'!$F$21,'Meleze Hybride'!AT183*'Meleze Hybride'!$F$21,Thuya!AT183*Thuya!$F$21,'Chêne et feuillus divers'!AT183*'Chêne et feuillus divers'!$F$21)</f>
        <v>0</v>
      </c>
      <c r="AA199" s="174">
        <f t="shared" si="26"/>
        <v>0</v>
      </c>
      <c r="AB199" s="175">
        <f t="shared" si="25"/>
        <v>0</v>
      </c>
      <c r="AC199" s="174"/>
      <c r="AD199" s="174"/>
    </row>
    <row r="200" spans="14:30">
      <c r="N200" s="71">
        <v>179</v>
      </c>
      <c r="O200" s="235"/>
      <c r="P200" s="176"/>
      <c r="Q200" s="236">
        <f t="shared" si="28"/>
        <v>100.0025</v>
      </c>
      <c r="R200" s="176">
        <f t="shared" si="23"/>
        <v>7.0001750000000005</v>
      </c>
      <c r="S200" s="176">
        <f>$L$11*(1+$L$9)^N200*'Récapitulatif des résultats'!$I$11</f>
        <v>0</v>
      </c>
      <c r="T200" s="237"/>
      <c r="U200" s="176"/>
      <c r="V200" s="245">
        <f t="shared" si="24"/>
        <v>0</v>
      </c>
      <c r="W200" s="184">
        <f>SUM('Pin Sylvestre'!AQ184*'Pin Sylvestre'!$F$21,Douglas!AQ184*Douglas!$F$21,'Pin Maritime'!AQ184*'Pin Maritime'!$F$21,'Meleze Hybride'!AQ184*'Meleze Hybride'!$F$21,Thuya!AQ184*Thuya!$F$21,'Chêne et feuillus divers'!AQ184*'Chêne et feuillus divers'!$F$21)</f>
        <v>0</v>
      </c>
      <c r="X200" s="184">
        <f>SUM('Pin Sylvestre'!AR184*'Pin Sylvestre'!$F$21,Douglas!AR184*Douglas!$F$21,'Pin Maritime'!AR184*'Pin Maritime'!$F$21,'Meleze Hybride'!AR184*'Meleze Hybride'!$F$21,Thuya!AR184*Thuya!$F$21,'Chêne et feuillus divers'!AR184*'Chêne et feuillus divers'!$F$21)</f>
        <v>0</v>
      </c>
      <c r="Y200" s="184">
        <f>SUM('Pin Sylvestre'!AS184*'Pin Sylvestre'!$F$21,Douglas!AS184*Douglas!$F$21,'Pin Maritime'!AS184*'Pin Maritime'!$F$21,'Meleze Hybride'!AS184*'Meleze Hybride'!$F$21,Thuya!AS184*Thuya!$F$21,'Chêne et feuillus divers'!AS184*'Chêne et feuillus divers'!$F$21)</f>
        <v>0</v>
      </c>
      <c r="Z200" s="327">
        <f>SUM('Pin Sylvestre'!AT184*'Pin Sylvestre'!$F$21,Douglas!AT184*Douglas!$F$21,'Pin Maritime'!AT184*'Pin Maritime'!$F$21,'Meleze Hybride'!AT184*'Meleze Hybride'!$F$21,Thuya!AT184*Thuya!$F$21,'Chêne et feuillus divers'!AT184*'Chêne et feuillus divers'!$F$21)</f>
        <v>0</v>
      </c>
      <c r="AA200" s="174">
        <f t="shared" si="26"/>
        <v>0</v>
      </c>
      <c r="AB200" s="175">
        <f t="shared" si="25"/>
        <v>0</v>
      </c>
      <c r="AC200" s="174"/>
      <c r="AD200" s="174"/>
    </row>
    <row r="201" spans="14:30">
      <c r="N201" s="71">
        <v>180</v>
      </c>
      <c r="O201" s="235"/>
      <c r="P201" s="176"/>
      <c r="Q201" s="236">
        <f t="shared" si="28"/>
        <v>100.0025</v>
      </c>
      <c r="R201" s="176">
        <f t="shared" si="23"/>
        <v>7.0001750000000005</v>
      </c>
      <c r="S201" s="176">
        <f>$L$11*(1+$L$9)^N201*'Récapitulatif des résultats'!$I$11</f>
        <v>0</v>
      </c>
      <c r="T201" s="237"/>
      <c r="U201" s="176"/>
      <c r="V201" s="245">
        <f t="shared" si="24"/>
        <v>0</v>
      </c>
      <c r="W201" s="184">
        <f>SUM('Pin Sylvestre'!AQ185*'Pin Sylvestre'!$F$21,Douglas!AQ185*Douglas!$F$21,'Pin Maritime'!AQ185*'Pin Maritime'!$F$21,'Meleze Hybride'!AQ185*'Meleze Hybride'!$F$21,Thuya!AQ185*Thuya!$F$21,'Chêne et feuillus divers'!AQ185*'Chêne et feuillus divers'!$F$21)</f>
        <v>0</v>
      </c>
      <c r="X201" s="184">
        <f>SUM('Pin Sylvestre'!AR185*'Pin Sylvestre'!$F$21,Douglas!AR185*Douglas!$F$21,'Pin Maritime'!AR185*'Pin Maritime'!$F$21,'Meleze Hybride'!AR185*'Meleze Hybride'!$F$21,Thuya!AR185*Thuya!$F$21,'Chêne et feuillus divers'!AR185*'Chêne et feuillus divers'!$F$21)</f>
        <v>0</v>
      </c>
      <c r="Y201" s="184">
        <f>SUM('Pin Sylvestre'!AS185*'Pin Sylvestre'!$F$21,Douglas!AS185*Douglas!$F$21,'Pin Maritime'!AS185*'Pin Maritime'!$F$21,'Meleze Hybride'!AS185*'Meleze Hybride'!$F$21,Thuya!AS185*Thuya!$F$21,'Chêne et feuillus divers'!AS185*'Chêne et feuillus divers'!$F$21)</f>
        <v>0</v>
      </c>
      <c r="Z201" s="327">
        <f>SUM('Pin Sylvestre'!AT185*'Pin Sylvestre'!$F$21,Douglas!AT185*Douglas!$F$21,'Pin Maritime'!AT185*'Pin Maritime'!$F$21,'Meleze Hybride'!AT185*'Meleze Hybride'!$F$21,Thuya!AT185*Thuya!$F$21,'Chêne et feuillus divers'!AT185*'Chêne et feuillus divers'!$F$21)</f>
        <v>0</v>
      </c>
      <c r="AA201" s="174">
        <f t="shared" si="26"/>
        <v>0</v>
      </c>
      <c r="AB201" s="175">
        <f t="shared" si="25"/>
        <v>0</v>
      </c>
      <c r="AC201" s="174"/>
      <c r="AD201" s="174"/>
    </row>
    <row r="202" spans="14:30">
      <c r="N202" s="71">
        <v>181</v>
      </c>
      <c r="O202" s="235"/>
      <c r="P202" s="176"/>
      <c r="Q202" s="236">
        <f t="shared" si="28"/>
        <v>100.0025</v>
      </c>
      <c r="R202" s="176">
        <f t="shared" si="23"/>
        <v>7.0001750000000005</v>
      </c>
      <c r="S202" s="176">
        <f>$L$11*(1+$L$9)^N202*'Récapitulatif des résultats'!$I$11</f>
        <v>0</v>
      </c>
      <c r="T202" s="237"/>
      <c r="U202" s="176"/>
      <c r="V202" s="245">
        <f t="shared" si="24"/>
        <v>0</v>
      </c>
      <c r="W202" s="184">
        <f>SUM('Pin Sylvestre'!AQ186*'Pin Sylvestre'!$F$21,Douglas!AQ186*Douglas!$F$21,'Pin Maritime'!AQ186*'Pin Maritime'!$F$21,'Meleze Hybride'!AQ186*'Meleze Hybride'!$F$21,Thuya!AQ186*Thuya!$F$21,'Chêne et feuillus divers'!AQ186*'Chêne et feuillus divers'!$F$21)</f>
        <v>0</v>
      </c>
      <c r="X202" s="184">
        <f>SUM('Pin Sylvestre'!AR186*'Pin Sylvestre'!$F$21,Douglas!AR186*Douglas!$F$21,'Pin Maritime'!AR186*'Pin Maritime'!$F$21,'Meleze Hybride'!AR186*'Meleze Hybride'!$F$21,Thuya!AR186*Thuya!$F$21,'Chêne et feuillus divers'!AR186*'Chêne et feuillus divers'!$F$21)</f>
        <v>0</v>
      </c>
      <c r="Y202" s="184">
        <f>SUM('Pin Sylvestre'!AS186*'Pin Sylvestre'!$F$21,Douglas!AS186*Douglas!$F$21,'Pin Maritime'!AS186*'Pin Maritime'!$F$21,'Meleze Hybride'!AS186*'Meleze Hybride'!$F$21,Thuya!AS186*Thuya!$F$21,'Chêne et feuillus divers'!AS186*'Chêne et feuillus divers'!$F$21)</f>
        <v>0</v>
      </c>
      <c r="Z202" s="327">
        <f>SUM('Pin Sylvestre'!AT186*'Pin Sylvestre'!$F$21,Douglas!AT186*Douglas!$F$21,'Pin Maritime'!AT186*'Pin Maritime'!$F$21,'Meleze Hybride'!AT186*'Meleze Hybride'!$F$21,Thuya!AT186*Thuya!$F$21,'Chêne et feuillus divers'!AT186*'Chêne et feuillus divers'!$F$21)</f>
        <v>0</v>
      </c>
      <c r="AA202" s="174">
        <f t="shared" si="26"/>
        <v>0</v>
      </c>
      <c r="AB202" s="175">
        <f t="shared" si="25"/>
        <v>0</v>
      </c>
      <c r="AC202" s="174"/>
      <c r="AD202" s="174"/>
    </row>
    <row r="203" spans="14:30">
      <c r="N203" s="71">
        <v>182</v>
      </c>
      <c r="O203" s="235"/>
      <c r="P203" s="176"/>
      <c r="Q203" s="236">
        <f t="shared" si="28"/>
        <v>100.0025</v>
      </c>
      <c r="R203" s="176">
        <f t="shared" si="23"/>
        <v>7.0001750000000005</v>
      </c>
      <c r="S203" s="176">
        <f>$L$11*(1+$L$9)^N203*'Récapitulatif des résultats'!$I$11</f>
        <v>0</v>
      </c>
      <c r="T203" s="237"/>
      <c r="U203" s="176"/>
      <c r="V203" s="245">
        <f t="shared" si="24"/>
        <v>0</v>
      </c>
      <c r="W203" s="184">
        <f>SUM('Pin Sylvestre'!AQ187*'Pin Sylvestre'!$F$21,Douglas!AQ187*Douglas!$F$21,'Pin Maritime'!AQ187*'Pin Maritime'!$F$21,'Meleze Hybride'!AQ187*'Meleze Hybride'!$F$21,Thuya!AQ187*Thuya!$F$21,'Chêne et feuillus divers'!AQ187*'Chêne et feuillus divers'!$F$21)</f>
        <v>0</v>
      </c>
      <c r="X203" s="184">
        <f>SUM('Pin Sylvestre'!AR187*'Pin Sylvestre'!$F$21,Douglas!AR187*Douglas!$F$21,'Pin Maritime'!AR187*'Pin Maritime'!$F$21,'Meleze Hybride'!AR187*'Meleze Hybride'!$F$21,Thuya!AR187*Thuya!$F$21,'Chêne et feuillus divers'!AR187*'Chêne et feuillus divers'!$F$21)</f>
        <v>0</v>
      </c>
      <c r="Y203" s="184">
        <f>SUM('Pin Sylvestre'!AS187*'Pin Sylvestre'!$F$21,Douglas!AS187*Douglas!$F$21,'Pin Maritime'!AS187*'Pin Maritime'!$F$21,'Meleze Hybride'!AS187*'Meleze Hybride'!$F$21,Thuya!AS187*Thuya!$F$21,'Chêne et feuillus divers'!AS187*'Chêne et feuillus divers'!$F$21)</f>
        <v>0</v>
      </c>
      <c r="Z203" s="327">
        <f>SUM('Pin Sylvestre'!AT187*'Pin Sylvestre'!$F$21,Douglas!AT187*Douglas!$F$21,'Pin Maritime'!AT187*'Pin Maritime'!$F$21,'Meleze Hybride'!AT187*'Meleze Hybride'!$F$21,Thuya!AT187*Thuya!$F$21,'Chêne et feuillus divers'!AT187*'Chêne et feuillus divers'!$F$21)</f>
        <v>0</v>
      </c>
      <c r="AA203" s="174">
        <f t="shared" si="26"/>
        <v>0</v>
      </c>
      <c r="AB203" s="175">
        <f t="shared" si="25"/>
        <v>0</v>
      </c>
      <c r="AC203" s="174"/>
      <c r="AD203" s="174"/>
    </row>
    <row r="204" spans="14:30">
      <c r="N204" s="71">
        <v>183</v>
      </c>
      <c r="O204" s="235"/>
      <c r="P204" s="176"/>
      <c r="Q204" s="236">
        <f t="shared" si="28"/>
        <v>100.0025</v>
      </c>
      <c r="R204" s="176">
        <f t="shared" si="23"/>
        <v>7.0001750000000005</v>
      </c>
      <c r="S204" s="176">
        <f>$L$11*(1+$L$9)^N204*'Récapitulatif des résultats'!$I$11</f>
        <v>0</v>
      </c>
      <c r="T204" s="237"/>
      <c r="U204" s="176"/>
      <c r="V204" s="245">
        <f t="shared" si="24"/>
        <v>0</v>
      </c>
      <c r="W204" s="184">
        <f>SUM('Pin Sylvestre'!AQ188*'Pin Sylvestre'!$F$21,Douglas!AQ188*Douglas!$F$21,'Pin Maritime'!AQ188*'Pin Maritime'!$F$21,'Meleze Hybride'!AQ188*'Meleze Hybride'!$F$21,Thuya!AQ188*Thuya!$F$21,'Chêne et feuillus divers'!AQ188*'Chêne et feuillus divers'!$F$21)</f>
        <v>0</v>
      </c>
      <c r="X204" s="184">
        <f>SUM('Pin Sylvestre'!AR188*'Pin Sylvestre'!$F$21,Douglas!AR188*Douglas!$F$21,'Pin Maritime'!AR188*'Pin Maritime'!$F$21,'Meleze Hybride'!AR188*'Meleze Hybride'!$F$21,Thuya!AR188*Thuya!$F$21,'Chêne et feuillus divers'!AR188*'Chêne et feuillus divers'!$F$21)</f>
        <v>0</v>
      </c>
      <c r="Y204" s="184">
        <f>SUM('Pin Sylvestre'!AS188*'Pin Sylvestre'!$F$21,Douglas!AS188*Douglas!$F$21,'Pin Maritime'!AS188*'Pin Maritime'!$F$21,'Meleze Hybride'!AS188*'Meleze Hybride'!$F$21,Thuya!AS188*Thuya!$F$21,'Chêne et feuillus divers'!AS188*'Chêne et feuillus divers'!$F$21)</f>
        <v>0</v>
      </c>
      <c r="Z204" s="327">
        <f>SUM('Pin Sylvestre'!AT188*'Pin Sylvestre'!$F$21,Douglas!AT188*Douglas!$F$21,'Pin Maritime'!AT188*'Pin Maritime'!$F$21,'Meleze Hybride'!AT188*'Meleze Hybride'!$F$21,Thuya!AT188*Thuya!$F$21,'Chêne et feuillus divers'!AT188*'Chêne et feuillus divers'!$F$21)</f>
        <v>0</v>
      </c>
      <c r="AA204" s="174">
        <f t="shared" si="26"/>
        <v>0</v>
      </c>
      <c r="AB204" s="175">
        <f t="shared" si="25"/>
        <v>0</v>
      </c>
      <c r="AC204" s="174"/>
      <c r="AD204" s="174"/>
    </row>
    <row r="205" spans="14:30">
      <c r="N205" s="71">
        <v>184</v>
      </c>
      <c r="O205" s="235"/>
      <c r="P205" s="176"/>
      <c r="Q205" s="236">
        <f t="shared" si="28"/>
        <v>100.0025</v>
      </c>
      <c r="R205" s="176">
        <f t="shared" si="23"/>
        <v>7.0001750000000005</v>
      </c>
      <c r="S205" s="176">
        <f>$L$11*(1+$L$9)^N205*'Récapitulatif des résultats'!$I$11</f>
        <v>0</v>
      </c>
      <c r="T205" s="237"/>
      <c r="U205" s="176"/>
      <c r="V205" s="245">
        <f t="shared" si="24"/>
        <v>0</v>
      </c>
      <c r="W205" s="184">
        <f>SUM('Pin Sylvestre'!AQ189*'Pin Sylvestre'!$F$21,Douglas!AQ189*Douglas!$F$21,'Pin Maritime'!AQ189*'Pin Maritime'!$F$21,'Meleze Hybride'!AQ189*'Meleze Hybride'!$F$21,Thuya!AQ189*Thuya!$F$21,'Chêne et feuillus divers'!AQ189*'Chêne et feuillus divers'!$F$21)</f>
        <v>0</v>
      </c>
      <c r="X205" s="184">
        <f>SUM('Pin Sylvestre'!AR189*'Pin Sylvestre'!$F$21,Douglas!AR189*Douglas!$F$21,'Pin Maritime'!AR189*'Pin Maritime'!$F$21,'Meleze Hybride'!AR189*'Meleze Hybride'!$F$21,Thuya!AR189*Thuya!$F$21,'Chêne et feuillus divers'!AR189*'Chêne et feuillus divers'!$F$21)</f>
        <v>0</v>
      </c>
      <c r="Y205" s="184">
        <f>SUM('Pin Sylvestre'!AS189*'Pin Sylvestre'!$F$21,Douglas!AS189*Douglas!$F$21,'Pin Maritime'!AS189*'Pin Maritime'!$F$21,'Meleze Hybride'!AS189*'Meleze Hybride'!$F$21,Thuya!AS189*Thuya!$F$21,'Chêne et feuillus divers'!AS189*'Chêne et feuillus divers'!$F$21)</f>
        <v>0</v>
      </c>
      <c r="Z205" s="327">
        <f>SUM('Pin Sylvestre'!AT189*'Pin Sylvestre'!$F$21,Douglas!AT189*Douglas!$F$21,'Pin Maritime'!AT189*'Pin Maritime'!$F$21,'Meleze Hybride'!AT189*'Meleze Hybride'!$F$21,Thuya!AT189*Thuya!$F$21,'Chêne et feuillus divers'!AT189*'Chêne et feuillus divers'!$F$21)</f>
        <v>0</v>
      </c>
      <c r="AA205" s="174">
        <f t="shared" si="26"/>
        <v>0</v>
      </c>
      <c r="AB205" s="175">
        <f t="shared" si="25"/>
        <v>0</v>
      </c>
      <c r="AC205" s="174"/>
      <c r="AD205" s="174"/>
    </row>
    <row r="206" spans="14:30">
      <c r="N206" s="71">
        <v>185</v>
      </c>
      <c r="O206" s="235"/>
      <c r="P206" s="176"/>
      <c r="Q206" s="236">
        <f t="shared" si="28"/>
        <v>100.0025</v>
      </c>
      <c r="R206" s="176">
        <f t="shared" si="23"/>
        <v>7.0001750000000005</v>
      </c>
      <c r="S206" s="176">
        <f>$L$11*(1+$L$9)^N206*'Récapitulatif des résultats'!$I$11</f>
        <v>0</v>
      </c>
      <c r="T206" s="237"/>
      <c r="U206" s="176"/>
      <c r="V206" s="245">
        <f t="shared" si="24"/>
        <v>0</v>
      </c>
      <c r="W206" s="184">
        <f>SUM('Pin Sylvestre'!AQ190*'Pin Sylvestre'!$F$21,Douglas!AQ190*Douglas!$F$21,'Pin Maritime'!AQ190*'Pin Maritime'!$F$21,'Meleze Hybride'!AQ190*'Meleze Hybride'!$F$21,Thuya!AQ190*Thuya!$F$21,'Chêne et feuillus divers'!AQ190*'Chêne et feuillus divers'!$F$21)</f>
        <v>0</v>
      </c>
      <c r="X206" s="184">
        <f>SUM('Pin Sylvestre'!AR190*'Pin Sylvestre'!$F$21,Douglas!AR190*Douglas!$F$21,'Pin Maritime'!AR190*'Pin Maritime'!$F$21,'Meleze Hybride'!AR190*'Meleze Hybride'!$F$21,Thuya!AR190*Thuya!$F$21,'Chêne et feuillus divers'!AR190*'Chêne et feuillus divers'!$F$21)</f>
        <v>0</v>
      </c>
      <c r="Y206" s="184">
        <f>SUM('Pin Sylvestre'!AS190*'Pin Sylvestre'!$F$21,Douglas!AS190*Douglas!$F$21,'Pin Maritime'!AS190*'Pin Maritime'!$F$21,'Meleze Hybride'!AS190*'Meleze Hybride'!$F$21,Thuya!AS190*Thuya!$F$21,'Chêne et feuillus divers'!AS190*'Chêne et feuillus divers'!$F$21)</f>
        <v>0</v>
      </c>
      <c r="Z206" s="327">
        <f>SUM('Pin Sylvestre'!AT190*'Pin Sylvestre'!$F$21,Douglas!AT190*Douglas!$F$21,'Pin Maritime'!AT190*'Pin Maritime'!$F$21,'Meleze Hybride'!AT190*'Meleze Hybride'!$F$21,Thuya!AT190*Thuya!$F$21,'Chêne et feuillus divers'!AT190*'Chêne et feuillus divers'!$F$21)</f>
        <v>0</v>
      </c>
      <c r="AA206" s="174">
        <f t="shared" si="26"/>
        <v>0</v>
      </c>
      <c r="AB206" s="175">
        <f t="shared" si="25"/>
        <v>0</v>
      </c>
      <c r="AC206" s="174"/>
      <c r="AD206" s="174"/>
    </row>
    <row r="207" spans="14:30">
      <c r="N207" s="71">
        <v>186</v>
      </c>
      <c r="O207" s="235"/>
      <c r="P207" s="176"/>
      <c r="Q207" s="236">
        <f t="shared" si="28"/>
        <v>100.0025</v>
      </c>
      <c r="R207" s="176">
        <f t="shared" si="23"/>
        <v>7.0001750000000005</v>
      </c>
      <c r="S207" s="176">
        <f>$L$11*(1+$L$9)^N207*'Récapitulatif des résultats'!$I$11</f>
        <v>0</v>
      </c>
      <c r="T207" s="237"/>
      <c r="U207" s="176"/>
      <c r="V207" s="245">
        <f t="shared" si="24"/>
        <v>0</v>
      </c>
      <c r="W207" s="184">
        <f>SUM('Pin Sylvestre'!AQ191*'Pin Sylvestre'!$F$21,Douglas!AQ191*Douglas!$F$21,'Pin Maritime'!AQ191*'Pin Maritime'!$F$21,'Meleze Hybride'!AQ191*'Meleze Hybride'!$F$21,Thuya!AQ191*Thuya!$F$21,'Chêne et feuillus divers'!AQ191*'Chêne et feuillus divers'!$F$21)</f>
        <v>0</v>
      </c>
      <c r="X207" s="184">
        <f>SUM('Pin Sylvestre'!AR191*'Pin Sylvestre'!$F$21,Douglas!AR191*Douglas!$F$21,'Pin Maritime'!AR191*'Pin Maritime'!$F$21,'Meleze Hybride'!AR191*'Meleze Hybride'!$F$21,Thuya!AR191*Thuya!$F$21,'Chêne et feuillus divers'!AR191*'Chêne et feuillus divers'!$F$21)</f>
        <v>0</v>
      </c>
      <c r="Y207" s="184">
        <f>SUM('Pin Sylvestre'!AS191*'Pin Sylvestre'!$F$21,Douglas!AS191*Douglas!$F$21,'Pin Maritime'!AS191*'Pin Maritime'!$F$21,'Meleze Hybride'!AS191*'Meleze Hybride'!$F$21,Thuya!AS191*Thuya!$F$21,'Chêne et feuillus divers'!AS191*'Chêne et feuillus divers'!$F$21)</f>
        <v>0</v>
      </c>
      <c r="Z207" s="327">
        <f>SUM('Pin Sylvestre'!AT191*'Pin Sylvestre'!$F$21,Douglas!AT191*Douglas!$F$21,'Pin Maritime'!AT191*'Pin Maritime'!$F$21,'Meleze Hybride'!AT191*'Meleze Hybride'!$F$21,Thuya!AT191*Thuya!$F$21,'Chêne et feuillus divers'!AT191*'Chêne et feuillus divers'!$F$21)</f>
        <v>0</v>
      </c>
      <c r="AA207" s="174">
        <f t="shared" si="26"/>
        <v>0</v>
      </c>
      <c r="AB207" s="175">
        <f t="shared" si="25"/>
        <v>0</v>
      </c>
      <c r="AC207" s="174"/>
      <c r="AD207" s="174"/>
    </row>
    <row r="208" spans="14:30">
      <c r="N208" s="71">
        <v>187</v>
      </c>
      <c r="O208" s="235"/>
      <c r="P208" s="176"/>
      <c r="Q208" s="236">
        <f t="shared" si="28"/>
        <v>100.0025</v>
      </c>
      <c r="R208" s="176">
        <f t="shared" si="23"/>
        <v>7.0001750000000005</v>
      </c>
      <c r="S208" s="176">
        <f>$L$11*(1+$L$9)^N208*'Récapitulatif des résultats'!$I$11</f>
        <v>0</v>
      </c>
      <c r="T208" s="237"/>
      <c r="U208" s="176"/>
      <c r="V208" s="245">
        <f t="shared" si="24"/>
        <v>0</v>
      </c>
      <c r="W208" s="184">
        <f>SUM('Pin Sylvestre'!AQ192*'Pin Sylvestre'!$F$21,Douglas!AQ192*Douglas!$F$21,'Pin Maritime'!AQ192*'Pin Maritime'!$F$21,'Meleze Hybride'!AQ192*'Meleze Hybride'!$F$21,Thuya!AQ192*Thuya!$F$21,'Chêne et feuillus divers'!AQ192*'Chêne et feuillus divers'!$F$21)</f>
        <v>0</v>
      </c>
      <c r="X208" s="184">
        <f>SUM('Pin Sylvestre'!AR192*'Pin Sylvestre'!$F$21,Douglas!AR192*Douglas!$F$21,'Pin Maritime'!AR192*'Pin Maritime'!$F$21,'Meleze Hybride'!AR192*'Meleze Hybride'!$F$21,Thuya!AR192*Thuya!$F$21,'Chêne et feuillus divers'!AR192*'Chêne et feuillus divers'!$F$21)</f>
        <v>0</v>
      </c>
      <c r="Y208" s="184">
        <f>SUM('Pin Sylvestre'!AS192*'Pin Sylvestre'!$F$21,Douglas!AS192*Douglas!$F$21,'Pin Maritime'!AS192*'Pin Maritime'!$F$21,'Meleze Hybride'!AS192*'Meleze Hybride'!$F$21,Thuya!AS192*Thuya!$F$21,'Chêne et feuillus divers'!AS192*'Chêne et feuillus divers'!$F$21)</f>
        <v>0</v>
      </c>
      <c r="Z208" s="327">
        <f>SUM('Pin Sylvestre'!AT192*'Pin Sylvestre'!$F$21,Douglas!AT192*Douglas!$F$21,'Pin Maritime'!AT192*'Pin Maritime'!$F$21,'Meleze Hybride'!AT192*'Meleze Hybride'!$F$21,Thuya!AT192*Thuya!$F$21,'Chêne et feuillus divers'!AT192*'Chêne et feuillus divers'!$F$21)</f>
        <v>0</v>
      </c>
      <c r="AA208" s="174">
        <f t="shared" si="26"/>
        <v>0</v>
      </c>
      <c r="AB208" s="175">
        <f t="shared" si="25"/>
        <v>0</v>
      </c>
      <c r="AC208" s="174"/>
      <c r="AD208" s="174"/>
    </row>
    <row r="209" spans="14:30">
      <c r="N209" s="71">
        <v>188</v>
      </c>
      <c r="O209" s="235"/>
      <c r="P209" s="176"/>
      <c r="Q209" s="236">
        <f t="shared" si="28"/>
        <v>100.0025</v>
      </c>
      <c r="R209" s="176">
        <f t="shared" si="23"/>
        <v>7.0001750000000005</v>
      </c>
      <c r="S209" s="176">
        <f>$L$11*(1+$L$9)^N209*'Récapitulatif des résultats'!$I$11</f>
        <v>0</v>
      </c>
      <c r="T209" s="237"/>
      <c r="U209" s="176"/>
      <c r="V209" s="245">
        <f t="shared" si="24"/>
        <v>0</v>
      </c>
      <c r="W209" s="184">
        <f>SUM('Pin Sylvestre'!AQ193*'Pin Sylvestre'!$F$21,Douglas!AQ193*Douglas!$F$21,'Pin Maritime'!AQ193*'Pin Maritime'!$F$21,'Meleze Hybride'!AQ193*'Meleze Hybride'!$F$21,Thuya!AQ193*Thuya!$F$21,'Chêne et feuillus divers'!AQ193*'Chêne et feuillus divers'!$F$21)</f>
        <v>0</v>
      </c>
      <c r="X209" s="184">
        <f>SUM('Pin Sylvestre'!AR193*'Pin Sylvestre'!$F$21,Douglas!AR193*Douglas!$F$21,'Pin Maritime'!AR193*'Pin Maritime'!$F$21,'Meleze Hybride'!AR193*'Meleze Hybride'!$F$21,Thuya!AR193*Thuya!$F$21,'Chêne et feuillus divers'!AR193*'Chêne et feuillus divers'!$F$21)</f>
        <v>0</v>
      </c>
      <c r="Y209" s="184">
        <f>SUM('Pin Sylvestre'!AS193*'Pin Sylvestre'!$F$21,Douglas!AS193*Douglas!$F$21,'Pin Maritime'!AS193*'Pin Maritime'!$F$21,'Meleze Hybride'!AS193*'Meleze Hybride'!$F$21,Thuya!AS193*Thuya!$F$21,'Chêne et feuillus divers'!AS193*'Chêne et feuillus divers'!$F$21)</f>
        <v>0</v>
      </c>
      <c r="Z209" s="327">
        <f>SUM('Pin Sylvestre'!AT193*'Pin Sylvestre'!$F$21,Douglas!AT193*Douglas!$F$21,'Pin Maritime'!AT193*'Pin Maritime'!$F$21,'Meleze Hybride'!AT193*'Meleze Hybride'!$F$21,Thuya!AT193*Thuya!$F$21,'Chêne et feuillus divers'!AT193*'Chêne et feuillus divers'!$F$21)</f>
        <v>0</v>
      </c>
      <c r="AA209" s="174">
        <f t="shared" si="26"/>
        <v>0</v>
      </c>
      <c r="AB209" s="175">
        <f t="shared" si="25"/>
        <v>0</v>
      </c>
      <c r="AC209" s="174"/>
      <c r="AD209" s="174"/>
    </row>
    <row r="210" spans="14:30">
      <c r="N210" s="71">
        <v>189</v>
      </c>
      <c r="O210" s="235"/>
      <c r="P210" s="176"/>
      <c r="Q210" s="236">
        <f t="shared" si="28"/>
        <v>100.0025</v>
      </c>
      <c r="R210" s="176">
        <f t="shared" si="23"/>
        <v>7.0001750000000005</v>
      </c>
      <c r="S210" s="176">
        <f>$L$11*(1+$L$9)^N210*'Récapitulatif des résultats'!$I$11</f>
        <v>0</v>
      </c>
      <c r="T210" s="237"/>
      <c r="U210" s="176"/>
      <c r="V210" s="245">
        <f t="shared" si="24"/>
        <v>0</v>
      </c>
      <c r="W210" s="184">
        <f>SUM('Pin Sylvestre'!AQ194*'Pin Sylvestre'!$F$21,Douglas!AQ194*Douglas!$F$21,'Pin Maritime'!AQ194*'Pin Maritime'!$F$21,'Meleze Hybride'!AQ194*'Meleze Hybride'!$F$21,Thuya!AQ194*Thuya!$F$21,'Chêne et feuillus divers'!AQ194*'Chêne et feuillus divers'!$F$21)</f>
        <v>0</v>
      </c>
      <c r="X210" s="184">
        <f>SUM('Pin Sylvestre'!AR194*'Pin Sylvestre'!$F$21,Douglas!AR194*Douglas!$F$21,'Pin Maritime'!AR194*'Pin Maritime'!$F$21,'Meleze Hybride'!AR194*'Meleze Hybride'!$F$21,Thuya!AR194*Thuya!$F$21,'Chêne et feuillus divers'!AR194*'Chêne et feuillus divers'!$F$21)</f>
        <v>0</v>
      </c>
      <c r="Y210" s="184">
        <f>SUM('Pin Sylvestre'!AS194*'Pin Sylvestre'!$F$21,Douglas!AS194*Douglas!$F$21,'Pin Maritime'!AS194*'Pin Maritime'!$F$21,'Meleze Hybride'!AS194*'Meleze Hybride'!$F$21,Thuya!AS194*Thuya!$F$21,'Chêne et feuillus divers'!AS194*'Chêne et feuillus divers'!$F$21)</f>
        <v>0</v>
      </c>
      <c r="Z210" s="327">
        <f>SUM('Pin Sylvestre'!AT194*'Pin Sylvestre'!$F$21,Douglas!AT194*Douglas!$F$21,'Pin Maritime'!AT194*'Pin Maritime'!$F$21,'Meleze Hybride'!AT194*'Meleze Hybride'!$F$21,Thuya!AT194*Thuya!$F$21,'Chêne et feuillus divers'!AT194*'Chêne et feuillus divers'!$F$21)</f>
        <v>0</v>
      </c>
      <c r="AA210" s="174">
        <f t="shared" si="26"/>
        <v>0</v>
      </c>
      <c r="AB210" s="175">
        <f t="shared" si="25"/>
        <v>0</v>
      </c>
      <c r="AC210" s="174"/>
      <c r="AD210" s="174"/>
    </row>
    <row r="211" spans="14:30">
      <c r="N211" s="71">
        <v>190</v>
      </c>
      <c r="O211" s="235"/>
      <c r="P211" s="176"/>
      <c r="Q211" s="236">
        <f t="shared" si="28"/>
        <v>100.0025</v>
      </c>
      <c r="R211" s="176">
        <f t="shared" si="23"/>
        <v>7.0001750000000005</v>
      </c>
      <c r="S211" s="176">
        <f>$L$11*(1+$L$9)^N211*'Récapitulatif des résultats'!$I$11</f>
        <v>0</v>
      </c>
      <c r="T211" s="237"/>
      <c r="U211" s="176"/>
      <c r="V211" s="245">
        <f t="shared" si="24"/>
        <v>0</v>
      </c>
      <c r="W211" s="184">
        <f>SUM('Pin Sylvestre'!AQ195*'Pin Sylvestre'!$F$21,Douglas!AQ195*Douglas!$F$21,'Pin Maritime'!AQ195*'Pin Maritime'!$F$21,'Meleze Hybride'!AQ195*'Meleze Hybride'!$F$21,Thuya!AQ195*Thuya!$F$21,'Chêne et feuillus divers'!AQ195*'Chêne et feuillus divers'!$F$21)</f>
        <v>0</v>
      </c>
      <c r="X211" s="184">
        <f>SUM('Pin Sylvestre'!AR195*'Pin Sylvestre'!$F$21,Douglas!AR195*Douglas!$F$21,'Pin Maritime'!AR195*'Pin Maritime'!$F$21,'Meleze Hybride'!AR195*'Meleze Hybride'!$F$21,Thuya!AR195*Thuya!$F$21,'Chêne et feuillus divers'!AR195*'Chêne et feuillus divers'!$F$21)</f>
        <v>0</v>
      </c>
      <c r="Y211" s="184">
        <f>SUM('Pin Sylvestre'!AS195*'Pin Sylvestre'!$F$21,Douglas!AS195*Douglas!$F$21,'Pin Maritime'!AS195*'Pin Maritime'!$F$21,'Meleze Hybride'!AS195*'Meleze Hybride'!$F$21,Thuya!AS195*Thuya!$F$21,'Chêne et feuillus divers'!AS195*'Chêne et feuillus divers'!$F$21)</f>
        <v>0</v>
      </c>
      <c r="Z211" s="327">
        <f>SUM('Pin Sylvestre'!AT195*'Pin Sylvestre'!$F$21,Douglas!AT195*Douglas!$F$21,'Pin Maritime'!AT195*'Pin Maritime'!$F$21,'Meleze Hybride'!AT195*'Meleze Hybride'!$F$21,Thuya!AT195*Thuya!$F$21,'Chêne et feuillus divers'!AT195*'Chêne et feuillus divers'!$F$21)</f>
        <v>0</v>
      </c>
      <c r="AA211" s="174">
        <f t="shared" si="26"/>
        <v>0</v>
      </c>
      <c r="AB211" s="175">
        <f t="shared" si="25"/>
        <v>0</v>
      </c>
      <c r="AC211" s="174"/>
      <c r="AD211" s="174"/>
    </row>
    <row r="212" spans="14:30">
      <c r="N212" s="71">
        <v>191</v>
      </c>
      <c r="O212" s="235"/>
      <c r="P212" s="176"/>
      <c r="Q212" s="236">
        <f t="shared" si="28"/>
        <v>100.0025</v>
      </c>
      <c r="R212" s="176">
        <f t="shared" si="23"/>
        <v>7.0001750000000005</v>
      </c>
      <c r="S212" s="176">
        <f>$L$11*(1+$L$9)^N212*'Récapitulatif des résultats'!$I$11</f>
        <v>0</v>
      </c>
      <c r="T212" s="237"/>
      <c r="U212" s="176"/>
      <c r="V212" s="245">
        <f t="shared" si="24"/>
        <v>0</v>
      </c>
      <c r="W212" s="184">
        <f>SUM('Pin Sylvestre'!AQ196*'Pin Sylvestre'!$F$21,Douglas!AQ196*Douglas!$F$21,'Pin Maritime'!AQ196*'Pin Maritime'!$F$21,'Meleze Hybride'!AQ196*'Meleze Hybride'!$F$21,Thuya!AQ196*Thuya!$F$21,'Chêne et feuillus divers'!AQ196*'Chêne et feuillus divers'!$F$21)</f>
        <v>0</v>
      </c>
      <c r="X212" s="184">
        <f>SUM('Pin Sylvestre'!AR196*'Pin Sylvestre'!$F$21,Douglas!AR196*Douglas!$F$21,'Pin Maritime'!AR196*'Pin Maritime'!$F$21,'Meleze Hybride'!AR196*'Meleze Hybride'!$F$21,Thuya!AR196*Thuya!$F$21,'Chêne et feuillus divers'!AR196*'Chêne et feuillus divers'!$F$21)</f>
        <v>0</v>
      </c>
      <c r="Y212" s="184">
        <f>SUM('Pin Sylvestre'!AS196*'Pin Sylvestre'!$F$21,Douglas!AS196*Douglas!$F$21,'Pin Maritime'!AS196*'Pin Maritime'!$F$21,'Meleze Hybride'!AS196*'Meleze Hybride'!$F$21,Thuya!AS196*Thuya!$F$21,'Chêne et feuillus divers'!AS196*'Chêne et feuillus divers'!$F$21)</f>
        <v>0</v>
      </c>
      <c r="Z212" s="327">
        <f>SUM('Pin Sylvestre'!AT196*'Pin Sylvestre'!$F$21,Douglas!AT196*Douglas!$F$21,'Pin Maritime'!AT196*'Pin Maritime'!$F$21,'Meleze Hybride'!AT196*'Meleze Hybride'!$F$21,Thuya!AT196*Thuya!$F$21,'Chêne et feuillus divers'!AT196*'Chêne et feuillus divers'!$F$21)</f>
        <v>0</v>
      </c>
      <c r="AA212" s="174">
        <f t="shared" si="26"/>
        <v>0</v>
      </c>
      <c r="AB212" s="175">
        <f t="shared" si="25"/>
        <v>0</v>
      </c>
      <c r="AC212" s="174"/>
      <c r="AD212" s="174"/>
    </row>
    <row r="213" spans="14:30">
      <c r="N213" s="71">
        <v>192</v>
      </c>
      <c r="O213" s="235"/>
      <c r="P213" s="176"/>
      <c r="Q213" s="236">
        <f t="shared" si="28"/>
        <v>100.0025</v>
      </c>
      <c r="R213" s="176">
        <f t="shared" ref="R213:R221" si="29">$L$10*SUM(O213:Q213)</f>
        <v>7.0001750000000005</v>
      </c>
      <c r="S213" s="176">
        <f>$L$11*(1+$L$9)^N213*'Récapitulatif des résultats'!$I$11</f>
        <v>0</v>
      </c>
      <c r="T213" s="237"/>
      <c r="U213" s="176"/>
      <c r="V213" s="245">
        <f t="shared" ref="V213:V221" si="30">SUM(W213:Z213)</f>
        <v>0</v>
      </c>
      <c r="W213" s="184">
        <f>SUM('Pin Sylvestre'!AQ197*'Pin Sylvestre'!$F$21,Douglas!AQ197*Douglas!$F$21,'Pin Maritime'!AQ197*'Pin Maritime'!$F$21,'Meleze Hybride'!AQ197*'Meleze Hybride'!$F$21,Thuya!AQ197*Thuya!$F$21,'Chêne et feuillus divers'!AQ197*'Chêne et feuillus divers'!$F$21)</f>
        <v>0</v>
      </c>
      <c r="X213" s="184">
        <f>SUM('Pin Sylvestre'!AR197*'Pin Sylvestre'!$F$21,Douglas!AR197*Douglas!$F$21,'Pin Maritime'!AR197*'Pin Maritime'!$F$21,'Meleze Hybride'!AR197*'Meleze Hybride'!$F$21,Thuya!AR197*Thuya!$F$21,'Chêne et feuillus divers'!AR197*'Chêne et feuillus divers'!$F$21)</f>
        <v>0</v>
      </c>
      <c r="Y213" s="184">
        <f>SUM('Pin Sylvestre'!AS197*'Pin Sylvestre'!$F$21,Douglas!AS197*Douglas!$F$21,'Pin Maritime'!AS197*'Pin Maritime'!$F$21,'Meleze Hybride'!AS197*'Meleze Hybride'!$F$21,Thuya!AS197*Thuya!$F$21,'Chêne et feuillus divers'!AS197*'Chêne et feuillus divers'!$F$21)</f>
        <v>0</v>
      </c>
      <c r="Z213" s="327">
        <f>SUM('Pin Sylvestre'!AT197*'Pin Sylvestre'!$F$21,Douglas!AT197*Douglas!$F$21,'Pin Maritime'!AT197*'Pin Maritime'!$F$21,'Meleze Hybride'!AT197*'Meleze Hybride'!$F$21,Thuya!AT197*Thuya!$F$21,'Chêne et feuillus divers'!AT197*'Chêne et feuillus divers'!$F$21)</f>
        <v>0</v>
      </c>
      <c r="AA213" s="174">
        <f t="shared" si="26"/>
        <v>0</v>
      </c>
      <c r="AB213" s="175">
        <f t="shared" ref="AB213:AB221" si="31">IF(N213&lt;=$L$4,(AA213-SUM(O213:T213))/((1+4.5%)^N213),)</f>
        <v>0</v>
      </c>
      <c r="AC213" s="174"/>
      <c r="AD213" s="174"/>
    </row>
    <row r="214" spans="14:30">
      <c r="N214" s="71">
        <v>193</v>
      </c>
      <c r="O214" s="235"/>
      <c r="P214" s="176"/>
      <c r="Q214" s="236">
        <f t="shared" si="28"/>
        <v>100.0025</v>
      </c>
      <c r="R214" s="176">
        <f t="shared" si="29"/>
        <v>7.0001750000000005</v>
      </c>
      <c r="S214" s="176">
        <f>$L$11*(1+$L$9)^N214*'Récapitulatif des résultats'!$I$11</f>
        <v>0</v>
      </c>
      <c r="T214" s="237"/>
      <c r="U214" s="176"/>
      <c r="V214" s="245">
        <f t="shared" si="30"/>
        <v>0</v>
      </c>
      <c r="W214" s="184">
        <f>SUM('Pin Sylvestre'!AQ198*'Pin Sylvestre'!$F$21,Douglas!AQ198*Douglas!$F$21,'Pin Maritime'!AQ198*'Pin Maritime'!$F$21,'Meleze Hybride'!AQ198*'Meleze Hybride'!$F$21,Thuya!AQ198*Thuya!$F$21,'Chêne et feuillus divers'!AQ198*'Chêne et feuillus divers'!$F$21)</f>
        <v>0</v>
      </c>
      <c r="X214" s="184">
        <f>SUM('Pin Sylvestre'!AR198*'Pin Sylvestre'!$F$21,Douglas!AR198*Douglas!$F$21,'Pin Maritime'!AR198*'Pin Maritime'!$F$21,'Meleze Hybride'!AR198*'Meleze Hybride'!$F$21,Thuya!AR198*Thuya!$F$21,'Chêne et feuillus divers'!AR198*'Chêne et feuillus divers'!$F$21)</f>
        <v>0</v>
      </c>
      <c r="Y214" s="184">
        <f>SUM('Pin Sylvestre'!AS198*'Pin Sylvestre'!$F$21,Douglas!AS198*Douglas!$F$21,'Pin Maritime'!AS198*'Pin Maritime'!$F$21,'Meleze Hybride'!AS198*'Meleze Hybride'!$F$21,Thuya!AS198*Thuya!$F$21,'Chêne et feuillus divers'!AS198*'Chêne et feuillus divers'!$F$21)</f>
        <v>0</v>
      </c>
      <c r="Z214" s="327">
        <f>SUM('Pin Sylvestre'!AT198*'Pin Sylvestre'!$F$21,Douglas!AT198*Douglas!$F$21,'Pin Maritime'!AT198*'Pin Maritime'!$F$21,'Meleze Hybride'!AT198*'Meleze Hybride'!$F$21,Thuya!AT198*Thuya!$F$21,'Chêne et feuillus divers'!AT198*'Chêne et feuillus divers'!$F$21)</f>
        <v>0</v>
      </c>
      <c r="AA214" s="174">
        <f t="shared" ref="AA214:AA221" si="32">SUMIF(B$23:B$115,N214,L$23:L$115)+U214</f>
        <v>0</v>
      </c>
      <c r="AB214" s="175">
        <f t="shared" si="31"/>
        <v>0</v>
      </c>
      <c r="AC214" s="174"/>
      <c r="AD214" s="174"/>
    </row>
    <row r="215" spans="14:30">
      <c r="N215" s="71">
        <v>194</v>
      </c>
      <c r="O215" s="235"/>
      <c r="P215" s="176"/>
      <c r="Q215" s="236">
        <f t="shared" si="28"/>
        <v>100.0025</v>
      </c>
      <c r="R215" s="176">
        <f t="shared" si="29"/>
        <v>7.0001750000000005</v>
      </c>
      <c r="S215" s="176">
        <f>$L$11*(1+$L$9)^N215*'Récapitulatif des résultats'!$I$11</f>
        <v>0</v>
      </c>
      <c r="T215" s="237"/>
      <c r="U215" s="176"/>
      <c r="V215" s="245">
        <f t="shared" si="30"/>
        <v>0</v>
      </c>
      <c r="W215" s="184">
        <f>SUM('Pin Sylvestre'!AQ199*'Pin Sylvestre'!$F$21,Douglas!AQ199*Douglas!$F$21,'Pin Maritime'!AQ199*'Pin Maritime'!$F$21,'Meleze Hybride'!AQ199*'Meleze Hybride'!$F$21,Thuya!AQ199*Thuya!$F$21,'Chêne et feuillus divers'!AQ199*'Chêne et feuillus divers'!$F$21)</f>
        <v>0</v>
      </c>
      <c r="X215" s="184">
        <f>SUM('Pin Sylvestre'!AR199*'Pin Sylvestre'!$F$21,Douglas!AR199*Douglas!$F$21,'Pin Maritime'!AR199*'Pin Maritime'!$F$21,'Meleze Hybride'!AR199*'Meleze Hybride'!$F$21,Thuya!AR199*Thuya!$F$21,'Chêne et feuillus divers'!AR199*'Chêne et feuillus divers'!$F$21)</f>
        <v>0</v>
      </c>
      <c r="Y215" s="184">
        <f>SUM('Pin Sylvestre'!AS199*'Pin Sylvestre'!$F$21,Douglas!AS199*Douglas!$F$21,'Pin Maritime'!AS199*'Pin Maritime'!$F$21,'Meleze Hybride'!AS199*'Meleze Hybride'!$F$21,Thuya!AS199*Thuya!$F$21,'Chêne et feuillus divers'!AS199*'Chêne et feuillus divers'!$F$21)</f>
        <v>0</v>
      </c>
      <c r="Z215" s="327">
        <f>SUM('Pin Sylvestre'!AT199*'Pin Sylvestre'!$F$21,Douglas!AT199*Douglas!$F$21,'Pin Maritime'!AT199*'Pin Maritime'!$F$21,'Meleze Hybride'!AT199*'Meleze Hybride'!$F$21,Thuya!AT199*Thuya!$F$21,'Chêne et feuillus divers'!AT199*'Chêne et feuillus divers'!$F$21)</f>
        <v>0</v>
      </c>
      <c r="AA215" s="174">
        <f t="shared" si="32"/>
        <v>0</v>
      </c>
      <c r="AB215" s="175">
        <f t="shared" si="31"/>
        <v>0</v>
      </c>
      <c r="AC215" s="174"/>
      <c r="AD215" s="174"/>
    </row>
    <row r="216" spans="14:30">
      <c r="N216" s="71">
        <v>195</v>
      </c>
      <c r="O216" s="235"/>
      <c r="P216" s="176"/>
      <c r="Q216" s="236">
        <f t="shared" si="28"/>
        <v>100.0025</v>
      </c>
      <c r="R216" s="176">
        <f t="shared" si="29"/>
        <v>7.0001750000000005</v>
      </c>
      <c r="S216" s="176">
        <f>$L$11*(1+$L$9)^N216*'Récapitulatif des résultats'!$I$11</f>
        <v>0</v>
      </c>
      <c r="T216" s="237"/>
      <c r="U216" s="176"/>
      <c r="V216" s="245">
        <f t="shared" si="30"/>
        <v>0</v>
      </c>
      <c r="W216" s="184">
        <f>SUM('Pin Sylvestre'!AQ200*'Pin Sylvestre'!$F$21,Douglas!AQ200*Douglas!$F$21,'Pin Maritime'!AQ200*'Pin Maritime'!$F$21,'Meleze Hybride'!AQ200*'Meleze Hybride'!$F$21,Thuya!AQ200*Thuya!$F$21,'Chêne et feuillus divers'!AQ200*'Chêne et feuillus divers'!$F$21)</f>
        <v>0</v>
      </c>
      <c r="X216" s="184">
        <f>SUM('Pin Sylvestre'!AR200*'Pin Sylvestre'!$F$21,Douglas!AR200*Douglas!$F$21,'Pin Maritime'!AR200*'Pin Maritime'!$F$21,'Meleze Hybride'!AR200*'Meleze Hybride'!$F$21,Thuya!AR200*Thuya!$F$21,'Chêne et feuillus divers'!AR200*'Chêne et feuillus divers'!$F$21)</f>
        <v>0</v>
      </c>
      <c r="Y216" s="184">
        <f>SUM('Pin Sylvestre'!AS200*'Pin Sylvestre'!$F$21,Douglas!AS200*Douglas!$F$21,'Pin Maritime'!AS200*'Pin Maritime'!$F$21,'Meleze Hybride'!AS200*'Meleze Hybride'!$F$21,Thuya!AS200*Thuya!$F$21,'Chêne et feuillus divers'!AS200*'Chêne et feuillus divers'!$F$21)</f>
        <v>0</v>
      </c>
      <c r="Z216" s="327">
        <f>SUM('Pin Sylvestre'!AT200*'Pin Sylvestre'!$F$21,Douglas!AT200*Douglas!$F$21,'Pin Maritime'!AT200*'Pin Maritime'!$F$21,'Meleze Hybride'!AT200*'Meleze Hybride'!$F$21,Thuya!AT200*Thuya!$F$21,'Chêne et feuillus divers'!AT200*'Chêne et feuillus divers'!$F$21)</f>
        <v>0</v>
      </c>
      <c r="AA216" s="174">
        <f t="shared" si="32"/>
        <v>0</v>
      </c>
      <c r="AB216" s="175">
        <f t="shared" si="31"/>
        <v>0</v>
      </c>
      <c r="AC216" s="174"/>
      <c r="AD216" s="174"/>
    </row>
    <row r="217" spans="14:30">
      <c r="N217" s="71">
        <v>196</v>
      </c>
      <c r="O217" s="235"/>
      <c r="P217" s="176"/>
      <c r="Q217" s="236">
        <f t="shared" si="28"/>
        <v>100.0025</v>
      </c>
      <c r="R217" s="176">
        <f t="shared" si="29"/>
        <v>7.0001750000000005</v>
      </c>
      <c r="S217" s="176">
        <f>$L$11*(1+$L$9)^N217*'Récapitulatif des résultats'!$I$11</f>
        <v>0</v>
      </c>
      <c r="T217" s="237"/>
      <c r="U217" s="176"/>
      <c r="V217" s="245">
        <f t="shared" si="30"/>
        <v>0</v>
      </c>
      <c r="W217" s="184">
        <f>SUM('Pin Sylvestre'!AQ201*'Pin Sylvestre'!$F$21,Douglas!AQ201*Douglas!$F$21,'Pin Maritime'!AQ201*'Pin Maritime'!$F$21,'Meleze Hybride'!AQ201*'Meleze Hybride'!$F$21,Thuya!AQ201*Thuya!$F$21,'Chêne et feuillus divers'!AQ201*'Chêne et feuillus divers'!$F$21)</f>
        <v>0</v>
      </c>
      <c r="X217" s="184">
        <f>SUM('Pin Sylvestre'!AR201*'Pin Sylvestre'!$F$21,Douglas!AR201*Douglas!$F$21,'Pin Maritime'!AR201*'Pin Maritime'!$F$21,'Meleze Hybride'!AR201*'Meleze Hybride'!$F$21,Thuya!AR201*Thuya!$F$21,'Chêne et feuillus divers'!AR201*'Chêne et feuillus divers'!$F$21)</f>
        <v>0</v>
      </c>
      <c r="Y217" s="184">
        <f>SUM('Pin Sylvestre'!AS201*'Pin Sylvestre'!$F$21,Douglas!AS201*Douglas!$F$21,'Pin Maritime'!AS201*'Pin Maritime'!$F$21,'Meleze Hybride'!AS201*'Meleze Hybride'!$F$21,Thuya!AS201*Thuya!$F$21,'Chêne et feuillus divers'!AS201*'Chêne et feuillus divers'!$F$21)</f>
        <v>0</v>
      </c>
      <c r="Z217" s="327">
        <f>SUM('Pin Sylvestre'!AT201*'Pin Sylvestre'!$F$21,Douglas!AT201*Douglas!$F$21,'Pin Maritime'!AT201*'Pin Maritime'!$F$21,'Meleze Hybride'!AT201*'Meleze Hybride'!$F$21,Thuya!AT201*Thuya!$F$21,'Chêne et feuillus divers'!AT201*'Chêne et feuillus divers'!$F$21)</f>
        <v>0</v>
      </c>
      <c r="AA217" s="174">
        <f t="shared" si="32"/>
        <v>0</v>
      </c>
      <c r="AB217" s="175">
        <f t="shared" si="31"/>
        <v>0</v>
      </c>
      <c r="AC217" s="174"/>
      <c r="AD217" s="174"/>
    </row>
    <row r="218" spans="14:30">
      <c r="N218" s="71">
        <v>197</v>
      </c>
      <c r="O218" s="235"/>
      <c r="P218" s="176"/>
      <c r="Q218" s="236">
        <f t="shared" si="28"/>
        <v>100.0025</v>
      </c>
      <c r="R218" s="176">
        <f t="shared" si="29"/>
        <v>7.0001750000000005</v>
      </c>
      <c r="S218" s="176">
        <f>$L$11*(1+$L$9)^N218*'Récapitulatif des résultats'!$I$11</f>
        <v>0</v>
      </c>
      <c r="T218" s="237"/>
      <c r="U218" s="176"/>
      <c r="V218" s="245">
        <f t="shared" si="30"/>
        <v>0</v>
      </c>
      <c r="W218" s="184">
        <f>SUM('Pin Sylvestre'!AQ202*'Pin Sylvestre'!$F$21,Douglas!AQ202*Douglas!$F$21,'Pin Maritime'!AQ202*'Pin Maritime'!$F$21,'Meleze Hybride'!AQ202*'Meleze Hybride'!$F$21,Thuya!AQ202*Thuya!$F$21,'Chêne et feuillus divers'!AQ202*'Chêne et feuillus divers'!$F$21)</f>
        <v>0</v>
      </c>
      <c r="X218" s="184">
        <f>SUM('Pin Sylvestre'!AR202*'Pin Sylvestre'!$F$21,Douglas!AR202*Douglas!$F$21,'Pin Maritime'!AR202*'Pin Maritime'!$F$21,'Meleze Hybride'!AR202*'Meleze Hybride'!$F$21,Thuya!AR202*Thuya!$F$21,'Chêne et feuillus divers'!AR202*'Chêne et feuillus divers'!$F$21)</f>
        <v>0</v>
      </c>
      <c r="Y218" s="184">
        <f>SUM('Pin Sylvestre'!AS202*'Pin Sylvestre'!$F$21,Douglas!AS202*Douglas!$F$21,'Pin Maritime'!AS202*'Pin Maritime'!$F$21,'Meleze Hybride'!AS202*'Meleze Hybride'!$F$21,Thuya!AS202*Thuya!$F$21,'Chêne et feuillus divers'!AS202*'Chêne et feuillus divers'!$F$21)</f>
        <v>0</v>
      </c>
      <c r="Z218" s="327">
        <f>SUM('Pin Sylvestre'!AT202*'Pin Sylvestre'!$F$21,Douglas!AT202*Douglas!$F$21,'Pin Maritime'!AT202*'Pin Maritime'!$F$21,'Meleze Hybride'!AT202*'Meleze Hybride'!$F$21,Thuya!AT202*Thuya!$F$21,'Chêne et feuillus divers'!AT202*'Chêne et feuillus divers'!$F$21)</f>
        <v>0</v>
      </c>
      <c r="AA218" s="174">
        <f t="shared" si="32"/>
        <v>0</v>
      </c>
      <c r="AB218" s="175">
        <f t="shared" si="31"/>
        <v>0</v>
      </c>
      <c r="AC218" s="174"/>
      <c r="AD218" s="174"/>
    </row>
    <row r="219" spans="14:30">
      <c r="N219" s="71">
        <v>198</v>
      </c>
      <c r="O219" s="235"/>
      <c r="P219" s="176"/>
      <c r="Q219" s="236">
        <f t="shared" si="28"/>
        <v>100.0025</v>
      </c>
      <c r="R219" s="176">
        <f t="shared" si="29"/>
        <v>7.0001750000000005</v>
      </c>
      <c r="S219" s="176">
        <f>$L$11*(1+$L$9)^N219*'Récapitulatif des résultats'!$I$11</f>
        <v>0</v>
      </c>
      <c r="T219" s="237"/>
      <c r="U219" s="176"/>
      <c r="V219" s="245">
        <f t="shared" si="30"/>
        <v>0</v>
      </c>
      <c r="W219" s="184">
        <f>SUM('Pin Sylvestre'!AQ203*'Pin Sylvestre'!$F$21,Douglas!AQ203*Douglas!$F$21,'Pin Maritime'!AQ203*'Pin Maritime'!$F$21,'Meleze Hybride'!AQ203*'Meleze Hybride'!$F$21,Thuya!AQ203*Thuya!$F$21,'Chêne et feuillus divers'!AQ203*'Chêne et feuillus divers'!$F$21)</f>
        <v>0</v>
      </c>
      <c r="X219" s="184">
        <f>SUM('Pin Sylvestre'!AR203*'Pin Sylvestre'!$F$21,Douglas!AR203*Douglas!$F$21,'Pin Maritime'!AR203*'Pin Maritime'!$F$21,'Meleze Hybride'!AR203*'Meleze Hybride'!$F$21,Thuya!AR203*Thuya!$F$21,'Chêne et feuillus divers'!AR203*'Chêne et feuillus divers'!$F$21)</f>
        <v>0</v>
      </c>
      <c r="Y219" s="184">
        <f>SUM('Pin Sylvestre'!AS203*'Pin Sylvestre'!$F$21,Douglas!AS203*Douglas!$F$21,'Pin Maritime'!AS203*'Pin Maritime'!$F$21,'Meleze Hybride'!AS203*'Meleze Hybride'!$F$21,Thuya!AS203*Thuya!$F$21,'Chêne et feuillus divers'!AS203*'Chêne et feuillus divers'!$F$21)</f>
        <v>0</v>
      </c>
      <c r="Z219" s="327">
        <f>SUM('Pin Sylvestre'!AT203*'Pin Sylvestre'!$F$21,Douglas!AT203*Douglas!$F$21,'Pin Maritime'!AT203*'Pin Maritime'!$F$21,'Meleze Hybride'!AT203*'Meleze Hybride'!$F$21,Thuya!AT203*Thuya!$F$21,'Chêne et feuillus divers'!AT203*'Chêne et feuillus divers'!$F$21)</f>
        <v>0</v>
      </c>
      <c r="AA219" s="174">
        <f t="shared" si="32"/>
        <v>0</v>
      </c>
      <c r="AB219" s="175">
        <f t="shared" si="31"/>
        <v>0</v>
      </c>
      <c r="AC219" s="174"/>
      <c r="AD219" s="174"/>
    </row>
    <row r="220" spans="14:30">
      <c r="N220" s="71">
        <v>199</v>
      </c>
      <c r="O220" s="235"/>
      <c r="P220" s="176"/>
      <c r="Q220" s="236">
        <f t="shared" si="28"/>
        <v>100.0025</v>
      </c>
      <c r="R220" s="176">
        <f t="shared" si="29"/>
        <v>7.0001750000000005</v>
      </c>
      <c r="S220" s="176">
        <f>$L$11*(1+$L$9)^N220*'Récapitulatif des résultats'!$I$11</f>
        <v>0</v>
      </c>
      <c r="T220" s="237"/>
      <c r="U220" s="176"/>
      <c r="V220" s="245">
        <f t="shared" si="30"/>
        <v>0</v>
      </c>
      <c r="W220" s="184">
        <f>SUM('Pin Sylvestre'!AQ204*'Pin Sylvestre'!$F$21,Douglas!AQ204*Douglas!$F$21,'Pin Maritime'!AQ204*'Pin Maritime'!$F$21,'Meleze Hybride'!AQ204*'Meleze Hybride'!$F$21,Thuya!AQ204*Thuya!$F$21,'Chêne et feuillus divers'!AQ204*'Chêne et feuillus divers'!$F$21)</f>
        <v>0</v>
      </c>
      <c r="X220" s="184">
        <f>SUM('Pin Sylvestre'!AR204*'Pin Sylvestre'!$F$21,Douglas!AR204*Douglas!$F$21,'Pin Maritime'!AR204*'Pin Maritime'!$F$21,'Meleze Hybride'!AR204*'Meleze Hybride'!$F$21,Thuya!AR204*Thuya!$F$21,'Chêne et feuillus divers'!AR204*'Chêne et feuillus divers'!$F$21)</f>
        <v>0</v>
      </c>
      <c r="Y220" s="184">
        <f>SUM('Pin Sylvestre'!AS204*'Pin Sylvestre'!$F$21,Douglas!AS204*Douglas!$F$21,'Pin Maritime'!AS204*'Pin Maritime'!$F$21,'Meleze Hybride'!AS204*'Meleze Hybride'!$F$21,Thuya!AS204*Thuya!$F$21,'Chêne et feuillus divers'!AS204*'Chêne et feuillus divers'!$F$21)</f>
        <v>0</v>
      </c>
      <c r="Z220" s="327">
        <f>SUM('Pin Sylvestre'!AT204*'Pin Sylvestre'!$F$21,Douglas!AT204*Douglas!$F$21,'Pin Maritime'!AT204*'Pin Maritime'!$F$21,'Meleze Hybride'!AT204*'Meleze Hybride'!$F$21,Thuya!AT204*Thuya!$F$21,'Chêne et feuillus divers'!AT204*'Chêne et feuillus divers'!$F$21)</f>
        <v>0</v>
      </c>
      <c r="AA220" s="174">
        <f t="shared" si="32"/>
        <v>0</v>
      </c>
      <c r="AB220" s="175">
        <f t="shared" si="31"/>
        <v>0</v>
      </c>
      <c r="AC220" s="174"/>
      <c r="AD220" s="174"/>
    </row>
    <row r="221" spans="14:30">
      <c r="N221" s="72">
        <v>200</v>
      </c>
      <c r="O221" s="178"/>
      <c r="P221" s="178"/>
      <c r="Q221" s="238">
        <f t="shared" si="28"/>
        <v>100.0025</v>
      </c>
      <c r="R221" s="239">
        <f t="shared" si="29"/>
        <v>7.0001750000000005</v>
      </c>
      <c r="S221" s="239">
        <f>$L$11*(1+$L$9)^N221*'Récapitulatif des résultats'!$I$11</f>
        <v>0</v>
      </c>
      <c r="T221" s="240"/>
      <c r="U221" s="178"/>
      <c r="V221" s="246">
        <f t="shared" si="30"/>
        <v>0</v>
      </c>
      <c r="W221" s="247">
        <f>SUM('Pin Sylvestre'!AQ205*'Pin Sylvestre'!$F$21,Douglas!AQ205*Douglas!$F$21,'Pin Maritime'!AQ205*'Pin Maritime'!$F$21,'Meleze Hybride'!AQ205*'Meleze Hybride'!$F$21,Thuya!AQ205*Thuya!$F$21,'Chêne et feuillus divers'!AQ205*'Chêne et feuillus divers'!$F$21)</f>
        <v>0</v>
      </c>
      <c r="X221" s="247">
        <f>SUM('Pin Sylvestre'!AR205*'Pin Sylvestre'!$F$21,Douglas!AR205*Douglas!$F$21,'Pin Maritime'!AR205*'Pin Maritime'!$F$21,'Meleze Hybride'!AR205*'Meleze Hybride'!$F$21,Thuya!AR205*Thuya!$F$21,'Chêne et feuillus divers'!AR205*'Chêne et feuillus divers'!$F$21)</f>
        <v>0</v>
      </c>
      <c r="Y221" s="247">
        <f>SUM('Pin Sylvestre'!AS205*'Pin Sylvestre'!$F$21,Douglas!AS205*Douglas!$F$21,'Pin Maritime'!AS205*'Pin Maritime'!$F$21,'Meleze Hybride'!AS205*'Meleze Hybride'!$F$21,Thuya!AS205*Thuya!$F$21,'Chêne et feuillus divers'!AS205*'Chêne et feuillus divers'!$F$21)</f>
        <v>0</v>
      </c>
      <c r="Z221" s="328">
        <f>SUM('Pin Sylvestre'!AT205*'Pin Sylvestre'!$F$21,Douglas!AT205*Douglas!$F$21,'Pin Maritime'!AT205*'Pin Maritime'!$F$21,'Meleze Hybride'!AT205*'Meleze Hybride'!$F$21,Thuya!AT205*Thuya!$F$21,'Chêne et feuillus divers'!AT205*'Chêne et feuillus divers'!$F$21)</f>
        <v>0</v>
      </c>
      <c r="AA221" s="248">
        <f t="shared" si="32"/>
        <v>0</v>
      </c>
      <c r="AB221" s="249">
        <f t="shared" si="31"/>
        <v>0</v>
      </c>
      <c r="AC221" s="174"/>
      <c r="AD221" s="174"/>
    </row>
  </sheetData>
  <mergeCells count="28">
    <mergeCell ref="AC3:AE3"/>
    <mergeCell ref="T3:V3"/>
    <mergeCell ref="C10:C15"/>
    <mergeCell ref="C9:D9"/>
    <mergeCell ref="H53:K53"/>
    <mergeCell ref="H69:K69"/>
    <mergeCell ref="H85:K85"/>
    <mergeCell ref="H101:K101"/>
    <mergeCell ref="V19:AA19"/>
    <mergeCell ref="N19:N20"/>
    <mergeCell ref="O19:T19"/>
    <mergeCell ref="B85:G85"/>
    <mergeCell ref="B101:G101"/>
    <mergeCell ref="B21:G21"/>
    <mergeCell ref="B37:G37"/>
    <mergeCell ref="B53:G53"/>
    <mergeCell ref="B69:G69"/>
    <mergeCell ref="A40:A48"/>
    <mergeCell ref="N3:P3"/>
    <mergeCell ref="Q3:S3"/>
    <mergeCell ref="H21:K21"/>
    <mergeCell ref="H37:K37"/>
    <mergeCell ref="N18:AB18"/>
    <mergeCell ref="B20:L20"/>
    <mergeCell ref="I3:I14"/>
    <mergeCell ref="C3:D3"/>
    <mergeCell ref="W3:Y3"/>
    <mergeCell ref="Z3:AB3"/>
  </mergeCells>
  <pageMargins left="0.7" right="0.7" top="0.75" bottom="0.75" header="0.3" footer="0.3"/>
  <pageSetup paperSize="9" scale="21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</vt:i4>
      </vt:variant>
    </vt:vector>
  </HeadingPairs>
  <TitlesOfParts>
    <vt:vector size="10" baseType="lpstr">
      <vt:lpstr>Tables de production employées</vt:lpstr>
      <vt:lpstr>Récapitulatif des résultats</vt:lpstr>
      <vt:lpstr>Pin Sylvestre</vt:lpstr>
      <vt:lpstr>Douglas</vt:lpstr>
      <vt:lpstr>Pin Maritime</vt:lpstr>
      <vt:lpstr>Meleze Hybride</vt:lpstr>
      <vt:lpstr>Thuya</vt:lpstr>
      <vt:lpstr>Chêne et feuillus divers</vt:lpstr>
      <vt:lpstr>VAN</vt:lpstr>
      <vt:lpstr>'Tables de production employées'!Zone_d_impression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Microsoft Office User</cp:lastModifiedBy>
  <cp:lastPrinted>2021-07-05T13:45:04Z</cp:lastPrinted>
  <dcterms:created xsi:type="dcterms:W3CDTF">2020-02-20T14:47:46Z</dcterms:created>
  <dcterms:modified xsi:type="dcterms:W3CDTF">2021-09-14T16:33:32Z</dcterms:modified>
</cp:coreProperties>
</file>