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tin/Downloads/"/>
    </mc:Choice>
  </mc:AlternateContent>
  <xr:revisionPtr revIDLastSave="0" documentId="13_ncr:1_{2741976D-B854-DE43-BD84-75B4A633EA98}" xr6:coauthVersionLast="36" xr6:coauthVersionMax="36" xr10:uidLastSave="{00000000-0000-0000-0000-000000000000}"/>
  <bookViews>
    <workbookView xWindow="0" yWindow="500" windowWidth="28260" windowHeight="156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HI4" i="2" s="1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X4" i="2" l="1"/>
  <c r="BR4" i="2"/>
  <c r="BQ4" i="2"/>
  <c r="EA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HI5" i="2" s="1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EC6" i="2" s="1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I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V7" i="2"/>
  <c r="EX7" i="2"/>
  <c r="EB7" i="2"/>
  <c r="EW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I8" i="2" s="1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FS8" i="2" s="1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C8" i="2" l="1"/>
  <c r="HG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HI9" i="2" s="1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I10" i="2" s="1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FS11" i="2" l="1"/>
  <c r="EW11" i="2"/>
  <c r="EX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EW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FS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X16" i="2" l="1"/>
  <c r="HH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EC17" i="2" l="1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C18" i="2" s="1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A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I22" i="2" s="1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HH24" i="2"/>
  <c r="FR24" i="2"/>
  <c r="EC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S25" i="2" s="1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EC25" i="2" s="1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S26" i="2" s="1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EX28" i="2" s="1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B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I30" i="2" s="1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HI32" i="2"/>
  <c r="FS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HG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FS35" i="2"/>
  <c r="EB35" i="2"/>
  <c r="EA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HI37" i="2" s="1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EX39" i="2" s="1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FS39" i="2" l="1"/>
  <c r="HI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EX40" i="2" s="1"/>
  <c r="DV40" i="2"/>
  <c r="DM40" i="2"/>
  <c r="DA40" i="2"/>
  <c r="FM40" i="2"/>
  <c r="FS40" i="2" s="1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I44" i="2" s="1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HG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EX48" i="2" s="1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C48" i="2"/>
  <c r="HH48" i="2"/>
  <c r="HG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EC49" i="2" s="1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EX52" i="2" s="1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HI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I56" i="2" s="1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G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C57" i="2"/>
  <c r="EB57" i="2"/>
  <c r="HG57" i="2"/>
  <c r="HI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EC58" i="2"/>
  <c r="EA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FS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I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FS61" i="2" l="1"/>
  <c r="EX61" i="2"/>
  <c r="EA61" i="2"/>
  <c r="EV61" i="2"/>
  <c r="EW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HI63" i="2"/>
  <c r="EC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EV67" i="2"/>
  <c r="HH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S68" i="2" s="1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EX68" i="2" l="1"/>
  <c r="HI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I69" i="2" s="1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EX69" i="2" s="1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EC70" i="2" s="1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FS71" i="2" s="1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EX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A71" i="2"/>
  <c r="HH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HH72" i="2"/>
  <c r="EB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EX73" i="2" s="1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W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I75" i="2" s="1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EA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W76" i="2" l="1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X77" i="2" l="1"/>
  <c r="FS77" i="2"/>
  <c r="EA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X79" i="2" l="1"/>
  <c r="EB79" i="2"/>
  <c r="HI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HG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I81" i="2" s="1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C82" i="2" s="1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I83" i="2" s="1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EX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C83" i="2" l="1"/>
  <c r="EW83" i="2"/>
  <c r="EV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I84" i="2" s="1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S85" i="2" s="1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I87" i="2" s="1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FS87" i="2"/>
  <c r="EA87" i="2"/>
  <c r="EB87" i="2"/>
  <c r="HG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EC88" i="2" l="1"/>
  <c r="HG88" i="2"/>
  <c r="FS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EC89" i="2" s="1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HG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I91" i="2" s="1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EX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EX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FS94" i="2" l="1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I95" i="2" s="1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FQ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EC97" i="2" s="1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FS97" i="2" l="1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C98" i="2"/>
  <c r="HI98" i="2"/>
  <c r="EW98" i="2"/>
  <c r="EX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FS99" i="2" l="1"/>
  <c r="EX99" i="2"/>
  <c r="HH99" i="2"/>
  <c r="EB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FS102" i="2" l="1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HI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FS106" i="2" l="1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C109" i="2" l="1"/>
  <c r="EB109" i="2"/>
  <c r="EX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EX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V116" i="2"/>
  <c r="EX116" i="2"/>
  <c r="HG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EX117" i="2" s="1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C117" i="2"/>
  <c r="HI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C120" i="2"/>
  <c r="FQ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C124" i="2"/>
  <c r="HG124" i="2"/>
  <c r="HI124" i="2"/>
  <c r="EX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A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C132" i="2"/>
  <c r="HG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EC134" i="2" s="1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X139" i="2"/>
  <c r="HH139" i="2"/>
  <c r="EA139" i="2"/>
  <c r="EB139" i="2"/>
  <c r="EW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I140" i="2" s="1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EC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FS141" i="2"/>
  <c r="EB141" i="2"/>
  <c r="EA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EW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I143" i="2" s="1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FS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A144" i="2"/>
  <c r="FR144" i="2"/>
  <c r="EX144" i="2"/>
  <c r="EB144" i="2"/>
  <c r="HH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FS146" i="2"/>
  <c r="HH146" i="2"/>
  <c r="FR146" i="2"/>
  <c r="HG146" i="2"/>
  <c r="HI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C147" i="2" l="1"/>
  <c r="EW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HI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HG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EC152" i="2" s="1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FS152" i="2" l="1"/>
  <c r="EV152" i="2"/>
  <c r="EB152" i="2"/>
  <c r="HI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FS153" i="2"/>
  <c r="HI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C155" i="2"/>
  <c r="AC154" i="2"/>
  <c r="DI154" i="2"/>
  <c r="HH155" i="2"/>
  <c r="EX155" i="2"/>
  <c r="HG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X156" i="2" l="1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X157" i="2"/>
  <c r="HH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EX159" i="2" s="1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C159" i="2"/>
  <c r="ED158" i="2"/>
  <c r="EA159" i="2"/>
  <c r="HH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D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X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C162" i="2"/>
  <c r="HG162" i="2"/>
  <c r="EB162" i="2"/>
  <c r="EW162" i="2"/>
  <c r="EY162" i="2" s="1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C163" i="2" l="1"/>
  <c r="HH163" i="2"/>
  <c r="EA163" i="2"/>
  <c r="ED163" i="2" s="1"/>
  <c r="EV163" i="2"/>
  <c r="EY163" i="2" s="1"/>
  <c r="HG163" i="2"/>
  <c r="FS163" i="2"/>
  <c r="HI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HI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EC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V164" i="2"/>
  <c r="DI163" i="2"/>
  <c r="FS164" i="2"/>
  <c r="EA164" i="2"/>
  <c r="HH164" i="2"/>
  <c r="EX164" i="2"/>
  <c r="HG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X166" i="2"/>
  <c r="HI166" i="2"/>
  <c r="EC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C167" i="2"/>
  <c r="HI167" i="2"/>
  <c r="HH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X168" i="2"/>
  <c r="EV168" i="2"/>
  <c r="EY168" i="2" s="1"/>
  <c r="FS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EX171" i="2"/>
  <c r="EC171" i="2"/>
  <c r="ED171" i="2" s="1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W175" i="2"/>
  <c r="FS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EX176" i="2" s="1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FS176" i="2" l="1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G178" i="2"/>
  <c r="EX178" i="2"/>
  <c r="EB178" i="2"/>
  <c r="EA178" i="2"/>
  <c r="ED178" i="2" s="1"/>
  <c r="EW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EX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HH179" i="2"/>
  <c r="EV179" i="2"/>
  <c r="EY179" i="2" s="1"/>
  <c r="EA179" i="2"/>
  <c r="ED179" i="2" s="1"/>
  <c r="HG179" i="2"/>
  <c r="FS179" i="2"/>
  <c r="HI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C180" i="2" l="1"/>
  <c r="HG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EV181" i="2" s="1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Y183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B185" i="2"/>
  <c r="EY184" i="2"/>
  <c r="EA185" i="2"/>
  <c r="EV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EX187" i="2"/>
  <c r="HI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HH188" i="2"/>
  <c r="HG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HI189" i="2" s="1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FS189" i="2" s="1"/>
  <c r="GS189" i="2"/>
  <c r="GG189" i="2"/>
  <c r="FN189" i="2"/>
  <c r="EU189" i="2"/>
  <c r="GK189" i="2"/>
  <c r="ER189" i="2"/>
  <c r="EH189" i="2"/>
  <c r="DW189" i="2"/>
  <c r="EC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B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V190" i="2"/>
  <c r="HI190" i="2"/>
  <c r="HH190" i="2"/>
  <c r="EB190" i="2"/>
  <c r="ED190" i="2" s="1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X191" i="2" s="1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C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B192" i="2"/>
  <c r="EC192" i="2"/>
  <c r="HH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Q193" i="2" l="1"/>
  <c r="EX193" i="2"/>
  <c r="EB193" i="2"/>
  <c r="HI193" i="2"/>
  <c r="EA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I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HI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FS199" i="2"/>
  <c r="EW199" i="2"/>
  <c r="HG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HI200" i="2" s="1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FS200" i="2" l="1"/>
  <c r="EC200" i="2"/>
  <c r="EX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X201" i="2" l="1"/>
  <c r="HI201" i="2"/>
  <c r="EA201" i="2"/>
  <c r="EB201" i="2"/>
  <c r="FS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1" i="2" a="1"/>
  <c r="BC31" i="2" s="1"/>
  <c r="BC143" i="2" a="1"/>
  <c r="BC143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X203" i="2" l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81" i="2" a="1"/>
  <c r="BC181" i="2" s="1"/>
  <c r="BC34" i="2" a="1"/>
  <c r="BC34" i="2" s="1"/>
  <c r="BC65" i="2" a="1"/>
  <c r="BC65" i="2" s="1"/>
  <c r="EC203" i="2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AN100" i="2" l="1"/>
  <c r="AN50" i="2"/>
  <c r="AN143" i="2"/>
  <c r="AN106" i="2"/>
  <c r="AN155" i="2"/>
  <c r="AN86" i="2"/>
  <c r="AN69" i="2"/>
  <c r="AN67" i="2"/>
  <c r="AN176" i="2"/>
  <c r="AN138" i="2"/>
  <c r="AN79" i="2"/>
  <c r="AN93" i="2"/>
  <c r="AN49" i="2"/>
  <c r="AN13" i="2"/>
  <c r="AN189" i="2"/>
  <c r="AN23" i="2"/>
  <c r="AN141" i="2"/>
  <c r="AN117" i="2"/>
  <c r="AN80" i="2"/>
  <c r="AN174" i="2"/>
  <c r="AN190" i="2"/>
  <c r="AN122" i="2"/>
  <c r="AN152" i="2"/>
  <c r="AN70" i="2"/>
  <c r="AN33" i="2"/>
  <c r="AN139" i="2"/>
  <c r="AN178" i="2"/>
  <c r="AN191" i="2"/>
  <c r="AN55" i="2"/>
  <c r="AN102" i="2"/>
  <c r="AN57" i="2"/>
  <c r="AN15" i="2"/>
  <c r="AN160" i="2"/>
  <c r="AN37" i="2"/>
  <c r="AN66" i="2"/>
  <c r="AN165" i="2"/>
  <c r="AN44" i="2"/>
  <c r="AN187" i="2"/>
  <c r="AN159" i="2"/>
  <c r="AN201" i="2"/>
  <c r="AN149" i="2"/>
  <c r="AN151" i="2"/>
  <c r="AN89" i="2"/>
  <c r="AN186" i="2"/>
  <c r="AN194" i="2"/>
  <c r="AN197" i="2"/>
  <c r="AN64" i="2"/>
  <c r="AN8" i="2"/>
  <c r="AN156" i="2"/>
  <c r="AN27" i="2"/>
  <c r="AN68" i="2"/>
  <c r="AN157" i="2"/>
  <c r="AN43" i="2"/>
  <c r="AN96" i="2"/>
  <c r="AN103" i="2"/>
  <c r="AN130" i="2"/>
  <c r="AN104" i="2"/>
  <c r="AN41" i="2"/>
  <c r="AN120" i="2"/>
  <c r="AN188" i="2"/>
  <c r="AN78" i="2"/>
  <c r="AN91" i="2"/>
  <c r="AN181" i="2"/>
  <c r="AN46" i="2"/>
  <c r="AN166" i="2"/>
  <c r="AN161" i="2"/>
  <c r="AN58" i="2"/>
  <c r="AN92" i="2"/>
  <c r="AN203" i="2"/>
  <c r="AN82" i="2"/>
  <c r="AN195" i="2"/>
  <c r="AN25" i="2"/>
  <c r="AN81" i="2"/>
  <c r="AN132" i="2"/>
  <c r="AN3" i="2"/>
  <c r="C7" i="4" s="1"/>
  <c r="E7" i="4" s="1"/>
  <c r="F7" i="4" s="1"/>
  <c r="G7" i="4" s="1"/>
  <c r="L7" i="4" s="1"/>
  <c r="AN94" i="2"/>
  <c r="AN169" i="2"/>
  <c r="AN7" i="2"/>
  <c r="AN185" i="2"/>
  <c r="AN125" i="2"/>
  <c r="AN126" i="2"/>
  <c r="AN48" i="2"/>
  <c r="AN31" i="2"/>
  <c r="AN16" i="2"/>
  <c r="AN114" i="2"/>
  <c r="AN39" i="2"/>
  <c r="AN162" i="2"/>
  <c r="AN73" i="2"/>
  <c r="AN88" i="2"/>
  <c r="AN115" i="2"/>
  <c r="AN51" i="2"/>
  <c r="AN34" i="2"/>
  <c r="AN135" i="2"/>
  <c r="AN14" i="2"/>
  <c r="AN21" i="2"/>
  <c r="AN9" i="2"/>
  <c r="AN62" i="2"/>
  <c r="AN54" i="2"/>
  <c r="AN22" i="2"/>
  <c r="AN123" i="2"/>
  <c r="AN72" i="2"/>
  <c r="AN112" i="2"/>
  <c r="AN77" i="2"/>
  <c r="AN168" i="2"/>
  <c r="AN4" i="2"/>
  <c r="AN158" i="2"/>
  <c r="AN12" i="2"/>
  <c r="AN74" i="2"/>
  <c r="AN133" i="2"/>
  <c r="AN140" i="2"/>
  <c r="AN147" i="2"/>
  <c r="AN28" i="2"/>
  <c r="AN107" i="2"/>
  <c r="AN182" i="2"/>
  <c r="AN45" i="2"/>
  <c r="AN131" i="2"/>
  <c r="AN113" i="2"/>
  <c r="AN111" i="2"/>
  <c r="AN85" i="2"/>
  <c r="AN98" i="2"/>
  <c r="AN84" i="2"/>
  <c r="AN110" i="2"/>
  <c r="AN65" i="2"/>
  <c r="AN153" i="2"/>
  <c r="AN173" i="2"/>
  <c r="AN76" i="2"/>
  <c r="AN154" i="2"/>
  <c r="AN198" i="2"/>
  <c r="AN172" i="2"/>
  <c r="AN101" i="2"/>
  <c r="AN38" i="2"/>
  <c r="AN71" i="2"/>
  <c r="AN24" i="2"/>
  <c r="AN150" i="2"/>
  <c r="AN10" i="2"/>
  <c r="AN32" i="2"/>
  <c r="AN95" i="2"/>
  <c r="AN97" i="2"/>
  <c r="AN116" i="2"/>
  <c r="AN196" i="2"/>
  <c r="AN87" i="2"/>
  <c r="AN75" i="2"/>
  <c r="AN193" i="2"/>
  <c r="AN53" i="2"/>
  <c r="AN184" i="2"/>
  <c r="AN5" i="2"/>
  <c r="AN128" i="2"/>
  <c r="AN90" i="2"/>
  <c r="AN105" i="2"/>
  <c r="AN163" i="2"/>
  <c r="AN26" i="2"/>
  <c r="AN63" i="2"/>
  <c r="AN19" i="2"/>
  <c r="AN137" i="2"/>
  <c r="AN60" i="2"/>
  <c r="AN144" i="2"/>
  <c r="AN136" i="2"/>
  <c r="AN118" i="2"/>
  <c r="AN121" i="2"/>
  <c r="AN202" i="2"/>
  <c r="AN124" i="2"/>
  <c r="AN20" i="2"/>
  <c r="AN145" i="2"/>
  <c r="AN99" i="2"/>
  <c r="AN30" i="2"/>
  <c r="AN146" i="2"/>
  <c r="AN171" i="2"/>
  <c r="AN40" i="2"/>
  <c r="AN61" i="2"/>
  <c r="AN83" i="2"/>
  <c r="AN47" i="2"/>
  <c r="AN167" i="2"/>
  <c r="AN175" i="2"/>
  <c r="AN199" i="2"/>
  <c r="AN35" i="2"/>
  <c r="AN11" i="2"/>
  <c r="AN164" i="2"/>
  <c r="AN192" i="2"/>
  <c r="AN134" i="2"/>
  <c r="AN148" i="2"/>
  <c r="AN179" i="2"/>
  <c r="AN129" i="2"/>
  <c r="AN180" i="2"/>
  <c r="AN36" i="2"/>
  <c r="AN109" i="2"/>
  <c r="AN52" i="2"/>
  <c r="AN17" i="2"/>
  <c r="AN119" i="2"/>
  <c r="AN29" i="2"/>
  <c r="AN177" i="2"/>
  <c r="AN200" i="2"/>
  <c r="AN142" i="2"/>
  <c r="AN59" i="2"/>
  <c r="AN42" i="2"/>
  <c r="AN18" i="2"/>
  <c r="AN183" i="2"/>
  <c r="AN170" i="2"/>
  <c r="AN127" i="2"/>
  <c r="AN108" i="2"/>
  <c r="AN56" i="2"/>
  <c r="AN6" i="2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<sst xmlns="http://schemas.openxmlformats.org/spreadsheetml/2006/main" count="1173" uniqueCount="322">
  <si>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</si>
  <si>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</si>
  <si>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</si>
  <si>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</si>
  <si>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</si>
  <si>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</si>
  <si>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</si>
  <si>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</si>
  <si>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</si>
  <si>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</si>
  <si>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</si>
  <si>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</si>
  <si>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</si>
  <si>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</si>
  <si>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</si>
  <si>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</si>
  <si>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</si>
  <si>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</si>
  <si>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</si>
  <si>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</si>
  <si>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</si>
  <si>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</si>
  <si>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</si>
  <si>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</si>
  <si>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</si>
  <si>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</si>
  <si>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</si>
  <si>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</si>
  <si>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</si>
  <si>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</si>
  <si>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</si>
  <si>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</si>
  <si>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</si>
  <si>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</si>
  <si>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</si>
  <si>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</si>
  <si>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</si>
  <si>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</si>
  <si>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</si>
  <si>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</si>
  <si>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</si>
  <si>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</si>
  <si>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</si>
  <si>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</si>
  <si>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</si>
  <si>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</si>
  <si>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</si>
  <si>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</si>
  <si>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</si>
  <si>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</si>
  <si>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</si>
  <si>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</si>
  <si>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</si>
  <si>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</si>
  <si>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</si>
  <si>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</si>
  <si>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</si>
  <si>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</si>
  <si>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</si>
  <si>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</si>
  <si>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</si>
  <si>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</si>
  <si>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</si>
  <si>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</si>
  <si>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</si>
  <si>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</si>
  <si>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</si>
  <si>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</si>
  <si>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</si>
  <si>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</si>
  <si>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</si>
  <si>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</si>
  <si>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</si>
  <si>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</si>
  <si>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</si>
  <si>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</si>
  <si>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</si>
  <si>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</si>
  <si>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</si>
  <si>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</si>
  <si>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</si>
  <si>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</si>
  <si>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</si>
  <si>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</si>
  <si>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</si>
  <si>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</si>
  <si>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</si>
  <si>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</si>
  <si>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</si>
  <si>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</si>
  <si>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</si>
  <si>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</si>
  <si>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</si>
  <si>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</si>
  <si>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</si>
  <si>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</si>
  <si>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</si>
  <si>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</si>
  <si>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</si>
  <si>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</si>
  <si>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</si>
  <si>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</si>
  <si>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</si>
  <si>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</si>
  <si>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</si>
  <si>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</si>
  <si>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</si>
  <si>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</si>
  <si>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</si>
  <si>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</si>
  <si>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</si>
  <si>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</si>
  <si>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</si>
  <si>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</si>
  <si>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</si>
  <si>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</si>
  <si>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</si>
  <si>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</si>
  <si>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</si>
  <si>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</si>
  <si>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</si>
  <si>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</si>
  <si>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</si>
  <si>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</si>
  <si>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</si>
  <si>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</si>
  <si>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</si>
  <si>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</si>
  <si>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</si>
  <si>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</si>
  <si>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</si>
  <si>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</si>
  <si>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</si>
  <si>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</si>
  <si>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</si>
  <si>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</si>
  <si>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</si>
  <si>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</si>
  <si>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</si>
  <si>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</si>
  <si>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</si>
  <si>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</si>
  <si>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</si>
  <si>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</si>
  <si>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</si>
  <si>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</si>
  <si>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</si>
  <si>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</si>
  <si>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</si>
  <si>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</si>
  <si>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</si>
  <si>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</si>
  <si>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</si>
  <si>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</si>
  <si>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</si>
  <si>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</si>
  <si>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</si>
  <si>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</si>
  <si>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</si>
  <si>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</si>
  <si>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</si>
  <si>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</si>
  <si>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</si>
  <si>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</si>
  <si>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</si>
  <si>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</si>
  <si>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</si>
  <si>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</si>
  <si>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</si>
  <si>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</si>
  <si>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</si>
  <si>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</si>
  <si>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</si>
  <si>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</si>
  <si>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</si>
  <si>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</si>
  <si>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</si>
  <si>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</si>
  <si>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</si>
  <si>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</si>
  <si>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</si>
  <si>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</si>
  <si>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</si>
  <si>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</si>
  <si>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</si>
  <si>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</si>
  <si>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</si>
  <si>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</si>
  <si>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</si>
  <si>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</si>
  <si>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</si>
  <si>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</si>
  <si>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</si>
  <si>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</si>
  <si>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</si>
  <si>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</si>
  <si>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</si>
  <si>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</si>
  <si>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</si>
  <si>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</si>
  <si>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</si>
  <si>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</si>
  <si>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</si>
  <si>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</si>
  <si>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</si>
  <si>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</si>
  <si>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</si>
  <si>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</si>
  <si>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</si>
  <si>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</si>
  <si>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</si>
  <si>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</si>
  <si>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</si>
  <si>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</si>
  <si>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</si>
  <si>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</si>
  <si>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</si>
  <si>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</si>
  <si>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</si>
  <si>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</si>
  <si>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</si>
  <si>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</si>
  <si>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</si>
  <si>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</si>
  <si>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</si>
  <si>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</si>
  <si>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</si>
  <si>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</si>
  <si>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</si>
  <si>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</si>
  <si>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</si>
  <si>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</si>
  <si>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</si>
  <si>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</si>
  <si>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</si>
  <si>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</si>
  <si>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</si>
  <si>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</si>
  <si>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</si>
  <si>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</si>
  <si>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</si>
  <si>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</si>
  <si>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</si>
  <si>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</si>
  <si>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</si>
  <si>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</si>
  <si>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</si>
  <si>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</si>
  <si>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</si>
  <si>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</si>
  <si>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</si>
  <si>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</si>
  <si>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</si>
  <si>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</si>
  <si>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</si>
  <si>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</si>
  <si>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</si>
  <si>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</si>
  <si>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</si>
  <si>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</si>
  <si>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</si>
  <si>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</si>
  <si>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</si>
  <si>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</si>
  <si>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</si>
  <si>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</si>
  <si>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</si>
  <si>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</si>
  <si>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</si>
  <si>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</si>
  <si>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</si>
  <si>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</si>
  <si>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</si>
  <si>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</si>
  <si>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</si>
  <si>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</si>
  <si>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</si>
  <si>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</si>
  <si>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</si>
  <si>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</si>
  <si>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</si>
  <si>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</si>
  <si>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</si>
  <si>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</si>
  <si>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</si>
  <si>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</si>
  <si>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</si>
  <si>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</si>
  <si>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</si>
  <si>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</si>
  <si>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</si>
  <si>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</si>
  <si>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</si>
  <si>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</si>
  <si>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</si>
  <si>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</si>
  <si>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</si>
  <si>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</si>
  <si>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</si>
  <si>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</si>
  <si>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</si>
  <si>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</si>
  <si>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</si>
  <si>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</si>
  <si>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</si>
  <si>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</si>
  <si>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</si>
  <si>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</si>
  <si>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</si>
  <si>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</si>
  <si>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</si>
  <si>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</si>
  <si>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</si>
  <si>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</si>
  <si>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</si>
  <si>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</si>
  <si>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</si>
  <si>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</si>
  <si>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</si>
  <si>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</si>
  <si>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</si>
  <si>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Le volume bois fort des premières années a été modifié en utilisant une régression linéaire entre 0 et 45 ans pour correspondre davantage à la production réelle d'un peuplement de chêne. Les volumes annoncés dans les tables de production du guide nous semblaient trop basses à 29 et 37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</si>
</sst>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 hidden="1"/>
    </xf>
    <xf numFmtId="168" fontId="32" fillId="21" borderId="10" xfId="0" applyNumberFormat="1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1.8268206168806351</c:v>
                </c:pt>
                <c:pt idx="2">
                  <c:v>2.2961102554342538</c:v>
                </c:pt>
                <c:pt idx="3">
                  <c:v>2.8864336770230623</c:v>
                </c:pt>
                <c:pt idx="4">
                  <c:v>3.6291231519079452</c:v>
                </c:pt>
                <c:pt idx="5">
                  <c:v>4.5636503124994592</c:v>
                </c:pt>
                <c:pt idx="6">
                  <c:v>5.7397474086641189</c:v>
                </c:pt>
                <c:pt idx="7">
                  <c:v>7.220083048110614</c:v>
                </c:pt>
                <c:pt idx="8">
                  <c:v>9.0836377577585541</c:v>
                </c:pt>
                <c:pt idx="9">
                  <c:v>11.429962890877514</c:v>
                </c:pt>
                <c:pt idx="10">
                  <c:v>14.384554650968738</c:v>
                </c:pt>
                <c:pt idx="11">
                  <c:v>18.105635960906145</c:v>
                </c:pt>
                <c:pt idx="12">
                  <c:v>22.79271593049268</c:v>
                </c:pt>
                <c:pt idx="13">
                  <c:v>28.697394010544443</c:v>
                </c:pt>
                <c:pt idx="14">
                  <c:v>36.136998932686417</c:v>
                </c:pt>
                <c:pt idx="15">
                  <c:v>45.511808007058725</c:v>
                </c:pt>
                <c:pt idx="16">
                  <c:v>57.326788867323636</c:v>
                </c:pt>
                <c:pt idx="17">
                  <c:v>72.219054168653798</c:v>
                </c:pt>
                <c:pt idx="18">
                  <c:v>90.992533790089269</c:v>
                </c:pt>
                <c:pt idx="19">
                  <c:v>114.66176613626753</c:v>
                </c:pt>
                <c:pt idx="20">
                  <c:v>144.50721214708281</c:v>
                </c:pt>
                <c:pt idx="21">
                  <c:v>182.14513040472517</c:v>
                </c:pt>
                <c:pt idx="22">
                  <c:v>229.61585444509794</c:v>
                </c:pt>
                <c:pt idx="23">
                  <c:v>289.49532853362786</c:v>
                </c:pt>
                <c:pt idx="24">
                  <c:v>365.03604206029331</c:v>
                </c:pt>
                <c:pt idx="25">
                  <c:v>317.48065154237497</c:v>
                </c:pt>
                <c:pt idx="26">
                  <c:v>348.73627254210874</c:v>
                </c:pt>
                <c:pt idx="27">
                  <c:v>379.9304323092822</c:v>
                </c:pt>
                <c:pt idx="28">
                  <c:v>411.0688806981766</c:v>
                </c:pt>
                <c:pt idx="29">
                  <c:v>442.15642578299884</c:v>
                </c:pt>
                <c:pt idx="30">
                  <c:v>473.19714485434088</c:v>
                </c:pt>
                <c:pt idx="31">
                  <c:v>411.26704694209349</c:v>
                </c:pt>
                <c:pt idx="32">
                  <c:v>443.14568568068768</c:v>
                </c:pt>
                <c:pt idx="33">
                  <c:v>474.97520523208203</c:v>
                </c:pt>
                <c:pt idx="34">
                  <c:v>506.75935520962508</c:v>
                </c:pt>
                <c:pt idx="35">
                  <c:v>538.50137700385426</c:v>
                </c:pt>
                <c:pt idx="36">
                  <c:v>570.20409916416395</c:v>
                </c:pt>
                <c:pt idx="37">
                  <c:v>492.55071548251203</c:v>
                </c:pt>
                <c:pt idx="38">
                  <c:v>523.71977369153274</c:v>
                </c:pt>
                <c:pt idx="39">
                  <c:v>554.84975986976099</c:v>
                </c:pt>
                <c:pt idx="40">
                  <c:v>585.94317102430398</c:v>
                </c:pt>
                <c:pt idx="41">
                  <c:v>617.00221789220029</c:v>
                </c:pt>
                <c:pt idx="42">
                  <c:v>648.02887080282335</c:v>
                </c:pt>
                <c:pt idx="43">
                  <c:v>573.94294063008499</c:v>
                </c:pt>
                <c:pt idx="44">
                  <c:v>603.63911401199607</c:v>
                </c:pt>
                <c:pt idx="45">
                  <c:v>633.3049517266378</c:v>
                </c:pt>
                <c:pt idx="46">
                  <c:v>662.94207243619564</c:v>
                </c:pt>
                <c:pt idx="47">
                  <c:v>692.55193848724912</c:v>
                </c:pt>
                <c:pt idx="48">
                  <c:v>722.13587717529879</c:v>
                </c:pt>
                <c:pt idx="49">
                  <c:v>629.770164448576</c:v>
                </c:pt>
                <c:pt idx="50">
                  <c:v>657.44854745472765</c:v>
                </c:pt>
                <c:pt idx="51">
                  <c:v>685.10294040682004</c:v>
                </c:pt>
                <c:pt idx="52">
                  <c:v>712.73444645342158</c:v>
                </c:pt>
                <c:pt idx="53">
                  <c:v>740.34407636016385</c:v>
                </c:pt>
                <c:pt idx="54">
                  <c:v>767.93275947074017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2.6878900101915324</c:v>
                </c:pt>
                <c:pt idx="2">
                  <c:v>3.1270268229393747</c:v>
                </c:pt>
                <c:pt idx="3">
                  <c:v>3.6381681014682221</c:v>
                </c:pt>
                <c:pt idx="4">
                  <c:v>4.2331605671019403</c:v>
                </c:pt>
                <c:pt idx="5">
                  <c:v>4.9258062705759196</c:v>
                </c:pt>
                <c:pt idx="6">
                  <c:v>5.7321862800543579</c:v>
                </c:pt>
                <c:pt idx="7">
                  <c:v>6.6710380995463296</c:v>
                </c:pt>
                <c:pt idx="8">
                  <c:v>7.7641957590811304</c:v>
                </c:pt>
                <c:pt idx="9">
                  <c:v>9.0371030093666871</c:v>
                </c:pt>
                <c:pt idx="10">
                  <c:v>10.519411794287977</c:v>
                </c:pt>
                <c:pt idx="11">
                  <c:v>12.245680206247583</c:v>
                </c:pt>
                <c:pt idx="12">
                  <c:v>14.256186500752603</c:v>
                </c:pt>
                <c:pt idx="13">
                  <c:v>16.597878514733356</c:v>
                </c:pt>
                <c:pt idx="14">
                  <c:v>19.325481064315827</c:v>
                </c:pt>
                <c:pt idx="15">
                  <c:v>22.502787669794884</c:v>
                </c:pt>
                <c:pt idx="16">
                  <c:v>26.204167359036642</c:v>
                </c:pt>
                <c:pt idx="17">
                  <c:v>30.5163224413694</c:v>
                </c:pt>
                <c:pt idx="18">
                  <c:v>35.540339145880658</c:v>
                </c:pt>
                <c:pt idx="19">
                  <c:v>41.39408002538017</c:v>
                </c:pt>
                <c:pt idx="20">
                  <c:v>48.214975208842588</c:v>
                </c:pt>
                <c:pt idx="21">
                  <c:v>56.163279137992589</c:v>
                </c:pt>
                <c:pt idx="22">
                  <c:v>65.425870578053519</c:v>
                </c:pt>
                <c:pt idx="23">
                  <c:v>76.220686717463437</c:v>
                </c:pt>
                <c:pt idx="24">
                  <c:v>88.801897380707558</c:v>
                </c:pt>
                <c:pt idx="25">
                  <c:v>103.46594313929084</c:v>
                </c:pt>
                <c:pt idx="26">
                  <c:v>120.55858184698313</c:v>
                </c:pt>
                <c:pt idx="27">
                  <c:v>140.4831123476346</c:v>
                </c:pt>
                <c:pt idx="28">
                  <c:v>163.70997239218977</c:v>
                </c:pt>
                <c:pt idx="29">
                  <c:v>190.78794083960551</c:v>
                </c:pt>
                <c:pt idx="30">
                  <c:v>161.85390999769996</c:v>
                </c:pt>
                <c:pt idx="31">
                  <c:v>172.165375598157</c:v>
                </c:pt>
                <c:pt idx="32">
                  <c:v>182.46231573145488</c:v>
                </c:pt>
                <c:pt idx="33">
                  <c:v>192.74566644892982</c:v>
                </c:pt>
                <c:pt idx="34">
                  <c:v>203.01625563904375</c:v>
                </c:pt>
                <c:pt idx="35">
                  <c:v>213.27482048591344</c:v>
                </c:pt>
                <c:pt idx="36">
                  <c:v>223.5220213875734</c:v>
                </c:pt>
                <c:pt idx="37">
                  <c:v>233.75845318467347</c:v>
                </c:pt>
                <c:pt idx="38">
                  <c:v>205.948470926346</c:v>
                </c:pt>
                <c:pt idx="39">
                  <c:v>217.17982241103536</c:v>
                </c:pt>
                <c:pt idx="40">
                  <c:v>228.39782153758514</c:v>
                </c:pt>
                <c:pt idx="41">
                  <c:v>239.60321698163875</c:v>
                </c:pt>
                <c:pt idx="42">
                  <c:v>250.79668161675821</c:v>
                </c:pt>
                <c:pt idx="43">
                  <c:v>261.97882330317395</c:v>
                </c:pt>
                <c:pt idx="44">
                  <c:v>273.15019373627206</c:v>
                </c:pt>
                <c:pt idx="45">
                  <c:v>284.31129577048597</c:v>
                </c:pt>
                <c:pt idx="46">
                  <c:v>254.44424843793846</c:v>
                </c:pt>
                <c:pt idx="47">
                  <c:v>273.15019373627206</c:v>
                </c:pt>
                <c:pt idx="48">
                  <c:v>291.82734917408254</c:v>
                </c:pt>
                <c:pt idx="49">
                  <c:v>310.47781610568069</c:v>
                </c:pt>
                <c:pt idx="50">
                  <c:v>329.10342280563549</c:v>
                </c:pt>
                <c:pt idx="51">
                  <c:v>347.70577372743418</c:v>
                </c:pt>
                <c:pt idx="52">
                  <c:v>366.28628766255997</c:v>
                </c:pt>
                <c:pt idx="53">
                  <c:v>384.84622774857968</c:v>
                </c:pt>
                <c:pt idx="54">
                  <c:v>314.35006201176537</c:v>
                </c:pt>
                <c:pt idx="55">
                  <c:v>330.79548404889391</c:v>
                </c:pt>
                <c:pt idx="56">
                  <c:v>347.2228777949494</c:v>
                </c:pt>
                <c:pt idx="57">
                  <c:v>363.63321608721026</c:v>
                </c:pt>
                <c:pt idx="58">
                  <c:v>380.02737680126438</c:v>
                </c:pt>
                <c:pt idx="59">
                  <c:v>396.40615590256039</c:v>
                </c:pt>
                <c:pt idx="60">
                  <c:v>412.77027822799613</c:v>
                </c:pt>
                <c:pt idx="61">
                  <c:v>429.12040646848055</c:v>
                </c:pt>
                <c:pt idx="62">
                  <c:v>354.223437181012</c:v>
                </c:pt>
                <c:pt idx="63">
                  <c:v>369.9034369081246</c:v>
                </c:pt>
                <c:pt idx="64">
                  <c:v>385.56894185036396</c:v>
                </c:pt>
                <c:pt idx="65">
                  <c:v>401.22062373138323</c:v>
                </c:pt>
                <c:pt idx="66">
                  <c:v>416.8590975997692</c:v>
                </c:pt>
                <c:pt idx="67">
                  <c:v>432.48492860189475</c:v>
                </c:pt>
                <c:pt idx="68">
                  <c:v>448.09863772493946</c:v>
                </c:pt>
                <c:pt idx="69">
                  <c:v>463.70070669781398</c:v>
                </c:pt>
                <c:pt idx="70">
                  <c:v>395.92463969891566</c:v>
                </c:pt>
                <c:pt idx="71">
                  <c:v>410.8458259932824</c:v>
                </c:pt>
                <c:pt idx="72">
                  <c:v>425.75531709821058</c:v>
                </c:pt>
                <c:pt idx="73">
                  <c:v>440.65358016358783</c:v>
                </c:pt>
                <c:pt idx="74">
                  <c:v>455.54104818091383</c:v>
                </c:pt>
                <c:pt idx="75">
                  <c:v>470.41812353894551</c:v>
                </c:pt>
                <c:pt idx="76">
                  <c:v>485.28518110618751</c:v>
                </c:pt>
                <c:pt idx="77">
                  <c:v>500.14257091604276</c:v>
                </c:pt>
                <c:pt idx="78">
                  <c:v>496.54890971240934</c:v>
                </c:pt>
                <c:pt idx="79">
                  <c:v>500.62168434552069</c:v>
                </c:pt>
                <c:pt idx="80">
                  <c:v>504.69375764786105</c:v>
                </c:pt>
                <c:pt idx="81">
                  <c:v>508.7651360809777</c:v>
                </c:pt>
                <c:pt idx="82">
                  <c:v>512.83582599448357</c:v>
                </c:pt>
                <c:pt idx="83">
                  <c:v>516.90583362888981</c:v>
                </c:pt>
                <c:pt idx="84">
                  <c:v>520.97516511834272</c:v>
                </c:pt>
                <c:pt idx="85">
                  <c:v>525.04382649327351</c:v>
                </c:pt>
                <c:pt idx="86">
                  <c:v>460.10123848060107</c:v>
                </c:pt>
                <c:pt idx="87">
                  <c:v>473.7760638212348</c:v>
                </c:pt>
                <c:pt idx="88">
                  <c:v>487.44249082116932</c:v>
                </c:pt>
                <c:pt idx="89">
                  <c:v>501.10078806812868</c:v>
                </c:pt>
                <c:pt idx="90">
                  <c:v>514.75120831755794</c:v>
                </c:pt>
                <c:pt idx="91">
                  <c:v>528.39398982975831</c:v>
                </c:pt>
                <c:pt idx="92">
                  <c:v>542.0293575617776</c:v>
                </c:pt>
                <c:pt idx="93">
                  <c:v>555.65752423315951</c:v>
                </c:pt>
                <c:pt idx="94">
                  <c:v>491.99614708203103</c:v>
                </c:pt>
                <c:pt idx="95">
                  <c:v>504.93326966944136</c:v>
                </c:pt>
                <c:pt idx="96">
                  <c:v>517.86338399569286</c:v>
                </c:pt>
                <c:pt idx="97">
                  <c:v>530.78668966466364</c:v>
                </c:pt>
                <c:pt idx="98">
                  <c:v>543.70337577012333</c:v>
                </c:pt>
                <c:pt idx="99">
                  <c:v>556.61362169091842</c:v>
                </c:pt>
                <c:pt idx="100">
                  <c:v>569.51759780856662</c:v>
                </c:pt>
                <c:pt idx="101">
                  <c:v>582.4154661564512</c:v>
                </c:pt>
                <c:pt idx="102">
                  <c:v>530.57401444342975</c:v>
                </c:pt>
                <c:pt idx="103">
                  <c:v>543.75651743119226</c:v>
                </c:pt>
                <c:pt idx="104">
                  <c:v>556.93231319607992</c:v>
                </c:pt>
                <c:pt idx="105">
                  <c:v>570.10158272590422</c:v>
                </c:pt>
                <c:pt idx="106">
                  <c:v>583.26449796783004</c:v>
                </c:pt>
                <c:pt idx="107">
                  <c:v>596.42122247807106</c:v>
                </c:pt>
                <c:pt idx="108">
                  <c:v>609.57191201129922</c:v>
                </c:pt>
                <c:pt idx="109">
                  <c:v>622.71671505656798</c:v>
                </c:pt>
                <c:pt idx="110">
                  <c:v>635.85577332565379</c:v>
                </c:pt>
                <c:pt idx="111">
                  <c:v>570.56876165925428</c:v>
                </c:pt>
                <c:pt idx="112">
                  <c:v>579.74084706072165</c:v>
                </c:pt>
                <c:pt idx="113">
                  <c:v>588.90990618526189</c:v>
                </c:pt>
                <c:pt idx="114">
                  <c:v>598.07599279308999</c:v>
                </c:pt>
                <c:pt idx="115">
                  <c:v>607.23915886223926</c:v>
                </c:pt>
                <c:pt idx="116">
                  <c:v>616.39945467421978</c:v>
                </c:pt>
                <c:pt idx="117">
                  <c:v>625.55692889432009</c:v>
                </c:pt>
                <c:pt idx="118">
                  <c:v>634.71162864696225</c:v>
                </c:pt>
                <c:pt idx="119">
                  <c:v>643.86359958648666</c:v>
                </c:pt>
                <c:pt idx="120">
                  <c:v>653.01288596370136</c:v>
                </c:pt>
                <c:pt idx="121">
                  <c:v>586.80892793204794</c:v>
                </c:pt>
                <c:pt idx="122">
                  <c:v>602.65793771360916</c:v>
                </c:pt>
                <c:pt idx="123">
                  <c:v>618.49829000291766</c:v>
                </c:pt>
                <c:pt idx="124">
                  <c:v>634.33023761708807</c:v>
                </c:pt>
                <c:pt idx="125">
                  <c:v>650.15401973277301</c:v>
                </c:pt>
                <c:pt idx="126">
                  <c:v>665.96986294302167</c:v>
                </c:pt>
                <c:pt idx="127">
                  <c:v>681.77798220858915</c:v>
                </c:pt>
                <c:pt idx="128">
                  <c:v>697.57858171649559</c:v>
                </c:pt>
                <c:pt idx="129">
                  <c:v>713.3718556568092</c:v>
                </c:pt>
                <c:pt idx="130">
                  <c:v>729.15798892712144</c:v>
                </c:pt>
                <c:pt idx="131">
                  <c:v>654.34693517859796</c:v>
                </c:pt>
                <c:pt idx="132">
                  <c:v>667.11287504220161</c:v>
                </c:pt>
                <c:pt idx="133">
                  <c:v>679.87379189018372</c:v>
                </c:pt>
                <c:pt idx="134">
                  <c:v>692.62979323978072</c:v>
                </c:pt>
                <c:pt idx="135">
                  <c:v>705.38098232722371</c:v>
                </c:pt>
                <c:pt idx="136">
                  <c:v>718.12745835411454</c:v>
                </c:pt>
                <c:pt idx="137">
                  <c:v>730.86931671541049</c:v>
                </c:pt>
                <c:pt idx="138">
                  <c:v>743.6066492106952</c:v>
                </c:pt>
                <c:pt idx="139">
                  <c:v>756.33954424023148</c:v>
                </c:pt>
                <c:pt idx="140">
                  <c:v>769.06808698713451</c:v>
                </c:pt>
                <c:pt idx="141">
                  <c:v>696.2462865381591</c:v>
                </c:pt>
                <c:pt idx="142">
                  <c:v>708.99612917853165</c:v>
                </c:pt>
                <c:pt idx="143">
                  <c:v>721.74128618785778</c:v>
                </c:pt>
                <c:pt idx="144">
                  <c:v>734.48185192073799</c:v>
                </c:pt>
                <c:pt idx="145">
                  <c:v>747.21791719348073</c:v>
                </c:pt>
                <c:pt idx="146">
                  <c:v>759.94956947609035</c:v>
                </c:pt>
                <c:pt idx="147">
                  <c:v>772.67689307072885</c:v>
                </c:pt>
                <c:pt idx="148">
                  <c:v>785.3999692778176</c:v>
                </c:pt>
                <c:pt idx="149">
                  <c:v>798.11887655082489</c:v>
                </c:pt>
                <c:pt idx="150">
                  <c:v>810.83369064068154</c:v>
                </c:pt>
                <c:pt idx="151">
                  <c:v>734.48185192073788</c:v>
                </c:pt>
                <c:pt idx="152">
                  <c:v>747.40797408215906</c:v>
                </c:pt>
                <c:pt idx="153">
                  <c:v>760.32955185079152</c:v>
                </c:pt>
                <c:pt idx="154">
                  <c:v>773.24667328867952</c:v>
                </c:pt>
                <c:pt idx="155">
                  <c:v>786.15942327787809</c:v>
                </c:pt>
                <c:pt idx="156">
                  <c:v>799.06788368671334</c:v>
                </c:pt>
                <c:pt idx="157">
                  <c:v>811.97213352474898</c:v>
                </c:pt>
                <c:pt idx="158">
                  <c:v>824.87224908740075</c:v>
                </c:pt>
                <c:pt idx="159">
                  <c:v>837.76830409103889</c:v>
                </c:pt>
                <c:pt idx="160">
                  <c:v>850.66036979934904</c:v>
                </c:pt>
                <c:pt idx="161">
                  <c:v>766.97862137246386</c:v>
                </c:pt>
                <c:pt idx="162">
                  <c:v>780.0833743204613</c:v>
                </c:pt>
                <c:pt idx="163">
                  <c:v>793.18367129725732</c:v>
                </c:pt>
                <c:pt idx="164">
                  <c:v>806.27959621437003</c:v>
                </c:pt>
                <c:pt idx="165">
                  <c:v>819.37123003731574</c:v>
                </c:pt>
                <c:pt idx="166">
                  <c:v>832.4586509354308</c:v>
                </c:pt>
                <c:pt idx="167">
                  <c:v>845.5419344217886</c:v>
                </c:pt>
                <c:pt idx="168">
                  <c:v>858.62115348401676</c:v>
                </c:pt>
                <c:pt idx="169">
                  <c:v>871.6963787067333</c:v>
                </c:pt>
                <c:pt idx="170">
                  <c:v>884.76767838626654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59.294572898097947</c:v>
                </c:pt>
                <c:pt idx="14">
                  <c:v>69.495475147197965</c:v>
                </c:pt>
                <c:pt idx="15">
                  <c:v>79.657858395890656</c:v>
                </c:pt>
                <c:pt idx="16">
                  <c:v>89.787344215805888</c:v>
                </c:pt>
                <c:pt idx="17">
                  <c:v>85.336765239586711</c:v>
                </c:pt>
                <c:pt idx="18">
                  <c:v>100.38102857089069</c:v>
                </c:pt>
                <c:pt idx="19">
                  <c:v>115.36930733239113</c:v>
                </c:pt>
                <c:pt idx="20">
                  <c:v>130.30991517841122</c:v>
                </c:pt>
                <c:pt idx="21">
                  <c:v>117.95525009860587</c:v>
                </c:pt>
                <c:pt idx="22">
                  <c:v>134.48693618131094</c:v>
                </c:pt>
                <c:pt idx="23">
                  <c:v>150.96961853533023</c:v>
                </c:pt>
                <c:pt idx="24">
                  <c:v>167.40940616588932</c:v>
                </c:pt>
                <c:pt idx="25">
                  <c:v>147.06476517816614</c:v>
                </c:pt>
                <c:pt idx="26">
                  <c:v>166.76036337725228</c:v>
                </c:pt>
                <c:pt idx="27">
                  <c:v>186.40104076723375</c:v>
                </c:pt>
                <c:pt idx="28">
                  <c:v>205.99340154257501</c:v>
                </c:pt>
                <c:pt idx="29">
                  <c:v>177.00843393976731</c:v>
                </c:pt>
                <c:pt idx="30">
                  <c:v>193.84246523010287</c:v>
                </c:pt>
                <c:pt idx="31">
                  <c:v>210.64250512748188</c:v>
                </c:pt>
                <c:pt idx="32">
                  <c:v>227.41164682039505</c:v>
                </c:pt>
                <c:pt idx="33">
                  <c:v>244.1524896666883</c:v>
                </c:pt>
                <c:pt idx="34">
                  <c:v>260.86724722641276</c:v>
                </c:pt>
                <c:pt idx="35">
                  <c:v>219.03076565248196</c:v>
                </c:pt>
                <c:pt idx="36">
                  <c:v>236.68684504184463</c:v>
                </c:pt>
                <c:pt idx="37">
                  <c:v>254.31290079767027</c:v>
                </c:pt>
                <c:pt idx="38">
                  <c:v>271.91130653026465</c:v>
                </c:pt>
                <c:pt idx="39">
                  <c:v>289.48410340692169</c:v>
                </c:pt>
                <c:pt idx="40">
                  <c:v>307.03306449670225</c:v>
                </c:pt>
                <c:pt idx="41">
                  <c:v>269.2154501117588</c:v>
                </c:pt>
                <c:pt idx="42">
                  <c:v>284.35589788902752</c:v>
                </c:pt>
                <c:pt idx="43">
                  <c:v>299.478300691627</c:v>
                </c:pt>
                <c:pt idx="44">
                  <c:v>314.58369804007606</c:v>
                </c:pt>
                <c:pt idx="45">
                  <c:v>329.67302146054971</c:v>
                </c:pt>
                <c:pt idx="46">
                  <c:v>344.74711023782896</c:v>
                </c:pt>
                <c:pt idx="47">
                  <c:v>317.74992250089502</c:v>
                </c:pt>
                <c:pt idx="48">
                  <c:v>327.43617956532677</c:v>
                </c:pt>
                <c:pt idx="49">
                  <c:v>337.11611097410758</c:v>
                </c:pt>
                <c:pt idx="50">
                  <c:v>346.78992407717436</c:v>
                </c:pt>
                <c:pt idx="51">
                  <c:v>356.45781370551884</c:v>
                </c:pt>
                <c:pt idx="52">
                  <c:v>366.11996325342778</c:v>
                </c:pt>
                <c:pt idx="53">
                  <c:v>375.77654564046526</c:v>
                </c:pt>
                <c:pt idx="54">
                  <c:v>385.42772416937299</c:v>
                </c:pt>
                <c:pt idx="55">
                  <c:v>370.15217407868482</c:v>
                </c:pt>
                <c:pt idx="56">
                  <c:v>374.75696653960432</c:v>
                </c:pt>
                <c:pt idx="57">
                  <c:v>379.36052629956595</c:v>
                </c:pt>
                <c:pt idx="58">
                  <c:v>383.96287044663205</c:v>
                </c:pt>
                <c:pt idx="59">
                  <c:v>388.56401562530056</c:v>
                </c:pt>
                <c:pt idx="60">
                  <c:v>393.16397805325397</c:v>
                </c:pt>
                <c:pt idx="61">
                  <c:v>397.76277353728341</c:v>
                </c:pt>
                <c:pt idx="62">
                  <c:v>402.36041748843633</c:v>
                </c:pt>
                <c:pt idx="63">
                  <c:v>394.08701280465715</c:v>
                </c:pt>
                <c:pt idx="64">
                  <c:v>394.08701280465715</c:v>
                </c:pt>
                <c:pt idx="65">
                  <c:v>394.08701280465715</c:v>
                </c:pt>
                <c:pt idx="66">
                  <c:v>394.08701280465715</c:v>
                </c:pt>
                <c:pt idx="67">
                  <c:v>394.08701280465715</c:v>
                </c:pt>
                <c:pt idx="68">
                  <c:v>394.08701280465715</c:v>
                </c:pt>
                <c:pt idx="69">
                  <c:v>394.08701280465715</c:v>
                </c:pt>
                <c:pt idx="70">
                  <c:v>394.08701280465715</c:v>
                </c:pt>
                <c:pt idx="71">
                  <c:v>394.08701280465715</c:v>
                </c:pt>
                <c:pt idx="72">
                  <c:v>394.08701280465715</c:v>
                </c:pt>
                <c:pt idx="73">
                  <c:v>394.08701280465715</c:v>
                </c:pt>
                <c:pt idx="74">
                  <c:v>394.08701280465715</c:v>
                </c:pt>
                <c:pt idx="75">
                  <c:v>394.08701280465715</c:v>
                </c:pt>
                <c:pt idx="76">
                  <c:v>394.08701280465715</c:v>
                </c:pt>
                <c:pt idx="77">
                  <c:v>394.08701280465715</c:v>
                </c:pt>
                <c:pt idx="78">
                  <c:v>394.08701280465715</c:v>
                </c:pt>
                <c:pt idx="79">
                  <c:v>394.08701280465715</c:v>
                </c:pt>
                <c:pt idx="80">
                  <c:v>394.08701280465715</c:v>
                </c:pt>
                <c:pt idx="81">
                  <c:v>394.08701280465715</c:v>
                </c:pt>
                <c:pt idx="82">
                  <c:v>394.08701280465715</c:v>
                </c:pt>
                <c:pt idx="83">
                  <c:v>394.08701280465715</c:v>
                </c:pt>
                <c:pt idx="84">
                  <c:v>394.08701280465715</c:v>
                </c:pt>
                <c:pt idx="85">
                  <c:v>394.08701280465715</c:v>
                </c:pt>
                <c:pt idx="86">
                  <c:v>394.08701280465715</c:v>
                </c:pt>
                <c:pt idx="87">
                  <c:v>394.08701280465715</c:v>
                </c:pt>
                <c:pt idx="88">
                  <c:v>394.08701280465715</c:v>
                </c:pt>
                <c:pt idx="89">
                  <c:v>394.08701280465715</c:v>
                </c:pt>
                <c:pt idx="90">
                  <c:v>394.08701280465715</c:v>
                </c:pt>
                <c:pt idx="91">
                  <c:v>394.08701280465715</c:v>
                </c:pt>
                <c:pt idx="92">
                  <c:v>394.08701280465715</c:v>
                </c:pt>
                <c:pt idx="93">
                  <c:v>394.08701280465715</c:v>
                </c:pt>
                <c:pt idx="94">
                  <c:v>394.08701280465715</c:v>
                </c:pt>
                <c:pt idx="95">
                  <c:v>394.08701280465715</c:v>
                </c:pt>
                <c:pt idx="96">
                  <c:v>394.08701280465715</c:v>
                </c:pt>
                <c:pt idx="97">
                  <c:v>394.08701280465715</c:v>
                </c:pt>
                <c:pt idx="98">
                  <c:v>394.08701280465715</c:v>
                </c:pt>
                <c:pt idx="99">
                  <c:v>394.08701280465715</c:v>
                </c:pt>
                <c:pt idx="100">
                  <c:v>394.08701280465715</c:v>
                </c:pt>
                <c:pt idx="101">
                  <c:v>394.08701280465715</c:v>
                </c:pt>
                <c:pt idx="102">
                  <c:v>394.08701280465715</c:v>
                </c:pt>
                <c:pt idx="103">
                  <c:v>394.08701280465715</c:v>
                </c:pt>
                <c:pt idx="104">
                  <c:v>394.08701280465715</c:v>
                </c:pt>
                <c:pt idx="105">
                  <c:v>394.08701280465715</c:v>
                </c:pt>
                <c:pt idx="106">
                  <c:v>394.08701280465715</c:v>
                </c:pt>
                <c:pt idx="107">
                  <c:v>394.08701280465715</c:v>
                </c:pt>
                <c:pt idx="108">
                  <c:v>394.08701280465715</c:v>
                </c:pt>
                <c:pt idx="109">
                  <c:v>394.08701280465715</c:v>
                </c:pt>
                <c:pt idx="110">
                  <c:v>394.08701280465715</c:v>
                </c:pt>
                <c:pt idx="111">
                  <c:v>394.08701280465715</c:v>
                </c:pt>
                <c:pt idx="112">
                  <c:v>394.08701280465715</c:v>
                </c:pt>
                <c:pt idx="113">
                  <c:v>394.08701280465715</c:v>
                </c:pt>
                <c:pt idx="114">
                  <c:v>394.08701280465715</c:v>
                </c:pt>
                <c:pt idx="115">
                  <c:v>394.08701280465715</c:v>
                </c:pt>
                <c:pt idx="116">
                  <c:v>394.08701280465715</c:v>
                </c:pt>
                <c:pt idx="117">
                  <c:v>394.08701280465715</c:v>
                </c:pt>
                <c:pt idx="118">
                  <c:v>394.08701280465715</c:v>
                </c:pt>
                <c:pt idx="119">
                  <c:v>394.08701280465715</c:v>
                </c:pt>
                <c:pt idx="120">
                  <c:v>394.08701280465715</c:v>
                </c:pt>
                <c:pt idx="121">
                  <c:v>394.08701280465715</c:v>
                </c:pt>
                <c:pt idx="122">
                  <c:v>394.08701280465715</c:v>
                </c:pt>
                <c:pt idx="123">
                  <c:v>394.08701280465715</c:v>
                </c:pt>
                <c:pt idx="124">
                  <c:v>394.08701280465715</c:v>
                </c:pt>
                <c:pt idx="125">
                  <c:v>394.08701280465715</c:v>
                </c:pt>
                <c:pt idx="126">
                  <c:v>394.08701280465715</c:v>
                </c:pt>
                <c:pt idx="127">
                  <c:v>394.08701280465715</c:v>
                </c:pt>
                <c:pt idx="128">
                  <c:v>394.08701280465715</c:v>
                </c:pt>
                <c:pt idx="129">
                  <c:v>394.08701280465715</c:v>
                </c:pt>
                <c:pt idx="130">
                  <c:v>394.08701280465715</c:v>
                </c:pt>
                <c:pt idx="131">
                  <c:v>394.08701280465715</c:v>
                </c:pt>
                <c:pt idx="132">
                  <c:v>394.08701280465715</c:v>
                </c:pt>
                <c:pt idx="133">
                  <c:v>394.08701280465715</c:v>
                </c:pt>
                <c:pt idx="134">
                  <c:v>394.08701280465715</c:v>
                </c:pt>
                <c:pt idx="135">
                  <c:v>394.08701280465715</c:v>
                </c:pt>
                <c:pt idx="136">
                  <c:v>394.08701280465715</c:v>
                </c:pt>
                <c:pt idx="137">
                  <c:v>394.08701280465715</c:v>
                </c:pt>
                <c:pt idx="138">
                  <c:v>394.08701280465715</c:v>
                </c:pt>
                <c:pt idx="139">
                  <c:v>394.08701280465715</c:v>
                </c:pt>
                <c:pt idx="140">
                  <c:v>394.08701280465715</c:v>
                </c:pt>
                <c:pt idx="141">
                  <c:v>394.08701280465715</c:v>
                </c:pt>
                <c:pt idx="142">
                  <c:v>394.08701280465715</c:v>
                </c:pt>
                <c:pt idx="143">
                  <c:v>394.08701280465715</c:v>
                </c:pt>
                <c:pt idx="144">
                  <c:v>394.08701280465715</c:v>
                </c:pt>
                <c:pt idx="145">
                  <c:v>394.08701280465715</c:v>
                </c:pt>
                <c:pt idx="146">
                  <c:v>394.08701280465715</c:v>
                </c:pt>
                <c:pt idx="147">
                  <c:v>394.08701280465715</c:v>
                </c:pt>
                <c:pt idx="148">
                  <c:v>394.08701280465715</c:v>
                </c:pt>
                <c:pt idx="149">
                  <c:v>394.08701280465715</c:v>
                </c:pt>
                <c:pt idx="150">
                  <c:v>394.08701280465715</c:v>
                </c:pt>
                <c:pt idx="151">
                  <c:v>394.08701280465715</c:v>
                </c:pt>
                <c:pt idx="152">
                  <c:v>394.08701280465715</c:v>
                </c:pt>
                <c:pt idx="153">
                  <c:v>394.08701280465715</c:v>
                </c:pt>
                <c:pt idx="154">
                  <c:v>394.08701280465715</c:v>
                </c:pt>
                <c:pt idx="155">
                  <c:v>394.08701280465715</c:v>
                </c:pt>
                <c:pt idx="156">
                  <c:v>394.08701280465715</c:v>
                </c:pt>
                <c:pt idx="157">
                  <c:v>394.08701280465715</c:v>
                </c:pt>
                <c:pt idx="158">
                  <c:v>394.08701280465715</c:v>
                </c:pt>
                <c:pt idx="159">
                  <c:v>394.08701280465715</c:v>
                </c:pt>
                <c:pt idx="160">
                  <c:v>394.08701280465715</c:v>
                </c:pt>
                <c:pt idx="161">
                  <c:v>394.08701280465715</c:v>
                </c:pt>
                <c:pt idx="162">
                  <c:v>394.08701280465715</c:v>
                </c:pt>
                <c:pt idx="163">
                  <c:v>394.08701280465715</c:v>
                </c:pt>
                <c:pt idx="164">
                  <c:v>394.08701280465715</c:v>
                </c:pt>
                <c:pt idx="165">
                  <c:v>394.08701280465715</c:v>
                </c:pt>
                <c:pt idx="166">
                  <c:v>394.08701280465715</c:v>
                </c:pt>
                <c:pt idx="167">
                  <c:v>394.08701280465715</c:v>
                </c:pt>
                <c:pt idx="168">
                  <c:v>394.08701280465715</c:v>
                </c:pt>
                <c:pt idx="169">
                  <c:v>394.08701280465715</c:v>
                </c:pt>
                <c:pt idx="170">
                  <c:v>394.08701280465715</c:v>
                </c:pt>
                <c:pt idx="171">
                  <c:v>394.08701280465715</c:v>
                </c:pt>
                <c:pt idx="172">
                  <c:v>394.08701280465715</c:v>
                </c:pt>
                <c:pt idx="173">
                  <c:v>394.08701280465715</c:v>
                </c:pt>
                <c:pt idx="174">
                  <c:v>394.08701280465715</c:v>
                </c:pt>
                <c:pt idx="175">
                  <c:v>394.08701280465715</c:v>
                </c:pt>
                <c:pt idx="176">
                  <c:v>394.08701280465715</c:v>
                </c:pt>
                <c:pt idx="177">
                  <c:v>394.08701280465715</c:v>
                </c:pt>
                <c:pt idx="178">
                  <c:v>394.08701280465715</c:v>
                </c:pt>
                <c:pt idx="179">
                  <c:v>394.08701280465715</c:v>
                </c:pt>
                <c:pt idx="180">
                  <c:v>394.08701280465715</c:v>
                </c:pt>
                <c:pt idx="181">
                  <c:v>394.08701280465715</c:v>
                </c:pt>
                <c:pt idx="182">
                  <c:v>394.08701280465715</c:v>
                </c:pt>
                <c:pt idx="183">
                  <c:v>394.08701280465715</c:v>
                </c:pt>
                <c:pt idx="184">
                  <c:v>394.08701280465715</c:v>
                </c:pt>
                <c:pt idx="185">
                  <c:v>394.08701280465715</c:v>
                </c:pt>
                <c:pt idx="186">
                  <c:v>394.08701280465715</c:v>
                </c:pt>
                <c:pt idx="187">
                  <c:v>394.08701280465715</c:v>
                </c:pt>
                <c:pt idx="188">
                  <c:v>394.08701280465715</c:v>
                </c:pt>
                <c:pt idx="189">
                  <c:v>394.08701280465715</c:v>
                </c:pt>
                <c:pt idx="190">
                  <c:v>394.08701280465715</c:v>
                </c:pt>
                <c:pt idx="191">
                  <c:v>394.08701280465715</c:v>
                </c:pt>
                <c:pt idx="192">
                  <c:v>394.08701280465715</c:v>
                </c:pt>
                <c:pt idx="193">
                  <c:v>394.08701280465715</c:v>
                </c:pt>
                <c:pt idx="194">
                  <c:v>394.08701280465715</c:v>
                </c:pt>
                <c:pt idx="195">
                  <c:v>394.08701280465715</c:v>
                </c:pt>
                <c:pt idx="196">
                  <c:v>394.08701280465715</c:v>
                </c:pt>
                <c:pt idx="197">
                  <c:v>394.08701280465715</c:v>
                </c:pt>
                <c:pt idx="198">
                  <c:v>394.08701280465715</c:v>
                </c:pt>
                <c:pt idx="199">
                  <c:v>394.08701280465715</c:v>
                </c:pt>
                <c:pt idx="200">
                  <c:v>394.08701280465715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1.4219996855223902</c:v>
                </c:pt>
                <c:pt idx="2">
                  <c:v>1.9055558099333443</c:v>
                </c:pt>
                <c:pt idx="3">
                  <c:v>2.5542475914735228</c:v>
                </c:pt>
                <c:pt idx="4">
                  <c:v>3.4246953427283322</c:v>
                </c:pt>
                <c:pt idx="5">
                  <c:v>4.5930054968543548</c:v>
                </c:pt>
                <c:pt idx="6">
                  <c:v>6.1615000791626899</c:v>
                </c:pt>
                <c:pt idx="7">
                  <c:v>8.2677775900586195</c:v>
                </c:pt>
                <c:pt idx="8">
                  <c:v>11.096915365802047</c:v>
                </c:pt>
                <c:pt idx="9">
                  <c:v>14.89790569270683</c:v>
                </c:pt>
                <c:pt idx="10">
                  <c:v>20.005798710338812</c:v>
                </c:pt>
                <c:pt idx="11">
                  <c:v>26.871538939240398</c:v>
                </c:pt>
                <c:pt idx="12">
                  <c:v>36.102175691229341</c:v>
                </c:pt>
                <c:pt idx="13">
                  <c:v>48.515063588887962</c:v>
                </c:pt>
                <c:pt idx="14">
                  <c:v>65.210932941887208</c:v>
                </c:pt>
                <c:pt idx="15">
                  <c:v>87.672415653160485</c:v>
                </c:pt>
                <c:pt idx="16">
                  <c:v>98.85227351185604</c:v>
                </c:pt>
                <c:pt idx="17">
                  <c:v>110.00072120604004</c:v>
                </c:pt>
                <c:pt idx="18">
                  <c:v>121.12139610560513</c:v>
                </c:pt>
                <c:pt idx="19">
                  <c:v>132.21721110646129</c:v>
                </c:pt>
                <c:pt idx="20">
                  <c:v>143.29054905710137</c:v>
                </c:pt>
                <c:pt idx="21">
                  <c:v>106.99528255758882</c:v>
                </c:pt>
                <c:pt idx="22">
                  <c:v>134.15221021647582</c:v>
                </c:pt>
                <c:pt idx="23">
                  <c:v>161.17610480411562</c:v>
                </c:pt>
                <c:pt idx="24">
                  <c:v>188.09248844997217</c:v>
                </c:pt>
                <c:pt idx="25">
                  <c:v>214.91893545635992</c:v>
                </c:pt>
                <c:pt idx="26">
                  <c:v>172.02437756633125</c:v>
                </c:pt>
                <c:pt idx="27">
                  <c:v>202.38699404389845</c:v>
                </c:pt>
                <c:pt idx="28">
                  <c:v>232.64398903087172</c:v>
                </c:pt>
                <c:pt idx="29">
                  <c:v>262.81103916197998</c:v>
                </c:pt>
                <c:pt idx="30">
                  <c:v>292.8999193112889</c:v>
                </c:pt>
                <c:pt idx="31">
                  <c:v>249.64486361233193</c:v>
                </c:pt>
                <c:pt idx="32">
                  <c:v>279.07502565621877</c:v>
                </c:pt>
                <c:pt idx="33">
                  <c:v>308.435554343386</c:v>
                </c:pt>
                <c:pt idx="34">
                  <c:v>337.73400542179792</c:v>
                </c:pt>
                <c:pt idx="35">
                  <c:v>366.976516342477</c:v>
                </c:pt>
                <c:pt idx="36">
                  <c:v>322.23039053563429</c:v>
                </c:pt>
                <c:pt idx="37">
                  <c:v>349.78150378174973</c:v>
                </c:pt>
                <c:pt idx="38">
                  <c:v>377.28502432944293</c:v>
                </c:pt>
                <c:pt idx="39">
                  <c:v>404.74490589416973</c:v>
                </c:pt>
                <c:pt idx="40">
                  <c:v>432.16452222276945</c:v>
                </c:pt>
                <c:pt idx="41">
                  <c:v>385.69908263965391</c:v>
                </c:pt>
                <c:pt idx="42">
                  <c:v>411.26059505034641</c:v>
                </c:pt>
                <c:pt idx="43">
                  <c:v>436.78782527800303</c:v>
                </c:pt>
                <c:pt idx="44">
                  <c:v>462.28305655003265</c:v>
                </c:pt>
                <c:pt idx="45">
                  <c:v>487.7482999123331</c:v>
                </c:pt>
                <c:pt idx="46">
                  <c:v>440.55418417657251</c:v>
                </c:pt>
                <c:pt idx="47">
                  <c:v>465.18996719392544</c:v>
                </c:pt>
                <c:pt idx="48">
                  <c:v>489.7979424219518</c:v>
                </c:pt>
                <c:pt idx="49">
                  <c:v>514.37970197529091</c:v>
                </c:pt>
                <c:pt idx="50">
                  <c:v>538.93667353064018</c:v>
                </c:pt>
                <c:pt idx="51">
                  <c:v>495.26276855123501</c:v>
                </c:pt>
                <c:pt idx="52">
                  <c:v>518.9859816892282</c:v>
                </c:pt>
                <c:pt idx="53">
                  <c:v>542.68633329701777</c:v>
                </c:pt>
                <c:pt idx="54">
                  <c:v>566.3649611772023</c:v>
                </c:pt>
                <c:pt idx="55">
                  <c:v>590.02290033338511</c:v>
                </c:pt>
                <c:pt idx="56">
                  <c:v>551.8877460784629</c:v>
                </c:pt>
                <c:pt idx="57">
                  <c:v>573.34530939827062</c:v>
                </c:pt>
                <c:pt idx="58">
                  <c:v>594.78611026001704</c:v>
                </c:pt>
                <c:pt idx="59">
                  <c:v>616.21083735527861</c:v>
                </c:pt>
                <c:pt idx="60">
                  <c:v>637.62012762925076</c:v>
                </c:pt>
                <c:pt idx="61">
                  <c:v>602.94977073041787</c:v>
                </c:pt>
                <c:pt idx="62">
                  <c:v>622.66920534201552</c:v>
                </c:pt>
                <c:pt idx="63">
                  <c:v>642.375711596987</c:v>
                </c:pt>
                <c:pt idx="64">
                  <c:v>662.06974156582521</c:v>
                </c:pt>
                <c:pt idx="65">
                  <c:v>681.751718257677</c:v>
                </c:pt>
                <c:pt idx="66">
                  <c:v>648.82855708815214</c:v>
                </c:pt>
                <c:pt idx="67">
                  <c:v>666.82165164863466</c:v>
                </c:pt>
                <c:pt idx="68">
                  <c:v>684.8047636834516</c:v>
                </c:pt>
                <c:pt idx="69">
                  <c:v>702.77819201709599</c:v>
                </c:pt>
                <c:pt idx="70">
                  <c:v>720.74221895730454</c:v>
                </c:pt>
                <c:pt idx="71">
                  <c:v>690.06213267807846</c:v>
                </c:pt>
                <c:pt idx="72">
                  <c:v>706.84633240936728</c:v>
                </c:pt>
                <c:pt idx="73">
                  <c:v>723.62238545512685</c:v>
                </c:pt>
                <c:pt idx="74">
                  <c:v>740.39050712068695</c:v>
                </c:pt>
                <c:pt idx="75">
                  <c:v>757.1509021728067</c:v>
                </c:pt>
                <c:pt idx="76">
                  <c:v>726.84111838850129</c:v>
                </c:pt>
                <c:pt idx="77">
                  <c:v>742.25315115071987</c:v>
                </c:pt>
                <c:pt idx="78">
                  <c:v>757.65867439832107</c:v>
                </c:pt>
                <c:pt idx="79">
                  <c:v>773.05783902529492</c:v>
                </c:pt>
                <c:pt idx="80">
                  <c:v>788.45078942917837</c:v>
                </c:pt>
                <c:pt idx="81">
                  <c:v>744.45433513542378</c:v>
                </c:pt>
                <c:pt idx="82">
                  <c:v>744.45433513542378</c:v>
                </c:pt>
                <c:pt idx="83">
                  <c:v>744.45433513542378</c:v>
                </c:pt>
                <c:pt idx="84">
                  <c:v>744.45433513542378</c:v>
                </c:pt>
                <c:pt idx="85">
                  <c:v>744.45433513542378</c:v>
                </c:pt>
                <c:pt idx="86">
                  <c:v>744.45433513542378</c:v>
                </c:pt>
                <c:pt idx="87">
                  <c:v>744.45433513542378</c:v>
                </c:pt>
                <c:pt idx="88">
                  <c:v>744.45433513542378</c:v>
                </c:pt>
                <c:pt idx="89">
                  <c:v>744.45433513542378</c:v>
                </c:pt>
                <c:pt idx="90">
                  <c:v>744.45433513542378</c:v>
                </c:pt>
                <c:pt idx="91">
                  <c:v>744.45433513542378</c:v>
                </c:pt>
                <c:pt idx="92">
                  <c:v>744.45433513542378</c:v>
                </c:pt>
                <c:pt idx="93">
                  <c:v>744.45433513542378</c:v>
                </c:pt>
                <c:pt idx="94">
                  <c:v>744.45433513542378</c:v>
                </c:pt>
                <c:pt idx="95">
                  <c:v>744.45433513542378</c:v>
                </c:pt>
                <c:pt idx="96">
                  <c:v>744.45433513542378</c:v>
                </c:pt>
                <c:pt idx="97">
                  <c:v>744.45433513542378</c:v>
                </c:pt>
                <c:pt idx="98">
                  <c:v>744.45433513542378</c:v>
                </c:pt>
                <c:pt idx="99">
                  <c:v>744.45433513542378</c:v>
                </c:pt>
                <c:pt idx="100">
                  <c:v>744.45433513542378</c:v>
                </c:pt>
                <c:pt idx="101">
                  <c:v>744.45433513542378</c:v>
                </c:pt>
                <c:pt idx="102">
                  <c:v>744.45433513542378</c:v>
                </c:pt>
                <c:pt idx="103">
                  <c:v>744.45433513542378</c:v>
                </c:pt>
                <c:pt idx="104">
                  <c:v>744.45433513542378</c:v>
                </c:pt>
                <c:pt idx="105">
                  <c:v>744.45433513542378</c:v>
                </c:pt>
                <c:pt idx="106">
                  <c:v>744.45433513542378</c:v>
                </c:pt>
                <c:pt idx="107">
                  <c:v>744.45433513542378</c:v>
                </c:pt>
                <c:pt idx="108">
                  <c:v>744.45433513542378</c:v>
                </c:pt>
                <c:pt idx="109">
                  <c:v>744.45433513542378</c:v>
                </c:pt>
                <c:pt idx="110">
                  <c:v>744.45433513542378</c:v>
                </c:pt>
                <c:pt idx="111">
                  <c:v>744.45433513542378</c:v>
                </c:pt>
                <c:pt idx="112">
                  <c:v>744.45433513542378</c:v>
                </c:pt>
                <c:pt idx="113">
                  <c:v>744.45433513542378</c:v>
                </c:pt>
                <c:pt idx="114">
                  <c:v>744.45433513542378</c:v>
                </c:pt>
                <c:pt idx="115">
                  <c:v>744.45433513542378</c:v>
                </c:pt>
                <c:pt idx="116">
                  <c:v>744.45433513542378</c:v>
                </c:pt>
                <c:pt idx="117">
                  <c:v>744.45433513542378</c:v>
                </c:pt>
                <c:pt idx="118">
                  <c:v>744.45433513542378</c:v>
                </c:pt>
                <c:pt idx="119">
                  <c:v>744.45433513542378</c:v>
                </c:pt>
                <c:pt idx="120">
                  <c:v>744.45433513542378</c:v>
                </c:pt>
                <c:pt idx="121">
                  <c:v>744.45433513542378</c:v>
                </c:pt>
                <c:pt idx="122">
                  <c:v>744.45433513542378</c:v>
                </c:pt>
                <c:pt idx="123">
                  <c:v>744.45433513542378</c:v>
                </c:pt>
                <c:pt idx="124">
                  <c:v>744.45433513542378</c:v>
                </c:pt>
                <c:pt idx="125">
                  <c:v>744.45433513542378</c:v>
                </c:pt>
                <c:pt idx="126">
                  <c:v>744.45433513542378</c:v>
                </c:pt>
                <c:pt idx="127">
                  <c:v>744.45433513542378</c:v>
                </c:pt>
                <c:pt idx="128">
                  <c:v>744.45433513542378</c:v>
                </c:pt>
                <c:pt idx="129">
                  <c:v>744.45433513542378</c:v>
                </c:pt>
                <c:pt idx="130">
                  <c:v>744.45433513542378</c:v>
                </c:pt>
                <c:pt idx="131">
                  <c:v>744.45433513542378</c:v>
                </c:pt>
                <c:pt idx="132">
                  <c:v>744.45433513542378</c:v>
                </c:pt>
                <c:pt idx="133">
                  <c:v>744.45433513542378</c:v>
                </c:pt>
                <c:pt idx="134">
                  <c:v>744.45433513542378</c:v>
                </c:pt>
                <c:pt idx="135">
                  <c:v>744.45433513542378</c:v>
                </c:pt>
                <c:pt idx="136">
                  <c:v>744.45433513542378</c:v>
                </c:pt>
                <c:pt idx="137">
                  <c:v>744.45433513542378</c:v>
                </c:pt>
                <c:pt idx="138">
                  <c:v>744.45433513542378</c:v>
                </c:pt>
                <c:pt idx="139">
                  <c:v>744.45433513542378</c:v>
                </c:pt>
                <c:pt idx="140">
                  <c:v>744.45433513542378</c:v>
                </c:pt>
                <c:pt idx="141">
                  <c:v>744.45433513542378</c:v>
                </c:pt>
                <c:pt idx="142">
                  <c:v>744.45433513542378</c:v>
                </c:pt>
                <c:pt idx="143">
                  <c:v>744.45433513542378</c:v>
                </c:pt>
                <c:pt idx="144">
                  <c:v>744.45433513542378</c:v>
                </c:pt>
                <c:pt idx="145">
                  <c:v>744.45433513542378</c:v>
                </c:pt>
                <c:pt idx="146">
                  <c:v>744.45433513542378</c:v>
                </c:pt>
                <c:pt idx="147">
                  <c:v>744.45433513542378</c:v>
                </c:pt>
                <c:pt idx="148">
                  <c:v>744.45433513542378</c:v>
                </c:pt>
                <c:pt idx="149">
                  <c:v>744.45433513542378</c:v>
                </c:pt>
                <c:pt idx="150">
                  <c:v>744.45433513542378</c:v>
                </c:pt>
                <c:pt idx="151">
                  <c:v>744.45433513542378</c:v>
                </c:pt>
                <c:pt idx="152">
                  <c:v>744.45433513542378</c:v>
                </c:pt>
                <c:pt idx="153">
                  <c:v>744.45433513542378</c:v>
                </c:pt>
                <c:pt idx="154">
                  <c:v>744.45433513542378</c:v>
                </c:pt>
                <c:pt idx="155">
                  <c:v>744.45433513542378</c:v>
                </c:pt>
                <c:pt idx="156">
                  <c:v>744.45433513542378</c:v>
                </c:pt>
                <c:pt idx="157">
                  <c:v>744.45433513542378</c:v>
                </c:pt>
                <c:pt idx="158">
                  <c:v>744.45433513542378</c:v>
                </c:pt>
                <c:pt idx="159">
                  <c:v>744.45433513542378</c:v>
                </c:pt>
                <c:pt idx="160">
                  <c:v>744.45433513542378</c:v>
                </c:pt>
                <c:pt idx="161">
                  <c:v>744.45433513542378</c:v>
                </c:pt>
                <c:pt idx="162">
                  <c:v>744.45433513542378</c:v>
                </c:pt>
                <c:pt idx="163">
                  <c:v>744.45433513542378</c:v>
                </c:pt>
                <c:pt idx="164">
                  <c:v>744.45433513542378</c:v>
                </c:pt>
                <c:pt idx="165">
                  <c:v>744.45433513542378</c:v>
                </c:pt>
                <c:pt idx="166">
                  <c:v>744.45433513542378</c:v>
                </c:pt>
                <c:pt idx="167">
                  <c:v>744.45433513542378</c:v>
                </c:pt>
                <c:pt idx="168">
                  <c:v>744.45433513542378</c:v>
                </c:pt>
                <c:pt idx="169">
                  <c:v>744.45433513542378</c:v>
                </c:pt>
                <c:pt idx="170">
                  <c:v>744.45433513542378</c:v>
                </c:pt>
                <c:pt idx="171">
                  <c:v>744.45433513542378</c:v>
                </c:pt>
                <c:pt idx="172">
                  <c:v>744.45433513542378</c:v>
                </c:pt>
                <c:pt idx="173">
                  <c:v>744.45433513542378</c:v>
                </c:pt>
                <c:pt idx="174">
                  <c:v>744.45433513542378</c:v>
                </c:pt>
                <c:pt idx="175">
                  <c:v>744.45433513542378</c:v>
                </c:pt>
                <c:pt idx="176">
                  <c:v>744.45433513542378</c:v>
                </c:pt>
                <c:pt idx="177">
                  <c:v>744.45433513542378</c:v>
                </c:pt>
                <c:pt idx="178">
                  <c:v>744.45433513542378</c:v>
                </c:pt>
                <c:pt idx="179">
                  <c:v>744.45433513542378</c:v>
                </c:pt>
                <c:pt idx="180">
                  <c:v>744.45433513542378</c:v>
                </c:pt>
                <c:pt idx="181">
                  <c:v>744.45433513542378</c:v>
                </c:pt>
                <c:pt idx="182">
                  <c:v>744.45433513542378</c:v>
                </c:pt>
                <c:pt idx="183">
                  <c:v>744.45433513542378</c:v>
                </c:pt>
                <c:pt idx="184">
                  <c:v>744.45433513542378</c:v>
                </c:pt>
                <c:pt idx="185">
                  <c:v>744.45433513542378</c:v>
                </c:pt>
                <c:pt idx="186">
                  <c:v>744.45433513542378</c:v>
                </c:pt>
                <c:pt idx="187">
                  <c:v>744.45433513542378</c:v>
                </c:pt>
                <c:pt idx="188">
                  <c:v>744.45433513542378</c:v>
                </c:pt>
                <c:pt idx="189">
                  <c:v>744.45433513542378</c:v>
                </c:pt>
                <c:pt idx="190">
                  <c:v>744.45433513542378</c:v>
                </c:pt>
                <c:pt idx="191">
                  <c:v>744.45433513542378</c:v>
                </c:pt>
                <c:pt idx="192">
                  <c:v>744.45433513542378</c:v>
                </c:pt>
                <c:pt idx="193">
                  <c:v>744.45433513542378</c:v>
                </c:pt>
                <c:pt idx="194">
                  <c:v>744.45433513542378</c:v>
                </c:pt>
                <c:pt idx="195">
                  <c:v>744.45433513542378</c:v>
                </c:pt>
                <c:pt idx="196">
                  <c:v>744.45433513542378</c:v>
                </c:pt>
                <c:pt idx="197">
                  <c:v>744.45433513542378</c:v>
                </c:pt>
                <c:pt idx="198">
                  <c:v>744.45433513542378</c:v>
                </c:pt>
                <c:pt idx="199">
                  <c:v>744.45433513542378</c:v>
                </c:pt>
                <c:pt idx="200">
                  <c:v>744.45433513542378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1.5581671512801922</c:v>
                </c:pt>
                <c:pt idx="2">
                  <c:v>2.0936853891977356</c:v>
                </c:pt>
                <c:pt idx="3">
                  <c:v>2.8140356616861495</c:v>
                </c:pt>
                <c:pt idx="4">
                  <c:v>3.7832670330814739</c:v>
                </c:pt>
                <c:pt idx="5">
                  <c:v>5.0877059608500632</c:v>
                </c:pt>
                <c:pt idx="6">
                  <c:v>6.84373150537344</c:v>
                </c:pt>
                <c:pt idx="7">
                  <c:v>9.2082728369820117</c:v>
                </c:pt>
                <c:pt idx="8">
                  <c:v>12.392984947764333</c:v>
                </c:pt>
                <c:pt idx="9">
                  <c:v>16.68339501667371</c:v>
                </c:pt>
                <c:pt idx="10">
                  <c:v>22.464767183352976</c:v>
                </c:pt>
                <c:pt idx="11">
                  <c:v>30.257049561234812</c:v>
                </c:pt>
                <c:pt idx="12">
                  <c:v>40.762101049027791</c:v>
                </c:pt>
                <c:pt idx="13">
                  <c:v>54.927523932191555</c:v>
                </c:pt>
                <c:pt idx="14">
                  <c:v>74.032955778623247</c:v>
                </c:pt>
                <c:pt idx="15">
                  <c:v>99.806742133911712</c:v>
                </c:pt>
                <c:pt idx="16">
                  <c:v>100.38959939157125</c:v>
                </c:pt>
                <c:pt idx="17">
                  <c:v>113.57952439844463</c:v>
                </c:pt>
                <c:pt idx="18">
                  <c:v>126.73190556218712</c:v>
                </c:pt>
                <c:pt idx="19">
                  <c:v>139.85119345676972</c:v>
                </c:pt>
                <c:pt idx="20">
                  <c:v>152.94093318958377</c:v>
                </c:pt>
                <c:pt idx="21">
                  <c:v>93.389605323060195</c:v>
                </c:pt>
                <c:pt idx="22">
                  <c:v>135.41725555203229</c:v>
                </c:pt>
                <c:pt idx="23">
                  <c:v>177.12679301408659</c:v>
                </c:pt>
                <c:pt idx="24">
                  <c:v>218.60451980026974</c:v>
                </c:pt>
                <c:pt idx="25">
                  <c:v>259.9008152608456</c:v>
                </c:pt>
                <c:pt idx="26">
                  <c:v>203.90950483669846</c:v>
                </c:pt>
                <c:pt idx="27">
                  <c:v>247.92809534094238</c:v>
                </c:pt>
                <c:pt idx="28">
                  <c:v>291.76884281866904</c:v>
                </c:pt>
                <c:pt idx="29">
                  <c:v>335.46225264266161</c:v>
                </c:pt>
                <c:pt idx="30">
                  <c:v>379.03020772683857</c:v>
                </c:pt>
                <c:pt idx="31">
                  <c:v>322.04691734631359</c:v>
                </c:pt>
                <c:pt idx="32">
                  <c:v>364.14334828281125</c:v>
                </c:pt>
                <c:pt idx="33">
                  <c:v>406.13341218931458</c:v>
                </c:pt>
                <c:pt idx="34">
                  <c:v>448.02963755900032</c:v>
                </c:pt>
                <c:pt idx="35">
                  <c:v>489.8420187537485</c:v>
                </c:pt>
                <c:pt idx="36">
                  <c:v>430.755778402141</c:v>
                </c:pt>
                <c:pt idx="37">
                  <c:v>470.16446532159836</c:v>
                </c:pt>
                <c:pt idx="38">
                  <c:v>509.50281029910246</c:v>
                </c:pt>
                <c:pt idx="39">
                  <c:v>548.77699801739277</c:v>
                </c:pt>
                <c:pt idx="40">
                  <c:v>587.99225676117123</c:v>
                </c:pt>
                <c:pt idx="41">
                  <c:v>607.20625035702199</c:v>
                </c:pt>
                <c:pt idx="42">
                  <c:v>626.40762543893595</c:v>
                </c:pt>
                <c:pt idx="43">
                  <c:v>645.59682291696788</c:v>
                </c:pt>
                <c:pt idx="44">
                  <c:v>664.77425537759143</c:v>
                </c:pt>
                <c:pt idx="45">
                  <c:v>683.94030968430582</c:v>
                </c:pt>
                <c:pt idx="46">
                  <c:v>639.63640905269403</c:v>
                </c:pt>
                <c:pt idx="47">
                  <c:v>672.59089243288122</c:v>
                </c:pt>
                <c:pt idx="48">
                  <c:v>705.51221024379367</c:v>
                </c:pt>
                <c:pt idx="49">
                  <c:v>738.40212495483729</c:v>
                </c:pt>
                <c:pt idx="50">
                  <c:v>771.26222949291912</c:v>
                </c:pt>
                <c:pt idx="51">
                  <c:v>734.13001174014073</c:v>
                </c:pt>
                <c:pt idx="52">
                  <c:v>762.91070950942469</c:v>
                </c:pt>
                <c:pt idx="53">
                  <c:v>791.66938594429928</c:v>
                </c:pt>
                <c:pt idx="54">
                  <c:v>820.40695222374814</c:v>
                </c:pt>
                <c:pt idx="55">
                  <c:v>849.12425059431882</c:v>
                </c:pt>
                <c:pt idx="56">
                  <c:v>816.3293248894887</c:v>
                </c:pt>
                <c:pt idx="57">
                  <c:v>840.97425695368077</c:v>
                </c:pt>
                <c:pt idx="58">
                  <c:v>865.60468315801518</c:v>
                </c:pt>
                <c:pt idx="59">
                  <c:v>890.22107373007441</c:v>
                </c:pt>
                <c:pt idx="60">
                  <c:v>914.82387081246122</c:v>
                </c:pt>
                <c:pt idx="61">
                  <c:v>885.22487499512135</c:v>
                </c:pt>
                <c:pt idx="62">
                  <c:v>906.50111140579656</c:v>
                </c:pt>
                <c:pt idx="63">
                  <c:v>927.76739322403637</c:v>
                </c:pt>
                <c:pt idx="64">
                  <c:v>949.02398043470623</c:v>
                </c:pt>
                <c:pt idx="65">
                  <c:v>970.2711204437519</c:v>
                </c:pt>
                <c:pt idx="66">
                  <c:v>942.92524124330646</c:v>
                </c:pt>
                <c:pt idx="67">
                  <c:v>960.84962620194801</c:v>
                </c:pt>
                <c:pt idx="68">
                  <c:v>978.7673844029888</c:v>
                </c:pt>
                <c:pt idx="69">
                  <c:v>996.67865408795967</c:v>
                </c:pt>
                <c:pt idx="70">
                  <c:v>1014.58356813133</c:v>
                </c:pt>
                <c:pt idx="71">
                  <c:v>988.5547499105686</c:v>
                </c:pt>
                <c:pt idx="72">
                  <c:v>1003.1399161935175</c:v>
                </c:pt>
                <c:pt idx="73">
                  <c:v>1017.7208978313887</c:v>
                </c:pt>
                <c:pt idx="74">
                  <c:v>1032.2977631546539</c:v>
                </c:pt>
                <c:pt idx="75">
                  <c:v>1046.8705784090255</c:v>
                </c:pt>
                <c:pt idx="76">
                  <c:v>1021.7806887183129</c:v>
                </c:pt>
                <c:pt idx="77">
                  <c:v>1033.5891878449413</c:v>
                </c:pt>
                <c:pt idx="78">
                  <c:v>1045.3950327165765</c:v>
                </c:pt>
                <c:pt idx="79">
                  <c:v>1057.1982575006275</c:v>
                </c:pt>
                <c:pt idx="80">
                  <c:v>1068.9988955401971</c:v>
                </c:pt>
                <c:pt idx="81">
                  <c:v>1036.725372848661</c:v>
                </c:pt>
                <c:pt idx="82">
                  <c:v>1036.725372848661</c:v>
                </c:pt>
                <c:pt idx="83">
                  <c:v>1036.725372848661</c:v>
                </c:pt>
                <c:pt idx="84">
                  <c:v>1036.725372848661</c:v>
                </c:pt>
                <c:pt idx="85">
                  <c:v>1036.725372848661</c:v>
                </c:pt>
                <c:pt idx="86">
                  <c:v>1036.725372848661</c:v>
                </c:pt>
                <c:pt idx="87">
                  <c:v>1036.725372848661</c:v>
                </c:pt>
                <c:pt idx="88">
                  <c:v>1036.725372848661</c:v>
                </c:pt>
                <c:pt idx="89">
                  <c:v>1036.725372848661</c:v>
                </c:pt>
                <c:pt idx="90">
                  <c:v>1036.725372848661</c:v>
                </c:pt>
                <c:pt idx="91">
                  <c:v>1036.725372848661</c:v>
                </c:pt>
                <c:pt idx="92">
                  <c:v>1036.725372848661</c:v>
                </c:pt>
                <c:pt idx="93">
                  <c:v>1036.725372848661</c:v>
                </c:pt>
                <c:pt idx="94">
                  <c:v>1036.725372848661</c:v>
                </c:pt>
                <c:pt idx="95">
                  <c:v>1036.725372848661</c:v>
                </c:pt>
                <c:pt idx="96">
                  <c:v>1036.725372848661</c:v>
                </c:pt>
                <c:pt idx="97">
                  <c:v>1036.725372848661</c:v>
                </c:pt>
                <c:pt idx="98">
                  <c:v>1036.725372848661</c:v>
                </c:pt>
                <c:pt idx="99">
                  <c:v>1036.725372848661</c:v>
                </c:pt>
                <c:pt idx="100">
                  <c:v>1036.725372848661</c:v>
                </c:pt>
                <c:pt idx="101">
                  <c:v>1036.725372848661</c:v>
                </c:pt>
                <c:pt idx="102">
                  <c:v>1036.725372848661</c:v>
                </c:pt>
                <c:pt idx="103">
                  <c:v>1036.725372848661</c:v>
                </c:pt>
                <c:pt idx="104">
                  <c:v>1036.725372848661</c:v>
                </c:pt>
                <c:pt idx="105">
                  <c:v>1036.725372848661</c:v>
                </c:pt>
                <c:pt idx="106">
                  <c:v>1036.725372848661</c:v>
                </c:pt>
                <c:pt idx="107">
                  <c:v>1036.725372848661</c:v>
                </c:pt>
                <c:pt idx="108">
                  <c:v>1036.725372848661</c:v>
                </c:pt>
                <c:pt idx="109">
                  <c:v>1036.725372848661</c:v>
                </c:pt>
                <c:pt idx="110">
                  <c:v>1036.725372848661</c:v>
                </c:pt>
                <c:pt idx="111">
                  <c:v>1036.725372848661</c:v>
                </c:pt>
                <c:pt idx="112">
                  <c:v>1036.725372848661</c:v>
                </c:pt>
                <c:pt idx="113">
                  <c:v>1036.725372848661</c:v>
                </c:pt>
                <c:pt idx="114">
                  <c:v>1036.725372848661</c:v>
                </c:pt>
                <c:pt idx="115">
                  <c:v>1036.725372848661</c:v>
                </c:pt>
                <c:pt idx="116">
                  <c:v>1036.725372848661</c:v>
                </c:pt>
                <c:pt idx="117">
                  <c:v>1036.725372848661</c:v>
                </c:pt>
                <c:pt idx="118">
                  <c:v>1036.725372848661</c:v>
                </c:pt>
                <c:pt idx="119">
                  <c:v>1036.725372848661</c:v>
                </c:pt>
                <c:pt idx="120">
                  <c:v>1036.725372848661</c:v>
                </c:pt>
                <c:pt idx="121">
                  <c:v>1036.725372848661</c:v>
                </c:pt>
                <c:pt idx="122">
                  <c:v>1036.725372848661</c:v>
                </c:pt>
                <c:pt idx="123">
                  <c:v>1036.725372848661</c:v>
                </c:pt>
                <c:pt idx="124">
                  <c:v>1036.725372848661</c:v>
                </c:pt>
                <c:pt idx="125">
                  <c:v>1036.725372848661</c:v>
                </c:pt>
                <c:pt idx="126">
                  <c:v>1036.725372848661</c:v>
                </c:pt>
                <c:pt idx="127">
                  <c:v>1036.725372848661</c:v>
                </c:pt>
                <c:pt idx="128">
                  <c:v>1036.725372848661</c:v>
                </c:pt>
                <c:pt idx="129">
                  <c:v>1036.725372848661</c:v>
                </c:pt>
                <c:pt idx="130">
                  <c:v>1036.725372848661</c:v>
                </c:pt>
                <c:pt idx="131">
                  <c:v>1036.725372848661</c:v>
                </c:pt>
                <c:pt idx="132">
                  <c:v>1036.725372848661</c:v>
                </c:pt>
                <c:pt idx="133">
                  <c:v>1036.725372848661</c:v>
                </c:pt>
                <c:pt idx="134">
                  <c:v>1036.725372848661</c:v>
                </c:pt>
                <c:pt idx="135">
                  <c:v>1036.725372848661</c:v>
                </c:pt>
                <c:pt idx="136">
                  <c:v>1036.725372848661</c:v>
                </c:pt>
                <c:pt idx="137">
                  <c:v>1036.725372848661</c:v>
                </c:pt>
                <c:pt idx="138">
                  <c:v>1036.725372848661</c:v>
                </c:pt>
                <c:pt idx="139">
                  <c:v>1036.725372848661</c:v>
                </c:pt>
                <c:pt idx="140">
                  <c:v>1036.725372848661</c:v>
                </c:pt>
                <c:pt idx="141">
                  <c:v>1036.725372848661</c:v>
                </c:pt>
                <c:pt idx="142">
                  <c:v>1036.725372848661</c:v>
                </c:pt>
                <c:pt idx="143">
                  <c:v>1036.725372848661</c:v>
                </c:pt>
                <c:pt idx="144">
                  <c:v>1036.725372848661</c:v>
                </c:pt>
                <c:pt idx="145">
                  <c:v>1036.725372848661</c:v>
                </c:pt>
                <c:pt idx="146">
                  <c:v>1036.725372848661</c:v>
                </c:pt>
                <c:pt idx="147">
                  <c:v>1036.725372848661</c:v>
                </c:pt>
                <c:pt idx="148">
                  <c:v>1036.725372848661</c:v>
                </c:pt>
                <c:pt idx="149">
                  <c:v>1036.725372848661</c:v>
                </c:pt>
                <c:pt idx="150">
                  <c:v>1036.725372848661</c:v>
                </c:pt>
                <c:pt idx="151">
                  <c:v>1036.725372848661</c:v>
                </c:pt>
                <c:pt idx="152">
                  <c:v>1036.725372848661</c:v>
                </c:pt>
                <c:pt idx="153">
                  <c:v>1036.725372848661</c:v>
                </c:pt>
                <c:pt idx="154">
                  <c:v>1036.725372848661</c:v>
                </c:pt>
                <c:pt idx="155">
                  <c:v>1036.725372848661</c:v>
                </c:pt>
                <c:pt idx="156">
                  <c:v>1036.725372848661</c:v>
                </c:pt>
                <c:pt idx="157">
                  <c:v>1036.725372848661</c:v>
                </c:pt>
                <c:pt idx="158">
                  <c:v>1036.725372848661</c:v>
                </c:pt>
                <c:pt idx="159">
                  <c:v>1036.725372848661</c:v>
                </c:pt>
                <c:pt idx="160">
                  <c:v>1036.725372848661</c:v>
                </c:pt>
                <c:pt idx="161">
                  <c:v>1036.725372848661</c:v>
                </c:pt>
                <c:pt idx="162">
                  <c:v>1036.725372848661</c:v>
                </c:pt>
                <c:pt idx="163">
                  <c:v>1036.725372848661</c:v>
                </c:pt>
                <c:pt idx="164">
                  <c:v>1036.725372848661</c:v>
                </c:pt>
                <c:pt idx="165">
                  <c:v>1036.725372848661</c:v>
                </c:pt>
                <c:pt idx="166">
                  <c:v>1036.725372848661</c:v>
                </c:pt>
                <c:pt idx="167">
                  <c:v>1036.725372848661</c:v>
                </c:pt>
                <c:pt idx="168">
                  <c:v>1036.725372848661</c:v>
                </c:pt>
                <c:pt idx="169">
                  <c:v>1036.725372848661</c:v>
                </c:pt>
                <c:pt idx="170">
                  <c:v>1036.725372848661</c:v>
                </c:pt>
                <c:pt idx="171">
                  <c:v>1036.725372848661</c:v>
                </c:pt>
                <c:pt idx="172">
                  <c:v>1036.725372848661</c:v>
                </c:pt>
                <c:pt idx="173">
                  <c:v>1036.725372848661</c:v>
                </c:pt>
                <c:pt idx="174">
                  <c:v>1036.725372848661</c:v>
                </c:pt>
                <c:pt idx="175">
                  <c:v>1036.725372848661</c:v>
                </c:pt>
                <c:pt idx="176">
                  <c:v>1036.725372848661</c:v>
                </c:pt>
                <c:pt idx="177">
                  <c:v>1036.725372848661</c:v>
                </c:pt>
                <c:pt idx="178">
                  <c:v>1036.725372848661</c:v>
                </c:pt>
                <c:pt idx="179">
                  <c:v>1036.725372848661</c:v>
                </c:pt>
                <c:pt idx="180">
                  <c:v>1036.725372848661</c:v>
                </c:pt>
                <c:pt idx="181">
                  <c:v>1036.725372848661</c:v>
                </c:pt>
                <c:pt idx="182">
                  <c:v>1036.725372848661</c:v>
                </c:pt>
                <c:pt idx="183">
                  <c:v>1036.725372848661</c:v>
                </c:pt>
                <c:pt idx="184">
                  <c:v>1036.725372848661</c:v>
                </c:pt>
                <c:pt idx="185">
                  <c:v>1036.725372848661</c:v>
                </c:pt>
                <c:pt idx="186">
                  <c:v>1036.725372848661</c:v>
                </c:pt>
                <c:pt idx="187">
                  <c:v>1036.725372848661</c:v>
                </c:pt>
                <c:pt idx="188">
                  <c:v>1036.725372848661</c:v>
                </c:pt>
                <c:pt idx="189">
                  <c:v>1036.725372848661</c:v>
                </c:pt>
                <c:pt idx="190">
                  <c:v>1036.725372848661</c:v>
                </c:pt>
                <c:pt idx="191">
                  <c:v>1036.725372848661</c:v>
                </c:pt>
                <c:pt idx="192">
                  <c:v>1036.725372848661</c:v>
                </c:pt>
                <c:pt idx="193">
                  <c:v>1036.725372848661</c:v>
                </c:pt>
                <c:pt idx="194">
                  <c:v>1036.725372848661</c:v>
                </c:pt>
                <c:pt idx="195">
                  <c:v>1036.725372848661</c:v>
                </c:pt>
                <c:pt idx="196">
                  <c:v>1036.725372848661</c:v>
                </c:pt>
                <c:pt idx="197">
                  <c:v>1036.725372848661</c:v>
                </c:pt>
                <c:pt idx="198">
                  <c:v>1036.725372848661</c:v>
                </c:pt>
                <c:pt idx="199">
                  <c:v>1036.725372848661</c:v>
                </c:pt>
                <c:pt idx="200">
                  <c:v>1036.725372848661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1.6352129641015709</c:v>
                </c:pt>
                <c:pt idx="2">
                  <c:v>2.1257691661643681</c:v>
                </c:pt>
                <c:pt idx="3">
                  <c:v>2.7640957297093731</c:v>
                </c:pt>
                <c:pt idx="4">
                  <c:v>3.5948779535368982</c:v>
                </c:pt>
                <c:pt idx="5">
                  <c:v>4.6763626911189347</c:v>
                </c:pt>
                <c:pt idx="6">
                  <c:v>6.0844879445011593</c:v>
                </c:pt>
                <c:pt idx="7">
                  <c:v>7.9182738302725042</c:v>
                </c:pt>
                <c:pt idx="8">
                  <c:v>10.306861287740317</c:v>
                </c:pt>
                <c:pt idx="9">
                  <c:v>13.418703552302086</c:v>
                </c:pt>
                <c:pt idx="10">
                  <c:v>17.473570592453221</c:v>
                </c:pt>
                <c:pt idx="11">
                  <c:v>22.758229672510524</c:v>
                </c:pt>
                <c:pt idx="12">
                  <c:v>29.646930702027632</c:v>
                </c:pt>
                <c:pt idx="13">
                  <c:v>38.628172373271113</c:v>
                </c:pt>
                <c:pt idx="14">
                  <c:v>50.339679547242149</c:v>
                </c:pt>
                <c:pt idx="15">
                  <c:v>65.614117024425624</c:v>
                </c:pt>
                <c:pt idx="16">
                  <c:v>85.53884307063187</c:v>
                </c:pt>
                <c:pt idx="17">
                  <c:v>111.53402462233431</c:v>
                </c:pt>
                <c:pt idx="18">
                  <c:v>107.66650439281216</c:v>
                </c:pt>
                <c:pt idx="19">
                  <c:v>119.61016972749536</c:v>
                </c:pt>
                <c:pt idx="20">
                  <c:v>131.52475843384727</c:v>
                </c:pt>
                <c:pt idx="21">
                  <c:v>128.58368472346794</c:v>
                </c:pt>
                <c:pt idx="22">
                  <c:v>141.38696909362002</c:v>
                </c:pt>
                <c:pt idx="23">
                  <c:v>154.16244812327184</c:v>
                </c:pt>
                <c:pt idx="24">
                  <c:v>166.91275268465498</c:v>
                </c:pt>
                <c:pt idx="25">
                  <c:v>179.64007820340882</c:v>
                </c:pt>
                <c:pt idx="26">
                  <c:v>156.6726191493473</c:v>
                </c:pt>
                <c:pt idx="27">
                  <c:v>171.29678443241201</c:v>
                </c:pt>
                <c:pt idx="28">
                  <c:v>185.89156631511472</c:v>
                </c:pt>
                <c:pt idx="29">
                  <c:v>200.4595977637648</c:v>
                </c:pt>
                <c:pt idx="30">
                  <c:v>215.00309735126984</c:v>
                </c:pt>
                <c:pt idx="31">
                  <c:v>178.80616524292705</c:v>
                </c:pt>
                <c:pt idx="32">
                  <c:v>198.79596003852816</c:v>
                </c:pt>
                <c:pt idx="33">
                  <c:v>218.73912581580771</c:v>
                </c:pt>
                <c:pt idx="34">
                  <c:v>238.64051235544162</c:v>
                </c:pt>
                <c:pt idx="35">
                  <c:v>258.50409369643461</c:v>
                </c:pt>
                <c:pt idx="36">
                  <c:v>223.71822098741725</c:v>
                </c:pt>
                <c:pt idx="37">
                  <c:v>242.78175735196797</c:v>
                </c:pt>
                <c:pt idx="38">
                  <c:v>261.81125584986165</c:v>
                </c:pt>
                <c:pt idx="39">
                  <c:v>280.80953813963418</c:v>
                </c:pt>
                <c:pt idx="40">
                  <c:v>299.77901279127883</c:v>
                </c:pt>
                <c:pt idx="41">
                  <c:v>269.042403437784</c:v>
                </c:pt>
                <c:pt idx="42">
                  <c:v>287.82323507873048</c:v>
                </c:pt>
                <c:pt idx="43">
                  <c:v>306.57666807792663</c:v>
                </c:pt>
                <c:pt idx="44">
                  <c:v>325.30461373316388</c:v>
                </c:pt>
                <c:pt idx="45">
                  <c:v>344.00874531951558</c:v>
                </c:pt>
                <c:pt idx="46">
                  <c:v>305.34098238237283</c:v>
                </c:pt>
                <c:pt idx="47">
                  <c:v>325.30461373316376</c:v>
                </c:pt>
                <c:pt idx="48">
                  <c:v>345.24118464423441</c:v>
                </c:pt>
                <c:pt idx="49">
                  <c:v>365.15247685996263</c:v>
                </c:pt>
                <c:pt idx="50">
                  <c:v>385.04006200908549</c:v>
                </c:pt>
                <c:pt idx="51">
                  <c:v>356.32883571370644</c:v>
                </c:pt>
                <c:pt idx="52">
                  <c:v>375.81671803823633</c:v>
                </c:pt>
                <c:pt idx="53">
                  <c:v>395.2825983478424</c:v>
                </c:pt>
                <c:pt idx="54">
                  <c:v>414.72771201550285</c:v>
                </c:pt>
                <c:pt idx="55">
                  <c:v>434.1531691701357</c:v>
                </c:pt>
                <c:pt idx="56">
                  <c:v>405.72406245233998</c:v>
                </c:pt>
                <c:pt idx="57">
                  <c:v>426.3852786928482</c:v>
                </c:pt>
                <c:pt idx="58">
                  <c:v>447.02496935432083</c:v>
                </c:pt>
                <c:pt idx="59">
                  <c:v>467.64426742487052</c:v>
                </c:pt>
                <c:pt idx="60">
                  <c:v>488.24419789739903</c:v>
                </c:pt>
                <c:pt idx="61">
                  <c:v>474.17302812288079</c:v>
                </c:pt>
                <c:pt idx="62">
                  <c:v>492.72883563559395</c:v>
                </c:pt>
                <c:pt idx="63">
                  <c:v>511.26983368282157</c:v>
                </c:pt>
                <c:pt idx="64">
                  <c:v>529.79663457050674</c:v>
                </c:pt>
                <c:pt idx="65">
                  <c:v>548.30980431651517</c:v>
                </c:pt>
                <c:pt idx="66">
                  <c:v>519.82239372367201</c:v>
                </c:pt>
                <c:pt idx="67">
                  <c:v>519.82239372367201</c:v>
                </c:pt>
                <c:pt idx="68">
                  <c:v>519.82239372367201</c:v>
                </c:pt>
                <c:pt idx="69">
                  <c:v>519.82239372367201</c:v>
                </c:pt>
                <c:pt idx="70">
                  <c:v>519.82239372367201</c:v>
                </c:pt>
                <c:pt idx="71">
                  <c:v>519.82239372367201</c:v>
                </c:pt>
                <c:pt idx="72">
                  <c:v>519.82239372367201</c:v>
                </c:pt>
                <c:pt idx="73">
                  <c:v>519.82239372367201</c:v>
                </c:pt>
                <c:pt idx="74">
                  <c:v>519.82239372367201</c:v>
                </c:pt>
                <c:pt idx="75">
                  <c:v>519.82239372367201</c:v>
                </c:pt>
                <c:pt idx="76">
                  <c:v>519.82239372367201</c:v>
                </c:pt>
                <c:pt idx="77">
                  <c:v>519.82239372367201</c:v>
                </c:pt>
                <c:pt idx="78">
                  <c:v>519.82239372367201</c:v>
                </c:pt>
                <c:pt idx="79">
                  <c:v>519.82239372367201</c:v>
                </c:pt>
                <c:pt idx="80">
                  <c:v>519.82239372367201</c:v>
                </c:pt>
                <c:pt idx="81">
                  <c:v>519.82239372367201</c:v>
                </c:pt>
                <c:pt idx="82">
                  <c:v>519.82239372367201</c:v>
                </c:pt>
                <c:pt idx="83">
                  <c:v>519.82239372367201</c:v>
                </c:pt>
                <c:pt idx="84">
                  <c:v>519.82239372367201</c:v>
                </c:pt>
                <c:pt idx="85">
                  <c:v>519.82239372367201</c:v>
                </c:pt>
                <c:pt idx="86">
                  <c:v>519.82239372367201</c:v>
                </c:pt>
                <c:pt idx="87">
                  <c:v>519.82239372367201</c:v>
                </c:pt>
                <c:pt idx="88">
                  <c:v>519.82239372367201</c:v>
                </c:pt>
                <c:pt idx="89">
                  <c:v>519.82239372367201</c:v>
                </c:pt>
                <c:pt idx="90">
                  <c:v>519.82239372367201</c:v>
                </c:pt>
                <c:pt idx="91">
                  <c:v>519.82239372367201</c:v>
                </c:pt>
                <c:pt idx="92">
                  <c:v>519.82239372367201</c:v>
                </c:pt>
                <c:pt idx="93">
                  <c:v>519.82239372367201</c:v>
                </c:pt>
                <c:pt idx="94">
                  <c:v>519.82239372367201</c:v>
                </c:pt>
                <c:pt idx="95">
                  <c:v>519.82239372367201</c:v>
                </c:pt>
                <c:pt idx="96">
                  <c:v>519.82239372367201</c:v>
                </c:pt>
                <c:pt idx="97">
                  <c:v>519.82239372367201</c:v>
                </c:pt>
                <c:pt idx="98">
                  <c:v>519.82239372367201</c:v>
                </c:pt>
                <c:pt idx="99">
                  <c:v>519.82239372367201</c:v>
                </c:pt>
                <c:pt idx="100">
                  <c:v>519.82239372367201</c:v>
                </c:pt>
                <c:pt idx="101">
                  <c:v>519.82239372367201</c:v>
                </c:pt>
                <c:pt idx="102">
                  <c:v>519.82239372367201</c:v>
                </c:pt>
                <c:pt idx="103">
                  <c:v>519.82239372367201</c:v>
                </c:pt>
                <c:pt idx="104">
                  <c:v>519.82239372367201</c:v>
                </c:pt>
                <c:pt idx="105">
                  <c:v>519.82239372367201</c:v>
                </c:pt>
                <c:pt idx="106">
                  <c:v>519.82239372367201</c:v>
                </c:pt>
                <c:pt idx="107">
                  <c:v>519.82239372367201</c:v>
                </c:pt>
                <c:pt idx="108">
                  <c:v>519.82239372367201</c:v>
                </c:pt>
                <c:pt idx="109">
                  <c:v>519.82239372367201</c:v>
                </c:pt>
                <c:pt idx="110">
                  <c:v>519.82239372367201</c:v>
                </c:pt>
                <c:pt idx="111">
                  <c:v>519.82239372367201</c:v>
                </c:pt>
                <c:pt idx="112">
                  <c:v>519.82239372367201</c:v>
                </c:pt>
                <c:pt idx="113">
                  <c:v>519.82239372367201</c:v>
                </c:pt>
                <c:pt idx="114">
                  <c:v>519.82239372367201</c:v>
                </c:pt>
                <c:pt idx="115">
                  <c:v>519.82239372367201</c:v>
                </c:pt>
                <c:pt idx="116">
                  <c:v>519.82239372367201</c:v>
                </c:pt>
                <c:pt idx="117">
                  <c:v>519.82239372367201</c:v>
                </c:pt>
                <c:pt idx="118">
                  <c:v>519.82239372367201</c:v>
                </c:pt>
                <c:pt idx="119">
                  <c:v>519.82239372367201</c:v>
                </c:pt>
                <c:pt idx="120">
                  <c:v>519.82239372367201</c:v>
                </c:pt>
                <c:pt idx="121">
                  <c:v>519.82239372367201</c:v>
                </c:pt>
                <c:pt idx="122">
                  <c:v>519.82239372367201</c:v>
                </c:pt>
                <c:pt idx="123">
                  <c:v>519.82239372367201</c:v>
                </c:pt>
                <c:pt idx="124">
                  <c:v>519.82239372367201</c:v>
                </c:pt>
                <c:pt idx="125">
                  <c:v>519.82239372367201</c:v>
                </c:pt>
                <c:pt idx="126">
                  <c:v>519.82239372367201</c:v>
                </c:pt>
                <c:pt idx="127">
                  <c:v>519.82239372367201</c:v>
                </c:pt>
                <c:pt idx="128">
                  <c:v>519.82239372367201</c:v>
                </c:pt>
                <c:pt idx="129">
                  <c:v>519.82239372367201</c:v>
                </c:pt>
                <c:pt idx="130">
                  <c:v>519.82239372367201</c:v>
                </c:pt>
                <c:pt idx="131">
                  <c:v>519.82239372367201</c:v>
                </c:pt>
                <c:pt idx="132">
                  <c:v>519.82239372367201</c:v>
                </c:pt>
                <c:pt idx="133">
                  <c:v>519.82239372367201</c:v>
                </c:pt>
                <c:pt idx="134">
                  <c:v>519.82239372367201</c:v>
                </c:pt>
                <c:pt idx="135">
                  <c:v>519.82239372367201</c:v>
                </c:pt>
                <c:pt idx="136">
                  <c:v>519.82239372367201</c:v>
                </c:pt>
                <c:pt idx="137">
                  <c:v>519.82239372367201</c:v>
                </c:pt>
                <c:pt idx="138">
                  <c:v>519.82239372367201</c:v>
                </c:pt>
                <c:pt idx="139">
                  <c:v>519.82239372367201</c:v>
                </c:pt>
                <c:pt idx="140">
                  <c:v>519.82239372367201</c:v>
                </c:pt>
                <c:pt idx="141">
                  <c:v>519.82239372367201</c:v>
                </c:pt>
                <c:pt idx="142">
                  <c:v>519.82239372367201</c:v>
                </c:pt>
                <c:pt idx="143">
                  <c:v>519.82239372367201</c:v>
                </c:pt>
                <c:pt idx="144">
                  <c:v>519.82239372367201</c:v>
                </c:pt>
                <c:pt idx="145">
                  <c:v>519.82239372367201</c:v>
                </c:pt>
                <c:pt idx="146">
                  <c:v>519.82239372367201</c:v>
                </c:pt>
                <c:pt idx="147">
                  <c:v>519.82239372367201</c:v>
                </c:pt>
                <c:pt idx="148">
                  <c:v>519.82239372367201</c:v>
                </c:pt>
                <c:pt idx="149">
                  <c:v>519.82239372367201</c:v>
                </c:pt>
                <c:pt idx="150">
                  <c:v>519.82239372367201</c:v>
                </c:pt>
                <c:pt idx="151">
                  <c:v>519.82239372367201</c:v>
                </c:pt>
                <c:pt idx="152">
                  <c:v>519.82239372367201</c:v>
                </c:pt>
                <c:pt idx="153">
                  <c:v>519.82239372367201</c:v>
                </c:pt>
                <c:pt idx="154">
                  <c:v>519.82239372367201</c:v>
                </c:pt>
                <c:pt idx="155">
                  <c:v>519.82239372367201</c:v>
                </c:pt>
                <c:pt idx="156">
                  <c:v>519.82239372367201</c:v>
                </c:pt>
                <c:pt idx="157">
                  <c:v>519.82239372367201</c:v>
                </c:pt>
                <c:pt idx="158">
                  <c:v>519.82239372367201</c:v>
                </c:pt>
                <c:pt idx="159">
                  <c:v>519.82239372367201</c:v>
                </c:pt>
                <c:pt idx="160">
                  <c:v>519.82239372367201</c:v>
                </c:pt>
                <c:pt idx="161">
                  <c:v>519.82239372367201</c:v>
                </c:pt>
                <c:pt idx="162">
                  <c:v>519.82239372367201</c:v>
                </c:pt>
                <c:pt idx="163">
                  <c:v>519.82239372367201</c:v>
                </c:pt>
                <c:pt idx="164">
                  <c:v>519.82239372367201</c:v>
                </c:pt>
                <c:pt idx="165">
                  <c:v>519.82239372367201</c:v>
                </c:pt>
                <c:pt idx="166">
                  <c:v>519.82239372367201</c:v>
                </c:pt>
                <c:pt idx="167">
                  <c:v>519.82239372367201</c:v>
                </c:pt>
                <c:pt idx="168">
                  <c:v>519.82239372367201</c:v>
                </c:pt>
                <c:pt idx="169">
                  <c:v>519.82239372367201</c:v>
                </c:pt>
                <c:pt idx="170">
                  <c:v>519.82239372367201</c:v>
                </c:pt>
                <c:pt idx="171">
                  <c:v>519.82239372367201</c:v>
                </c:pt>
                <c:pt idx="172">
                  <c:v>519.82239372367201</c:v>
                </c:pt>
                <c:pt idx="173">
                  <c:v>519.82239372367201</c:v>
                </c:pt>
                <c:pt idx="174">
                  <c:v>519.82239372367201</c:v>
                </c:pt>
                <c:pt idx="175">
                  <c:v>519.82239372367201</c:v>
                </c:pt>
                <c:pt idx="176">
                  <c:v>519.82239372367201</c:v>
                </c:pt>
                <c:pt idx="177">
                  <c:v>519.82239372367201</c:v>
                </c:pt>
                <c:pt idx="178">
                  <c:v>519.82239372367201</c:v>
                </c:pt>
                <c:pt idx="179">
                  <c:v>519.82239372367201</c:v>
                </c:pt>
                <c:pt idx="180">
                  <c:v>519.82239372367201</c:v>
                </c:pt>
                <c:pt idx="181">
                  <c:v>519.82239372367201</c:v>
                </c:pt>
                <c:pt idx="182">
                  <c:v>519.82239372367201</c:v>
                </c:pt>
                <c:pt idx="183">
                  <c:v>519.82239372367201</c:v>
                </c:pt>
                <c:pt idx="184">
                  <c:v>519.82239372367201</c:v>
                </c:pt>
                <c:pt idx="185">
                  <c:v>519.82239372367201</c:v>
                </c:pt>
                <c:pt idx="186">
                  <c:v>519.82239372367201</c:v>
                </c:pt>
                <c:pt idx="187">
                  <c:v>519.82239372367201</c:v>
                </c:pt>
                <c:pt idx="188">
                  <c:v>519.82239372367201</c:v>
                </c:pt>
                <c:pt idx="189">
                  <c:v>519.82239372367201</c:v>
                </c:pt>
                <c:pt idx="190">
                  <c:v>519.82239372367201</c:v>
                </c:pt>
                <c:pt idx="191">
                  <c:v>519.82239372367201</c:v>
                </c:pt>
                <c:pt idx="192">
                  <c:v>519.82239372367201</c:v>
                </c:pt>
                <c:pt idx="193">
                  <c:v>519.82239372367201</c:v>
                </c:pt>
                <c:pt idx="194">
                  <c:v>519.82239372367201</c:v>
                </c:pt>
                <c:pt idx="195">
                  <c:v>519.82239372367201</c:v>
                </c:pt>
                <c:pt idx="196">
                  <c:v>519.82239372367201</c:v>
                </c:pt>
                <c:pt idx="197">
                  <c:v>519.82239372367201</c:v>
                </c:pt>
                <c:pt idx="198">
                  <c:v>519.82239372367201</c:v>
                </c:pt>
                <c:pt idx="199">
                  <c:v>519.82239372367201</c:v>
                </c:pt>
                <c:pt idx="200">
                  <c:v>519.82239372367201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1.5926805183385977</c:v>
                </c:pt>
                <c:pt idx="2">
                  <c:v>2.0704312924777786</c:v>
                </c:pt>
                <c:pt idx="3">
                  <c:v>2.6920819856638789</c:v>
                </c:pt>
                <c:pt idx="4">
                  <c:v>3.5011437855037602</c:v>
                </c:pt>
                <c:pt idx="5">
                  <c:v>4.5543320579551354</c:v>
                </c:pt>
                <c:pt idx="6">
                  <c:v>5.9255868235439815</c:v>
                </c:pt>
                <c:pt idx="7">
                  <c:v>7.7113211935697832</c:v>
                </c:pt>
                <c:pt idx="8">
                  <c:v>10.037273878968724</c:v>
                </c:pt>
                <c:pt idx="9">
                  <c:v>13.0674573809075</c:v>
                </c:pt>
                <c:pt idx="10">
                  <c:v>17.015844517805284</c:v>
                </c:pt>
                <c:pt idx="11">
                  <c:v>22.161633503187357</c:v>
                </c:pt>
                <c:pt idx="12">
                  <c:v>28.869190215813081</c:v>
                </c:pt>
                <c:pt idx="13">
                  <c:v>37.614104388394203</c:v>
                </c:pt>
                <c:pt idx="14">
                  <c:v>49.017238785687915</c:v>
                </c:pt>
                <c:pt idx="15">
                  <c:v>63.889229259930261</c:v>
                </c:pt>
                <c:pt idx="16">
                  <c:v>83.288651044440797</c:v>
                </c:pt>
                <c:pt idx="17">
                  <c:v>108.59805801791737</c:v>
                </c:pt>
                <c:pt idx="18">
                  <c:v>104.83259201464182</c:v>
                </c:pt>
                <c:pt idx="19">
                  <c:v>116.46106787886676</c:v>
                </c:pt>
                <c:pt idx="20">
                  <c:v>128.06116259946737</c:v>
                </c:pt>
                <c:pt idx="21">
                  <c:v>125.19772687471948</c:v>
                </c:pt>
                <c:pt idx="22">
                  <c:v>137.6630039822968</c:v>
                </c:pt>
                <c:pt idx="23">
                  <c:v>150.10114082611076</c:v>
                </c:pt>
                <c:pt idx="24">
                  <c:v>162.51470535048449</c:v>
                </c:pt>
                <c:pt idx="25">
                  <c:v>174.90584046860866</c:v>
                </c:pt>
                <c:pt idx="26">
                  <c:v>152.54502212010502</c:v>
                </c:pt>
                <c:pt idx="27">
                  <c:v>166.78293977832854</c:v>
                </c:pt>
                <c:pt idx="28">
                  <c:v>180.99217685858616</c:v>
                </c:pt>
                <c:pt idx="29">
                  <c:v>195.17530334919039</c:v>
                </c:pt>
                <c:pt idx="30">
                  <c:v>209.33448475693979</c:v>
                </c:pt>
                <c:pt idx="31">
                  <c:v>174.09395685591755</c:v>
                </c:pt>
                <c:pt idx="32">
                  <c:v>193.55562414196126</c:v>
                </c:pt>
                <c:pt idx="33">
                  <c:v>212.97177773050998</c:v>
                </c:pt>
                <c:pt idx="34">
                  <c:v>232.34715140019651</c:v>
                </c:pt>
                <c:pt idx="35">
                  <c:v>251.6856241348728</c:v>
                </c:pt>
                <c:pt idx="36">
                  <c:v>217.81928002327584</c:v>
                </c:pt>
                <c:pt idx="37">
                  <c:v>236.37892704001879</c:v>
                </c:pt>
                <c:pt idx="38">
                  <c:v>254.90535034281348</c:v>
                </c:pt>
                <c:pt idx="39">
                  <c:v>273.40130409886439</c:v>
                </c:pt>
                <c:pt idx="40">
                  <c:v>291.86913926751009</c:v>
                </c:pt>
                <c:pt idx="41">
                  <c:v>261.94531000618389</c:v>
                </c:pt>
                <c:pt idx="42">
                  <c:v>280.2295350616576</c:v>
                </c:pt>
                <c:pt idx="43">
                  <c:v>298.48701682427884</c:v>
                </c:pt>
                <c:pt idx="44">
                  <c:v>316.71962087545222</c:v>
                </c:pt>
                <c:pt idx="45">
                  <c:v>334.92898046713663</c:v>
                </c:pt>
                <c:pt idx="46">
                  <c:v>297.28401196997476</c:v>
                </c:pt>
                <c:pt idx="47">
                  <c:v>316.71962087545211</c:v>
                </c:pt>
                <c:pt idx="48">
                  <c:v>336.12881660064295</c:v>
                </c:pt>
                <c:pt idx="49">
                  <c:v>355.5133382723302</c:v>
                </c:pt>
                <c:pt idx="50">
                  <c:v>374.87471992741825</c:v>
                </c:pt>
                <c:pt idx="51">
                  <c:v>346.92314186926501</c:v>
                </c:pt>
                <c:pt idx="52">
                  <c:v>365.89542268297106</c:v>
                </c:pt>
                <c:pt idx="53">
                  <c:v>384.84622774857945</c:v>
                </c:pt>
                <c:pt idx="54">
                  <c:v>403.7767628901463</c:v>
                </c:pt>
                <c:pt idx="55">
                  <c:v>422.68811168338442</c:v>
                </c:pt>
                <c:pt idx="56">
                  <c:v>395.01138443660415</c:v>
                </c:pt>
                <c:pt idx="57">
                  <c:v>415.12580971904276</c:v>
                </c:pt>
                <c:pt idx="58">
                  <c:v>435.21922429338809</c:v>
                </c:pt>
                <c:pt idx="59">
                  <c:v>455.2927340477774</c:v>
                </c:pt>
                <c:pt idx="60">
                  <c:v>475.34733945827821</c:v>
                </c:pt>
                <c:pt idx="61">
                  <c:v>461.6486694532291</c:v>
                </c:pt>
                <c:pt idx="62">
                  <c:v>479.71325273904654</c:v>
                </c:pt>
                <c:pt idx="63">
                  <c:v>497.7633807874081</c:v>
                </c:pt>
                <c:pt idx="64">
                  <c:v>515.79965125849321</c:v>
                </c:pt>
                <c:pt idx="65">
                  <c:v>533.82261663157078</c:v>
                </c:pt>
                <c:pt idx="66">
                  <c:v>506.08950082174533</c:v>
                </c:pt>
                <c:pt idx="67">
                  <c:v>506.08950082174533</c:v>
                </c:pt>
                <c:pt idx="68">
                  <c:v>506.08950082174533</c:v>
                </c:pt>
                <c:pt idx="69">
                  <c:v>506.08950082174533</c:v>
                </c:pt>
                <c:pt idx="70">
                  <c:v>506.08950082174533</c:v>
                </c:pt>
                <c:pt idx="71">
                  <c:v>506.08950082174533</c:v>
                </c:pt>
                <c:pt idx="72">
                  <c:v>506.08950082174533</c:v>
                </c:pt>
                <c:pt idx="73">
                  <c:v>506.08950082174533</c:v>
                </c:pt>
                <c:pt idx="74">
                  <c:v>506.08950082174533</c:v>
                </c:pt>
                <c:pt idx="75">
                  <c:v>506.08950082174533</c:v>
                </c:pt>
                <c:pt idx="76">
                  <c:v>506.08950082174533</c:v>
                </c:pt>
                <c:pt idx="77">
                  <c:v>506.08950082174533</c:v>
                </c:pt>
                <c:pt idx="78">
                  <c:v>506.08950082174533</c:v>
                </c:pt>
                <c:pt idx="79">
                  <c:v>506.08950082174533</c:v>
                </c:pt>
                <c:pt idx="80">
                  <c:v>506.08950082174533</c:v>
                </c:pt>
                <c:pt idx="81">
                  <c:v>506.08950082174533</c:v>
                </c:pt>
                <c:pt idx="82">
                  <c:v>506.08950082174533</c:v>
                </c:pt>
                <c:pt idx="83">
                  <c:v>506.08950082174533</c:v>
                </c:pt>
                <c:pt idx="84">
                  <c:v>506.08950082174533</c:v>
                </c:pt>
                <c:pt idx="85">
                  <c:v>506.08950082174533</c:v>
                </c:pt>
                <c:pt idx="86">
                  <c:v>506.08950082174533</c:v>
                </c:pt>
                <c:pt idx="87">
                  <c:v>506.08950082174533</c:v>
                </c:pt>
                <c:pt idx="88">
                  <c:v>506.08950082174533</c:v>
                </c:pt>
                <c:pt idx="89">
                  <c:v>506.08950082174533</c:v>
                </c:pt>
                <c:pt idx="90">
                  <c:v>506.08950082174533</c:v>
                </c:pt>
                <c:pt idx="91">
                  <c:v>506.08950082174533</c:v>
                </c:pt>
                <c:pt idx="92">
                  <c:v>506.08950082174533</c:v>
                </c:pt>
                <c:pt idx="93">
                  <c:v>506.08950082174533</c:v>
                </c:pt>
                <c:pt idx="94">
                  <c:v>506.08950082174533</c:v>
                </c:pt>
                <c:pt idx="95">
                  <c:v>506.08950082174533</c:v>
                </c:pt>
                <c:pt idx="96">
                  <c:v>506.08950082174533</c:v>
                </c:pt>
                <c:pt idx="97">
                  <c:v>506.08950082174533</c:v>
                </c:pt>
                <c:pt idx="98">
                  <c:v>506.08950082174533</c:v>
                </c:pt>
                <c:pt idx="99">
                  <c:v>506.08950082174533</c:v>
                </c:pt>
                <c:pt idx="100">
                  <c:v>506.08950082174533</c:v>
                </c:pt>
                <c:pt idx="101">
                  <c:v>506.08950082174533</c:v>
                </c:pt>
                <c:pt idx="102">
                  <c:v>506.08950082174533</c:v>
                </c:pt>
                <c:pt idx="103">
                  <c:v>506.08950082174533</c:v>
                </c:pt>
                <c:pt idx="104">
                  <c:v>506.08950082174533</c:v>
                </c:pt>
                <c:pt idx="105">
                  <c:v>506.08950082174533</c:v>
                </c:pt>
                <c:pt idx="106">
                  <c:v>506.08950082174533</c:v>
                </c:pt>
                <c:pt idx="107">
                  <c:v>506.08950082174533</c:v>
                </c:pt>
                <c:pt idx="108">
                  <c:v>506.08950082174533</c:v>
                </c:pt>
                <c:pt idx="109">
                  <c:v>506.08950082174533</c:v>
                </c:pt>
                <c:pt idx="110">
                  <c:v>506.08950082174533</c:v>
                </c:pt>
                <c:pt idx="111">
                  <c:v>506.08950082174533</c:v>
                </c:pt>
                <c:pt idx="112">
                  <c:v>506.08950082174533</c:v>
                </c:pt>
                <c:pt idx="113">
                  <c:v>506.08950082174533</c:v>
                </c:pt>
                <c:pt idx="114">
                  <c:v>506.08950082174533</c:v>
                </c:pt>
                <c:pt idx="115">
                  <c:v>506.08950082174533</c:v>
                </c:pt>
                <c:pt idx="116">
                  <c:v>506.08950082174533</c:v>
                </c:pt>
                <c:pt idx="117">
                  <c:v>506.08950082174533</c:v>
                </c:pt>
                <c:pt idx="118">
                  <c:v>506.08950082174533</c:v>
                </c:pt>
                <c:pt idx="119">
                  <c:v>506.08950082174533</c:v>
                </c:pt>
                <c:pt idx="120">
                  <c:v>506.08950082174533</c:v>
                </c:pt>
                <c:pt idx="121">
                  <c:v>506.08950082174533</c:v>
                </c:pt>
                <c:pt idx="122">
                  <c:v>506.08950082174533</c:v>
                </c:pt>
                <c:pt idx="123">
                  <c:v>506.08950082174533</c:v>
                </c:pt>
                <c:pt idx="124">
                  <c:v>506.08950082174533</c:v>
                </c:pt>
                <c:pt idx="125">
                  <c:v>506.08950082174533</c:v>
                </c:pt>
                <c:pt idx="126">
                  <c:v>506.08950082174533</c:v>
                </c:pt>
                <c:pt idx="127">
                  <c:v>506.08950082174533</c:v>
                </c:pt>
                <c:pt idx="128">
                  <c:v>506.08950082174533</c:v>
                </c:pt>
                <c:pt idx="129">
                  <c:v>506.08950082174533</c:v>
                </c:pt>
                <c:pt idx="130">
                  <c:v>506.08950082174533</c:v>
                </c:pt>
                <c:pt idx="131">
                  <c:v>506.08950082174533</c:v>
                </c:pt>
                <c:pt idx="132">
                  <c:v>506.08950082174533</c:v>
                </c:pt>
                <c:pt idx="133">
                  <c:v>506.08950082174533</c:v>
                </c:pt>
                <c:pt idx="134">
                  <c:v>506.08950082174533</c:v>
                </c:pt>
                <c:pt idx="135">
                  <c:v>506.08950082174533</c:v>
                </c:pt>
                <c:pt idx="136">
                  <c:v>506.08950082174533</c:v>
                </c:pt>
                <c:pt idx="137">
                  <c:v>506.08950082174533</c:v>
                </c:pt>
                <c:pt idx="138">
                  <c:v>506.08950082174533</c:v>
                </c:pt>
                <c:pt idx="139">
                  <c:v>506.08950082174533</c:v>
                </c:pt>
                <c:pt idx="140">
                  <c:v>506.08950082174533</c:v>
                </c:pt>
                <c:pt idx="141">
                  <c:v>506.08950082174533</c:v>
                </c:pt>
                <c:pt idx="142">
                  <c:v>506.08950082174533</c:v>
                </c:pt>
                <c:pt idx="143">
                  <c:v>506.08950082174533</c:v>
                </c:pt>
                <c:pt idx="144">
                  <c:v>506.08950082174533</c:v>
                </c:pt>
                <c:pt idx="145">
                  <c:v>506.08950082174533</c:v>
                </c:pt>
                <c:pt idx="146">
                  <c:v>506.08950082174533</c:v>
                </c:pt>
                <c:pt idx="147">
                  <c:v>506.08950082174533</c:v>
                </c:pt>
                <c:pt idx="148">
                  <c:v>506.08950082174533</c:v>
                </c:pt>
                <c:pt idx="149">
                  <c:v>506.08950082174533</c:v>
                </c:pt>
                <c:pt idx="150">
                  <c:v>506.08950082174533</c:v>
                </c:pt>
                <c:pt idx="151">
                  <c:v>506.08950082174533</c:v>
                </c:pt>
                <c:pt idx="152">
                  <c:v>506.08950082174533</c:v>
                </c:pt>
                <c:pt idx="153">
                  <c:v>506.08950082174533</c:v>
                </c:pt>
                <c:pt idx="154">
                  <c:v>506.08950082174533</c:v>
                </c:pt>
                <c:pt idx="155">
                  <c:v>506.08950082174533</c:v>
                </c:pt>
                <c:pt idx="156">
                  <c:v>506.08950082174533</c:v>
                </c:pt>
                <c:pt idx="157">
                  <c:v>506.08950082174533</c:v>
                </c:pt>
                <c:pt idx="158">
                  <c:v>506.08950082174533</c:v>
                </c:pt>
                <c:pt idx="159">
                  <c:v>506.08950082174533</c:v>
                </c:pt>
                <c:pt idx="160">
                  <c:v>506.08950082174533</c:v>
                </c:pt>
                <c:pt idx="161">
                  <c:v>506.08950082174533</c:v>
                </c:pt>
                <c:pt idx="162">
                  <c:v>506.08950082174533</c:v>
                </c:pt>
                <c:pt idx="163">
                  <c:v>506.08950082174533</c:v>
                </c:pt>
                <c:pt idx="164">
                  <c:v>506.08950082174533</c:v>
                </c:pt>
                <c:pt idx="165">
                  <c:v>506.08950082174533</c:v>
                </c:pt>
                <c:pt idx="166">
                  <c:v>506.08950082174533</c:v>
                </c:pt>
                <c:pt idx="167">
                  <c:v>506.08950082174533</c:v>
                </c:pt>
                <c:pt idx="168">
                  <c:v>506.08950082174533</c:v>
                </c:pt>
                <c:pt idx="169">
                  <c:v>506.08950082174533</c:v>
                </c:pt>
                <c:pt idx="170">
                  <c:v>506.08950082174533</c:v>
                </c:pt>
                <c:pt idx="171">
                  <c:v>506.08950082174533</c:v>
                </c:pt>
                <c:pt idx="172">
                  <c:v>506.08950082174533</c:v>
                </c:pt>
                <c:pt idx="173">
                  <c:v>506.08950082174533</c:v>
                </c:pt>
                <c:pt idx="174">
                  <c:v>506.08950082174533</c:v>
                </c:pt>
                <c:pt idx="175">
                  <c:v>506.08950082174533</c:v>
                </c:pt>
                <c:pt idx="176">
                  <c:v>506.08950082174533</c:v>
                </c:pt>
                <c:pt idx="177">
                  <c:v>506.08950082174533</c:v>
                </c:pt>
                <c:pt idx="178">
                  <c:v>506.08950082174533</c:v>
                </c:pt>
                <c:pt idx="179">
                  <c:v>506.08950082174533</c:v>
                </c:pt>
                <c:pt idx="180">
                  <c:v>506.08950082174533</c:v>
                </c:pt>
                <c:pt idx="181">
                  <c:v>506.08950082174533</c:v>
                </c:pt>
                <c:pt idx="182">
                  <c:v>506.08950082174533</c:v>
                </c:pt>
                <c:pt idx="183">
                  <c:v>506.08950082174533</c:v>
                </c:pt>
                <c:pt idx="184">
                  <c:v>506.08950082174533</c:v>
                </c:pt>
                <c:pt idx="185">
                  <c:v>506.08950082174533</c:v>
                </c:pt>
                <c:pt idx="186">
                  <c:v>506.08950082174533</c:v>
                </c:pt>
                <c:pt idx="187">
                  <c:v>506.08950082174533</c:v>
                </c:pt>
                <c:pt idx="188">
                  <c:v>506.08950082174533</c:v>
                </c:pt>
                <c:pt idx="189">
                  <c:v>506.08950082174533</c:v>
                </c:pt>
                <c:pt idx="190">
                  <c:v>506.08950082174533</c:v>
                </c:pt>
                <c:pt idx="191">
                  <c:v>506.08950082174533</c:v>
                </c:pt>
                <c:pt idx="192">
                  <c:v>506.08950082174533</c:v>
                </c:pt>
                <c:pt idx="193">
                  <c:v>506.08950082174533</c:v>
                </c:pt>
                <c:pt idx="194">
                  <c:v>506.08950082174533</c:v>
                </c:pt>
                <c:pt idx="195">
                  <c:v>506.08950082174533</c:v>
                </c:pt>
                <c:pt idx="196">
                  <c:v>506.08950082174533</c:v>
                </c:pt>
                <c:pt idx="197">
                  <c:v>506.08950082174533</c:v>
                </c:pt>
                <c:pt idx="198">
                  <c:v>506.08950082174533</c:v>
                </c:pt>
                <c:pt idx="199">
                  <c:v>506.08950082174533</c:v>
                </c:pt>
                <c:pt idx="200">
                  <c:v>506.08950082174533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86.110329829925192</c:v>
                </c:pt>
                <c:pt idx="12">
                  <c:v>98.704796319163691</c:v>
                </c:pt>
                <c:pt idx="13">
                  <c:v>111.25932230264037</c:v>
                </c:pt>
                <c:pt idx="14">
                  <c:v>123.77905784317947</c:v>
                </c:pt>
                <c:pt idx="15">
                  <c:v>136.26802255378678</c:v>
                </c:pt>
                <c:pt idx="16">
                  <c:v>150.64430700221425</c:v>
                </c:pt>
                <c:pt idx="17">
                  <c:v>110.61638527930707</c:v>
                </c:pt>
                <c:pt idx="18">
                  <c:v>123.45843862619598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187.24258760716546</c:v>
                </c:pt>
                <c:pt idx="24">
                  <c:v>199.9313152055561</c:v>
                </c:pt>
                <c:pt idx="25">
                  <c:v>212.60137864165844</c:v>
                </c:pt>
                <c:pt idx="26">
                  <c:v>158.93547642720694</c:v>
                </c:pt>
                <c:pt idx="27">
                  <c:v>170.39875516780378</c:v>
                </c:pt>
                <c:pt idx="28">
                  <c:v>181.84387743661708</c:v>
                </c:pt>
                <c:pt idx="29">
                  <c:v>193.27214793812973</c:v>
                </c:pt>
                <c:pt idx="30">
                  <c:v>204.68470429512658</c:v>
                </c:pt>
                <c:pt idx="31">
                  <c:v>216.08254677277884</c:v>
                </c:pt>
                <c:pt idx="32">
                  <c:v>227.46656139213107</c:v>
                </c:pt>
                <c:pt idx="33">
                  <c:v>238.83753816737973</c:v>
                </c:pt>
                <c:pt idx="34">
                  <c:v>250.19618568369205</c:v>
                </c:pt>
                <c:pt idx="35">
                  <c:v>261.5431428861238</c:v>
                </c:pt>
                <c:pt idx="36">
                  <c:v>272.56424935870967</c:v>
                </c:pt>
                <c:pt idx="37">
                  <c:v>283.57533816627671</c:v>
                </c:pt>
                <c:pt idx="38">
                  <c:v>294.57685332640864</c:v>
                </c:pt>
                <c:pt idx="39">
                  <c:v>305.56920296431099</c:v>
                </c:pt>
                <c:pt idx="40">
                  <c:v>316.55276342878955</c:v>
                </c:pt>
                <c:pt idx="41">
                  <c:v>327.21442210944372</c:v>
                </c:pt>
                <c:pt idx="42">
                  <c:v>337.86841152292521</c:v>
                </c:pt>
                <c:pt idx="43">
                  <c:v>348.51500770260935</c:v>
                </c:pt>
                <c:pt idx="44">
                  <c:v>359.15446843311429</c:v>
                </c:pt>
                <c:pt idx="45">
                  <c:v>369.787034973218</c:v>
                </c:pt>
                <c:pt idx="46">
                  <c:v>369.787034973218</c:v>
                </c:pt>
                <c:pt idx="47">
                  <c:v>369.787034973218</c:v>
                </c:pt>
                <c:pt idx="48">
                  <c:v>369.787034973218</c:v>
                </c:pt>
                <c:pt idx="49">
                  <c:v>369.787034973218</c:v>
                </c:pt>
                <c:pt idx="50">
                  <c:v>369.787034973218</c:v>
                </c:pt>
                <c:pt idx="51">
                  <c:v>369.787034973218</c:v>
                </c:pt>
                <c:pt idx="52">
                  <c:v>369.787034973218</c:v>
                </c:pt>
                <c:pt idx="53">
                  <c:v>369.787034973218</c:v>
                </c:pt>
                <c:pt idx="54">
                  <c:v>369.787034973218</c:v>
                </c:pt>
                <c:pt idx="55">
                  <c:v>369.787034973218</c:v>
                </c:pt>
                <c:pt idx="56">
                  <c:v>369.787034973218</c:v>
                </c:pt>
                <c:pt idx="57">
                  <c:v>369.787034973218</c:v>
                </c:pt>
                <c:pt idx="58">
                  <c:v>369.787034973218</c:v>
                </c:pt>
                <c:pt idx="59">
                  <c:v>369.787034973218</c:v>
                </c:pt>
                <c:pt idx="60">
                  <c:v>369.787034973218</c:v>
                </c:pt>
                <c:pt idx="61">
                  <c:v>369.787034973218</c:v>
                </c:pt>
                <c:pt idx="62">
                  <c:v>369.787034973218</c:v>
                </c:pt>
                <c:pt idx="63">
                  <c:v>369.787034973218</c:v>
                </c:pt>
                <c:pt idx="64">
                  <c:v>369.787034973218</c:v>
                </c:pt>
                <c:pt idx="65">
                  <c:v>369.787034973218</c:v>
                </c:pt>
                <c:pt idx="66">
                  <c:v>369.787034973218</c:v>
                </c:pt>
                <c:pt idx="67">
                  <c:v>369.787034973218</c:v>
                </c:pt>
                <c:pt idx="68">
                  <c:v>369.787034973218</c:v>
                </c:pt>
                <c:pt idx="69">
                  <c:v>369.787034973218</c:v>
                </c:pt>
                <c:pt idx="70">
                  <c:v>369.787034973218</c:v>
                </c:pt>
                <c:pt idx="71">
                  <c:v>369.787034973218</c:v>
                </c:pt>
                <c:pt idx="72">
                  <c:v>369.787034973218</c:v>
                </c:pt>
                <c:pt idx="73">
                  <c:v>369.787034973218</c:v>
                </c:pt>
                <c:pt idx="74">
                  <c:v>369.787034973218</c:v>
                </c:pt>
                <c:pt idx="75">
                  <c:v>369.787034973218</c:v>
                </c:pt>
                <c:pt idx="76">
                  <c:v>369.787034973218</c:v>
                </c:pt>
                <c:pt idx="77">
                  <c:v>369.787034973218</c:v>
                </c:pt>
                <c:pt idx="78">
                  <c:v>369.787034973218</c:v>
                </c:pt>
                <c:pt idx="79">
                  <c:v>369.787034973218</c:v>
                </c:pt>
                <c:pt idx="80">
                  <c:v>369.787034973218</c:v>
                </c:pt>
                <c:pt idx="81">
                  <c:v>369.787034973218</c:v>
                </c:pt>
                <c:pt idx="82">
                  <c:v>369.787034973218</c:v>
                </c:pt>
                <c:pt idx="83">
                  <c:v>369.787034973218</c:v>
                </c:pt>
                <c:pt idx="84">
                  <c:v>369.787034973218</c:v>
                </c:pt>
                <c:pt idx="85">
                  <c:v>369.787034973218</c:v>
                </c:pt>
                <c:pt idx="86">
                  <c:v>369.787034973218</c:v>
                </c:pt>
                <c:pt idx="87">
                  <c:v>369.787034973218</c:v>
                </c:pt>
                <c:pt idx="88">
                  <c:v>369.787034973218</c:v>
                </c:pt>
                <c:pt idx="89">
                  <c:v>369.787034973218</c:v>
                </c:pt>
                <c:pt idx="90">
                  <c:v>369.787034973218</c:v>
                </c:pt>
                <c:pt idx="91">
                  <c:v>369.787034973218</c:v>
                </c:pt>
                <c:pt idx="92">
                  <c:v>369.787034973218</c:v>
                </c:pt>
                <c:pt idx="93">
                  <c:v>369.787034973218</c:v>
                </c:pt>
                <c:pt idx="94">
                  <c:v>369.787034973218</c:v>
                </c:pt>
                <c:pt idx="95">
                  <c:v>369.787034973218</c:v>
                </c:pt>
                <c:pt idx="96">
                  <c:v>369.787034973218</c:v>
                </c:pt>
                <c:pt idx="97">
                  <c:v>369.787034973218</c:v>
                </c:pt>
                <c:pt idx="98">
                  <c:v>369.787034973218</c:v>
                </c:pt>
                <c:pt idx="99">
                  <c:v>369.787034973218</c:v>
                </c:pt>
                <c:pt idx="100">
                  <c:v>369.787034973218</c:v>
                </c:pt>
                <c:pt idx="101">
                  <c:v>369.787034973218</c:v>
                </c:pt>
                <c:pt idx="102">
                  <c:v>369.787034973218</c:v>
                </c:pt>
                <c:pt idx="103">
                  <c:v>369.787034973218</c:v>
                </c:pt>
                <c:pt idx="104">
                  <c:v>369.787034973218</c:v>
                </c:pt>
                <c:pt idx="105">
                  <c:v>369.787034973218</c:v>
                </c:pt>
                <c:pt idx="106">
                  <c:v>369.787034973218</c:v>
                </c:pt>
                <c:pt idx="107">
                  <c:v>369.787034973218</c:v>
                </c:pt>
                <c:pt idx="108">
                  <c:v>369.787034973218</c:v>
                </c:pt>
                <c:pt idx="109">
                  <c:v>369.787034973218</c:v>
                </c:pt>
                <c:pt idx="110">
                  <c:v>369.787034973218</c:v>
                </c:pt>
                <c:pt idx="111">
                  <c:v>369.787034973218</c:v>
                </c:pt>
                <c:pt idx="112">
                  <c:v>369.787034973218</c:v>
                </c:pt>
                <c:pt idx="113">
                  <c:v>369.787034973218</c:v>
                </c:pt>
                <c:pt idx="114">
                  <c:v>369.787034973218</c:v>
                </c:pt>
                <c:pt idx="115">
                  <c:v>369.787034973218</c:v>
                </c:pt>
                <c:pt idx="116">
                  <c:v>369.787034973218</c:v>
                </c:pt>
                <c:pt idx="117">
                  <c:v>369.787034973218</c:v>
                </c:pt>
                <c:pt idx="118">
                  <c:v>369.787034973218</c:v>
                </c:pt>
                <c:pt idx="119">
                  <c:v>369.787034973218</c:v>
                </c:pt>
                <c:pt idx="120">
                  <c:v>369.787034973218</c:v>
                </c:pt>
                <c:pt idx="121">
                  <c:v>369.787034973218</c:v>
                </c:pt>
                <c:pt idx="122">
                  <c:v>369.787034973218</c:v>
                </c:pt>
                <c:pt idx="123">
                  <c:v>369.787034973218</c:v>
                </c:pt>
                <c:pt idx="124">
                  <c:v>369.787034973218</c:v>
                </c:pt>
                <c:pt idx="125">
                  <c:v>369.787034973218</c:v>
                </c:pt>
                <c:pt idx="126">
                  <c:v>369.787034973218</c:v>
                </c:pt>
                <c:pt idx="127">
                  <c:v>369.787034973218</c:v>
                </c:pt>
                <c:pt idx="128">
                  <c:v>369.787034973218</c:v>
                </c:pt>
                <c:pt idx="129">
                  <c:v>369.787034973218</c:v>
                </c:pt>
                <c:pt idx="130">
                  <c:v>369.787034973218</c:v>
                </c:pt>
                <c:pt idx="131">
                  <c:v>369.787034973218</c:v>
                </c:pt>
                <c:pt idx="132">
                  <c:v>369.787034973218</c:v>
                </c:pt>
                <c:pt idx="133">
                  <c:v>369.787034973218</c:v>
                </c:pt>
                <c:pt idx="134">
                  <c:v>369.787034973218</c:v>
                </c:pt>
                <c:pt idx="135">
                  <c:v>369.787034973218</c:v>
                </c:pt>
                <c:pt idx="136">
                  <c:v>369.787034973218</c:v>
                </c:pt>
                <c:pt idx="137">
                  <c:v>369.787034973218</c:v>
                </c:pt>
                <c:pt idx="138">
                  <c:v>369.787034973218</c:v>
                </c:pt>
                <c:pt idx="139">
                  <c:v>369.787034973218</c:v>
                </c:pt>
                <c:pt idx="140">
                  <c:v>369.787034973218</c:v>
                </c:pt>
                <c:pt idx="141">
                  <c:v>369.787034973218</c:v>
                </c:pt>
                <c:pt idx="142">
                  <c:v>369.787034973218</c:v>
                </c:pt>
                <c:pt idx="143">
                  <c:v>369.787034973218</c:v>
                </c:pt>
                <c:pt idx="144">
                  <c:v>369.787034973218</c:v>
                </c:pt>
                <c:pt idx="145">
                  <c:v>369.787034973218</c:v>
                </c:pt>
                <c:pt idx="146">
                  <c:v>369.787034973218</c:v>
                </c:pt>
                <c:pt idx="147">
                  <c:v>369.787034973218</c:v>
                </c:pt>
                <c:pt idx="148">
                  <c:v>369.787034973218</c:v>
                </c:pt>
                <c:pt idx="149">
                  <c:v>369.787034973218</c:v>
                </c:pt>
                <c:pt idx="150">
                  <c:v>369.787034973218</c:v>
                </c:pt>
                <c:pt idx="151">
                  <c:v>369.787034973218</c:v>
                </c:pt>
                <c:pt idx="152">
                  <c:v>369.787034973218</c:v>
                </c:pt>
                <c:pt idx="153">
                  <c:v>369.787034973218</c:v>
                </c:pt>
                <c:pt idx="154">
                  <c:v>369.787034973218</c:v>
                </c:pt>
                <c:pt idx="155">
                  <c:v>369.787034973218</c:v>
                </c:pt>
                <c:pt idx="156">
                  <c:v>369.787034973218</c:v>
                </c:pt>
                <c:pt idx="157">
                  <c:v>369.787034973218</c:v>
                </c:pt>
                <c:pt idx="158">
                  <c:v>369.787034973218</c:v>
                </c:pt>
                <c:pt idx="159">
                  <c:v>369.787034973218</c:v>
                </c:pt>
                <c:pt idx="160">
                  <c:v>369.787034973218</c:v>
                </c:pt>
                <c:pt idx="161">
                  <c:v>369.787034973218</c:v>
                </c:pt>
                <c:pt idx="162">
                  <c:v>369.787034973218</c:v>
                </c:pt>
                <c:pt idx="163">
                  <c:v>369.787034973218</c:v>
                </c:pt>
                <c:pt idx="164">
                  <c:v>369.787034973218</c:v>
                </c:pt>
                <c:pt idx="165">
                  <c:v>369.787034973218</c:v>
                </c:pt>
                <c:pt idx="166">
                  <c:v>369.787034973218</c:v>
                </c:pt>
                <c:pt idx="167">
                  <c:v>369.787034973218</c:v>
                </c:pt>
                <c:pt idx="168">
                  <c:v>369.787034973218</c:v>
                </c:pt>
                <c:pt idx="169">
                  <c:v>369.787034973218</c:v>
                </c:pt>
                <c:pt idx="170">
                  <c:v>369.787034973218</c:v>
                </c:pt>
                <c:pt idx="171">
                  <c:v>369.787034973218</c:v>
                </c:pt>
                <c:pt idx="172">
                  <c:v>369.787034973218</c:v>
                </c:pt>
                <c:pt idx="173">
                  <c:v>369.787034973218</c:v>
                </c:pt>
                <c:pt idx="174">
                  <c:v>369.787034973218</c:v>
                </c:pt>
                <c:pt idx="175">
                  <c:v>369.787034973218</c:v>
                </c:pt>
                <c:pt idx="176">
                  <c:v>369.787034973218</c:v>
                </c:pt>
                <c:pt idx="177">
                  <c:v>369.787034973218</c:v>
                </c:pt>
                <c:pt idx="178">
                  <c:v>369.787034973218</c:v>
                </c:pt>
                <c:pt idx="179">
                  <c:v>369.787034973218</c:v>
                </c:pt>
                <c:pt idx="180">
                  <c:v>369.787034973218</c:v>
                </c:pt>
                <c:pt idx="181">
                  <c:v>369.787034973218</c:v>
                </c:pt>
                <c:pt idx="182">
                  <c:v>369.787034973218</c:v>
                </c:pt>
                <c:pt idx="183">
                  <c:v>369.787034973218</c:v>
                </c:pt>
                <c:pt idx="184">
                  <c:v>369.787034973218</c:v>
                </c:pt>
                <c:pt idx="185">
                  <c:v>369.787034973218</c:v>
                </c:pt>
                <c:pt idx="186">
                  <c:v>369.787034973218</c:v>
                </c:pt>
                <c:pt idx="187">
                  <c:v>369.787034973218</c:v>
                </c:pt>
                <c:pt idx="188">
                  <c:v>369.787034973218</c:v>
                </c:pt>
                <c:pt idx="189">
                  <c:v>369.787034973218</c:v>
                </c:pt>
                <c:pt idx="190">
                  <c:v>369.787034973218</c:v>
                </c:pt>
                <c:pt idx="191">
                  <c:v>369.787034973218</c:v>
                </c:pt>
                <c:pt idx="192">
                  <c:v>369.787034973218</c:v>
                </c:pt>
                <c:pt idx="193">
                  <c:v>369.787034973218</c:v>
                </c:pt>
                <c:pt idx="194">
                  <c:v>369.787034973218</c:v>
                </c:pt>
                <c:pt idx="195">
                  <c:v>369.787034973218</c:v>
                </c:pt>
                <c:pt idx="196">
                  <c:v>369.787034973218</c:v>
                </c:pt>
                <c:pt idx="197">
                  <c:v>369.787034973218</c:v>
                </c:pt>
                <c:pt idx="198">
                  <c:v>369.787034973218</c:v>
                </c:pt>
                <c:pt idx="199">
                  <c:v>369.787034973218</c:v>
                </c:pt>
                <c:pt idx="200">
                  <c:v>369.787034973218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86" t="s">
        <v>292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>
      <c r="B18" s="286" t="s">
        <v>293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7" zoomScale="90" zoomScaleNormal="90" workbookViewId="0">
      <selection activeCell="N71" sqref="N71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28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292" t="s">
        <v>192</v>
      </c>
      <c r="C3" s="293"/>
      <c r="D3" s="293"/>
      <c r="E3" s="293"/>
      <c r="F3" s="294"/>
      <c r="G3" s="95"/>
      <c r="I3" s="228" t="s">
        <v>305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7"/>
      <c r="B4" s="97"/>
      <c r="C4" s="97"/>
      <c r="D4" s="97"/>
      <c r="E4" s="97"/>
      <c r="F4" s="97"/>
      <c r="G4" s="238"/>
      <c r="I4" s="228" t="s">
        <v>306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298" t="s">
        <v>231</v>
      </c>
      <c r="B5" s="298"/>
      <c r="C5" s="26">
        <v>28.57</v>
      </c>
      <c r="D5" s="299" t="s">
        <v>229</v>
      </c>
      <c r="E5" s="300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>
      <c r="A7" s="296" t="s">
        <v>226</v>
      </c>
      <c r="B7" s="296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18</v>
      </c>
      <c r="C9" s="35">
        <v>0.47</v>
      </c>
      <c r="D9" s="36">
        <f t="shared" ref="D9:D18" si="0">C9*$C$5</f>
        <v>13.427899999999999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307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 t="s">
        <v>14</v>
      </c>
      <c r="C10" s="35">
        <v>0.18</v>
      </c>
      <c r="D10" s="36">
        <f t="shared" si="0"/>
        <v>5.1425999999999998</v>
      </c>
      <c r="E10" s="37">
        <v>170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 t="s">
        <v>36</v>
      </c>
      <c r="C11" s="35">
        <v>0.11</v>
      </c>
      <c r="D11" s="36">
        <f t="shared" si="0"/>
        <v>3.1427</v>
      </c>
      <c r="E11" s="37">
        <v>62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 t="s">
        <v>92</v>
      </c>
      <c r="C12" s="35">
        <v>0.06</v>
      </c>
      <c r="D12" s="36">
        <f t="shared" si="0"/>
        <v>1.7141999999999999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 t="s">
        <v>156</v>
      </c>
      <c r="C13" s="35">
        <v>0.06</v>
      </c>
      <c r="D13" s="36">
        <f t="shared" si="0"/>
        <v>1.7141999999999999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 t="s">
        <v>47</v>
      </c>
      <c r="C14" s="35">
        <v>0.04</v>
      </c>
      <c r="D14" s="36">
        <f t="shared" si="0"/>
        <v>1.1428</v>
      </c>
      <c r="E14" s="37">
        <v>65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 t="s">
        <v>164</v>
      </c>
      <c r="C15" s="35">
        <v>0.04</v>
      </c>
      <c r="D15" s="36">
        <f t="shared" si="0"/>
        <v>1.1428</v>
      </c>
      <c r="E15" s="37">
        <v>65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 t="s">
        <v>8</v>
      </c>
      <c r="C16" s="35">
        <v>0.04</v>
      </c>
      <c r="D16" s="36">
        <f t="shared" si="0"/>
        <v>1.1428</v>
      </c>
      <c r="E16" s="37">
        <v>45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100"/>
      <c r="B19" s="39" t="s">
        <v>175</v>
      </c>
      <c r="C19" s="40">
        <f>SUM(C9:C18)</f>
        <v>1</v>
      </c>
      <c r="D19" s="41">
        <f>SUM(D9:D18)</f>
        <v>28.57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295" t="s">
        <v>232</v>
      </c>
      <c r="B22" s="295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297" t="s">
        <v>227</v>
      </c>
      <c r="B30" s="297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Douglas</v>
      </c>
      <c r="D32" s="259" t="s">
        <v>308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91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53">
        <v>24</v>
      </c>
      <c r="B36" s="63">
        <v>299</v>
      </c>
      <c r="C36" s="63">
        <v>2</v>
      </c>
      <c r="D36" s="63">
        <v>66</v>
      </c>
      <c r="E36" s="54">
        <v>0.3</v>
      </c>
      <c r="F36" s="54">
        <v>0.7</v>
      </c>
      <c r="G36" s="54"/>
      <c r="H36" s="54"/>
      <c r="I36" s="52">
        <f>IFERROR(B36/A36,"")</f>
        <v>12.458333333333334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53">
        <v>30</v>
      </c>
      <c r="B37" s="63">
        <v>390</v>
      </c>
      <c r="C37" s="63">
        <v>3</v>
      </c>
      <c r="D37" s="63">
        <v>79</v>
      </c>
      <c r="E37" s="54">
        <v>0.3</v>
      </c>
      <c r="F37" s="54">
        <v>0.7</v>
      </c>
      <c r="G37" s="54"/>
      <c r="H37" s="54"/>
      <c r="I37" s="56">
        <f t="shared" ref="I37:I55" si="1">IF(A37&lt;&gt;0,(B37-(B36-D36))/(A37-A36),"")</f>
        <v>26.166666666666668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53">
        <v>36</v>
      </c>
      <c r="B38" s="63">
        <v>472</v>
      </c>
      <c r="C38" s="63">
        <v>4</v>
      </c>
      <c r="D38" s="63">
        <v>92</v>
      </c>
      <c r="E38" s="54">
        <v>0.4</v>
      </c>
      <c r="F38" s="54">
        <v>0.6</v>
      </c>
      <c r="G38" s="54"/>
      <c r="H38" s="54"/>
      <c r="I38" s="56">
        <f t="shared" si="1"/>
        <v>26.833333333333332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53">
        <v>42</v>
      </c>
      <c r="B39" s="63">
        <v>538</v>
      </c>
      <c r="C39" s="63">
        <v>5</v>
      </c>
      <c r="D39" s="63">
        <v>88</v>
      </c>
      <c r="E39" s="54">
        <v>0.4</v>
      </c>
      <c r="F39" s="54">
        <v>0.6</v>
      </c>
      <c r="G39" s="54"/>
      <c r="H39" s="54"/>
      <c r="I39" s="52">
        <f t="shared" si="1"/>
        <v>26.333333333333332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53">
        <v>48</v>
      </c>
      <c r="B40" s="63">
        <v>601</v>
      </c>
      <c r="C40" s="63">
        <v>6</v>
      </c>
      <c r="D40" s="63">
        <v>102</v>
      </c>
      <c r="E40" s="54">
        <v>0.55000000000000004</v>
      </c>
      <c r="F40" s="54">
        <v>0.45</v>
      </c>
      <c r="G40" s="54"/>
      <c r="H40" s="54"/>
      <c r="I40" s="52">
        <f t="shared" si="1"/>
        <v>25.166666666666668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53">
        <v>54</v>
      </c>
      <c r="B41" s="63">
        <v>640</v>
      </c>
      <c r="C41" s="63">
        <v>7</v>
      </c>
      <c r="D41" s="63">
        <v>640</v>
      </c>
      <c r="E41" s="54">
        <v>0.75</v>
      </c>
      <c r="F41" s="54">
        <v>0.25</v>
      </c>
      <c r="G41" s="54"/>
      <c r="H41" s="54"/>
      <c r="I41" s="56">
        <f t="shared" si="1"/>
        <v>23.5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>Chêne sessile</v>
      </c>
      <c r="D58" s="259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91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63">
        <v>29</v>
      </c>
      <c r="B62" s="63">
        <v>95</v>
      </c>
      <c r="C62" s="63"/>
      <c r="D62" s="63">
        <v>20</v>
      </c>
      <c r="E62" s="54"/>
      <c r="F62" s="54"/>
      <c r="G62" s="54"/>
      <c r="H62" s="54">
        <v>1</v>
      </c>
      <c r="I62" s="56">
        <f>IFERROR(B62/A62,"")</f>
        <v>3.2758620689655173</v>
      </c>
      <c r="J62" s="25" t="s">
        <v>321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63">
        <v>37</v>
      </c>
      <c r="B63" s="63">
        <v>117</v>
      </c>
      <c r="C63" s="63">
        <v>4</v>
      </c>
      <c r="D63" s="63">
        <v>20</v>
      </c>
      <c r="E63" s="54"/>
      <c r="F63" s="54"/>
      <c r="G63" s="54"/>
      <c r="H63" s="54">
        <v>1</v>
      </c>
      <c r="I63" s="52">
        <f>IF(A63&lt;&gt;0,(B63-(B62-D62))/(A63-A62),"")</f>
        <v>5.25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63">
        <v>45</v>
      </c>
      <c r="B64" s="63">
        <v>143</v>
      </c>
      <c r="C64" s="63">
        <v>5</v>
      </c>
      <c r="D64" s="63">
        <v>25</v>
      </c>
      <c r="E64" s="54">
        <v>0.25</v>
      </c>
      <c r="F64" s="54"/>
      <c r="G64" s="54"/>
      <c r="H64" s="54">
        <v>0.75</v>
      </c>
      <c r="I64" s="52">
        <f>IF(A64&lt;&gt;0,(B64-(B63-D63))/(A64-A63),"")</f>
        <v>5.75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63">
        <v>53</v>
      </c>
      <c r="B65" s="63">
        <v>195</v>
      </c>
      <c r="C65" s="63">
        <v>6</v>
      </c>
      <c r="D65" s="63">
        <v>45</v>
      </c>
      <c r="E65" s="54">
        <v>0.25</v>
      </c>
      <c r="F65" s="54"/>
      <c r="G65" s="54"/>
      <c r="H65" s="54">
        <v>0.75</v>
      </c>
      <c r="I65" s="52">
        <f>IF(A65&lt;&gt;0,(B65-(B64-D64))/(A65-A64),"")</f>
        <v>9.625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63">
        <v>61</v>
      </c>
      <c r="B66" s="63">
        <v>218</v>
      </c>
      <c r="C66" s="63">
        <v>7</v>
      </c>
      <c r="D66" s="63">
        <v>47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8.5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63">
        <v>69</v>
      </c>
      <c r="B67" s="53">
        <v>236</v>
      </c>
      <c r="C67" s="63">
        <v>8</v>
      </c>
      <c r="D67" s="63">
        <v>43</v>
      </c>
      <c r="E67" s="54">
        <v>0.3</v>
      </c>
      <c r="F67" s="54"/>
      <c r="G67" s="54"/>
      <c r="H67" s="54">
        <v>0.7</v>
      </c>
      <c r="I67" s="52">
        <f t="shared" si="2"/>
        <v>8.125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63">
        <v>77</v>
      </c>
      <c r="B68" s="53">
        <v>255</v>
      </c>
      <c r="C68" s="63">
        <v>9</v>
      </c>
      <c r="D68" s="53">
        <v>4</v>
      </c>
      <c r="E68" s="54">
        <v>0.35</v>
      </c>
      <c r="F68" s="54"/>
      <c r="G68" s="54"/>
      <c r="H68" s="54">
        <v>0.65</v>
      </c>
      <c r="I68" s="52">
        <f t="shared" si="2"/>
        <v>7.75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>
        <v>85</v>
      </c>
      <c r="B69" s="53">
        <v>268</v>
      </c>
      <c r="C69" s="53">
        <v>10</v>
      </c>
      <c r="D69" s="53">
        <v>41</v>
      </c>
      <c r="E69" s="54">
        <v>0.35</v>
      </c>
      <c r="F69" s="54"/>
      <c r="G69" s="54"/>
      <c r="H69" s="54">
        <v>0.65</v>
      </c>
      <c r="I69" s="52">
        <f t="shared" si="2"/>
        <v>2.125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>
        <v>93</v>
      </c>
      <c r="B70" s="53">
        <v>284</v>
      </c>
      <c r="C70" s="53">
        <v>11</v>
      </c>
      <c r="D70" s="53">
        <v>40</v>
      </c>
      <c r="E70" s="54">
        <v>0.4</v>
      </c>
      <c r="F70" s="54"/>
      <c r="G70" s="54"/>
      <c r="H70" s="54">
        <v>0.6</v>
      </c>
      <c r="I70" s="52">
        <f t="shared" si="2"/>
        <v>7.125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>
        <v>101</v>
      </c>
      <c r="B71" s="53">
        <v>298</v>
      </c>
      <c r="C71" s="53">
        <v>12</v>
      </c>
      <c r="D71" s="53">
        <v>34</v>
      </c>
      <c r="E71" s="54">
        <v>0.4</v>
      </c>
      <c r="F71" s="54"/>
      <c r="G71" s="54"/>
      <c r="H71" s="54">
        <v>0.6</v>
      </c>
      <c r="I71" s="52">
        <f t="shared" si="2"/>
        <v>6.75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>
        <v>110</v>
      </c>
      <c r="B72" s="53">
        <v>326</v>
      </c>
      <c r="C72" s="53">
        <v>13</v>
      </c>
      <c r="D72" s="53">
        <v>39</v>
      </c>
      <c r="E72" s="54">
        <v>0.55000000000000004</v>
      </c>
      <c r="F72" s="54"/>
      <c r="G72" s="54"/>
      <c r="H72" s="54">
        <v>0.45</v>
      </c>
      <c r="I72" s="52">
        <f t="shared" si="2"/>
        <v>6.8888888888888893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>
        <v>120</v>
      </c>
      <c r="B73" s="53">
        <v>335</v>
      </c>
      <c r="C73" s="53">
        <v>14</v>
      </c>
      <c r="D73" s="53">
        <v>43</v>
      </c>
      <c r="E73" s="54">
        <v>0.55000000000000004</v>
      </c>
      <c r="F73" s="54"/>
      <c r="G73" s="54"/>
      <c r="H73" s="54">
        <v>0.45</v>
      </c>
      <c r="I73" s="52">
        <f t="shared" si="2"/>
        <v>4.8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>
        <v>130</v>
      </c>
      <c r="B74" s="53">
        <v>375</v>
      </c>
      <c r="C74" s="53">
        <v>15</v>
      </c>
      <c r="D74" s="53">
        <v>46</v>
      </c>
      <c r="E74" s="54">
        <v>0.6</v>
      </c>
      <c r="F74" s="54"/>
      <c r="G74" s="54"/>
      <c r="H74" s="54">
        <v>0.4</v>
      </c>
      <c r="I74" s="52">
        <f t="shared" si="2"/>
        <v>8.3000000000000007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>
        <v>140</v>
      </c>
      <c r="B75" s="53">
        <v>396</v>
      </c>
      <c r="C75" s="53">
        <v>16</v>
      </c>
      <c r="D75" s="53">
        <v>45</v>
      </c>
      <c r="E75" s="54">
        <v>0.6</v>
      </c>
      <c r="F75" s="54"/>
      <c r="G75" s="54"/>
      <c r="H75" s="54">
        <v>0.4</v>
      </c>
      <c r="I75" s="52">
        <f t="shared" si="2"/>
        <v>6.7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>
        <v>150</v>
      </c>
      <c r="B76" s="53">
        <v>418</v>
      </c>
      <c r="C76" s="53">
        <v>17</v>
      </c>
      <c r="D76" s="53">
        <v>47</v>
      </c>
      <c r="E76" s="54">
        <v>0.6</v>
      </c>
      <c r="F76" s="54"/>
      <c r="G76" s="54"/>
      <c r="H76" s="54">
        <v>0.4</v>
      </c>
      <c r="I76" s="52">
        <f t="shared" si="2"/>
        <v>6.7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>
        <v>160</v>
      </c>
      <c r="B77" s="53">
        <v>439</v>
      </c>
      <c r="C77" s="53">
        <v>18</v>
      </c>
      <c r="D77" s="53">
        <v>51</v>
      </c>
      <c r="E77" s="54">
        <v>0.7</v>
      </c>
      <c r="F77" s="54"/>
      <c r="G77" s="54"/>
      <c r="H77" s="54">
        <v>0.3</v>
      </c>
      <c r="I77" s="52">
        <f t="shared" si="2"/>
        <v>6.8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>
        <v>170</v>
      </c>
      <c r="B78" s="53">
        <v>457</v>
      </c>
      <c r="C78" s="53">
        <v>19</v>
      </c>
      <c r="D78" s="53">
        <v>457</v>
      </c>
      <c r="E78" s="54">
        <v>0.7</v>
      </c>
      <c r="F78" s="54"/>
      <c r="G78" s="54"/>
      <c r="H78" s="54">
        <v>0.3</v>
      </c>
      <c r="I78" s="52">
        <f t="shared" si="2"/>
        <v>6.9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>Pin maritime</v>
      </c>
      <c r="D84" s="259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91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63">
        <v>12</v>
      </c>
      <c r="B88" s="63">
        <v>35.6</v>
      </c>
      <c r="C88" s="63"/>
      <c r="D88" s="63"/>
      <c r="E88" s="54"/>
      <c r="F88" s="54"/>
      <c r="G88" s="54"/>
      <c r="H88" s="93"/>
      <c r="I88" s="56">
        <f>IFERROR(B88/A88,"")</f>
        <v>2.9666666666666668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63">
        <v>16</v>
      </c>
      <c r="B89" s="63">
        <v>66.3</v>
      </c>
      <c r="C89" s="63">
        <v>1</v>
      </c>
      <c r="D89" s="63">
        <v>14.8</v>
      </c>
      <c r="E89" s="54"/>
      <c r="F89" s="54"/>
      <c r="G89" s="54">
        <v>1</v>
      </c>
      <c r="H89" s="93"/>
      <c r="I89" s="56">
        <f t="shared" ref="I89:I107" si="3">IF(A89&lt;&gt;0,(B89-(B88-D88))/(A89-A88),"")</f>
        <v>7.6749999999999989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63">
        <v>20</v>
      </c>
      <c r="B90" s="63">
        <v>97.2</v>
      </c>
      <c r="C90" s="63">
        <v>2</v>
      </c>
      <c r="D90" s="63">
        <v>22.1</v>
      </c>
      <c r="E90" s="93">
        <v>0.25</v>
      </c>
      <c r="F90" s="93"/>
      <c r="G90" s="93">
        <v>0.75</v>
      </c>
      <c r="H90" s="93"/>
      <c r="I90" s="56">
        <f t="shared" si="3"/>
        <v>11.425000000000001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63">
        <v>24</v>
      </c>
      <c r="B91" s="63">
        <v>125.7</v>
      </c>
      <c r="C91" s="63">
        <v>3</v>
      </c>
      <c r="D91" s="63">
        <v>30.8</v>
      </c>
      <c r="E91" s="93">
        <v>0.25</v>
      </c>
      <c r="F91" s="93"/>
      <c r="G91" s="93">
        <v>0.75</v>
      </c>
      <c r="H91" s="93"/>
      <c r="I91" s="56">
        <f t="shared" si="3"/>
        <v>12.650000000000002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63">
        <v>28</v>
      </c>
      <c r="B92" s="63">
        <v>155.5</v>
      </c>
      <c r="C92" s="63">
        <v>4</v>
      </c>
      <c r="D92" s="63">
        <v>35.4</v>
      </c>
      <c r="E92" s="93">
        <v>0.4</v>
      </c>
      <c r="F92" s="93"/>
      <c r="G92" s="93">
        <v>0.6</v>
      </c>
      <c r="H92" s="93"/>
      <c r="I92" s="56">
        <f t="shared" si="3"/>
        <v>15.149999999999999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63">
        <v>34</v>
      </c>
      <c r="B93" s="63">
        <v>198.1</v>
      </c>
      <c r="C93" s="63">
        <v>5</v>
      </c>
      <c r="D93" s="63">
        <v>46.2</v>
      </c>
      <c r="E93" s="93">
        <v>0.4</v>
      </c>
      <c r="F93" s="93"/>
      <c r="G93" s="93">
        <v>0.6</v>
      </c>
      <c r="H93" s="93"/>
      <c r="I93" s="56">
        <f t="shared" si="3"/>
        <v>13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63">
        <v>40</v>
      </c>
      <c r="B94" s="63">
        <v>234.1</v>
      </c>
      <c r="C94" s="63">
        <v>6</v>
      </c>
      <c r="D94" s="63">
        <v>41.3</v>
      </c>
      <c r="E94" s="93">
        <v>0.4</v>
      </c>
      <c r="F94" s="93"/>
      <c r="G94" s="93">
        <v>0.6</v>
      </c>
      <c r="H94" s="93"/>
      <c r="I94" s="56">
        <f t="shared" si="3"/>
        <v>13.700000000000003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63">
        <v>46</v>
      </c>
      <c r="B95" s="63">
        <v>263.60000000000002</v>
      </c>
      <c r="C95" s="63">
        <v>7</v>
      </c>
      <c r="D95" s="63">
        <v>28.7</v>
      </c>
      <c r="E95" s="93">
        <v>0.45</v>
      </c>
      <c r="F95" s="93"/>
      <c r="G95" s="93">
        <v>0.55000000000000004</v>
      </c>
      <c r="H95" s="93"/>
      <c r="I95" s="56">
        <f t="shared" si="3"/>
        <v>11.800000000000002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63">
        <v>54</v>
      </c>
      <c r="B96" s="63">
        <v>295.5</v>
      </c>
      <c r="C96" s="63">
        <v>8</v>
      </c>
      <c r="D96" s="63">
        <v>15.6</v>
      </c>
      <c r="E96" s="93">
        <v>0.6</v>
      </c>
      <c r="F96" s="93"/>
      <c r="G96" s="93">
        <v>0.4</v>
      </c>
      <c r="H96" s="93"/>
      <c r="I96" s="56">
        <f t="shared" si="3"/>
        <v>7.5749999999999957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63">
        <v>62</v>
      </c>
      <c r="B97" s="63">
        <v>308.8</v>
      </c>
      <c r="C97" s="63">
        <v>9</v>
      </c>
      <c r="D97" s="63">
        <v>6.5</v>
      </c>
      <c r="E97" s="93">
        <v>0.6</v>
      </c>
      <c r="F97" s="93"/>
      <c r="G97" s="93">
        <v>0.4</v>
      </c>
      <c r="H97" s="93"/>
      <c r="I97" s="56">
        <f t="shared" si="3"/>
        <v>3.6125000000000043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>Thuya géant</v>
      </c>
      <c r="D110" s="259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91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53">
        <v>15</v>
      </c>
      <c r="B114" s="63">
        <v>96</v>
      </c>
      <c r="C114" s="53"/>
      <c r="D114" s="63"/>
      <c r="E114" s="54"/>
      <c r="F114" s="54"/>
      <c r="G114" s="54"/>
      <c r="H114" s="54"/>
      <c r="I114" s="56">
        <f>IFERROR(B114/A114,"")</f>
        <v>6.4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53">
        <v>20</v>
      </c>
      <c r="B115" s="63">
        <v>159</v>
      </c>
      <c r="C115" s="53">
        <v>1</v>
      </c>
      <c r="D115" s="63">
        <v>72</v>
      </c>
      <c r="E115" s="54"/>
      <c r="F115" s="54">
        <v>1</v>
      </c>
      <c r="G115" s="54"/>
      <c r="H115" s="54"/>
      <c r="I115" s="56">
        <f t="shared" ref="I115:I133" si="4">IF(A115&lt;&gt;0,(B115-(B114-D114))/(A115-A114),"")</f>
        <v>12.6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53">
        <v>25</v>
      </c>
      <c r="B116" s="63">
        <v>241</v>
      </c>
      <c r="C116" s="53">
        <v>2</v>
      </c>
      <c r="D116" s="63">
        <v>84</v>
      </c>
      <c r="E116" s="54"/>
      <c r="F116" s="54">
        <v>1</v>
      </c>
      <c r="G116" s="54"/>
      <c r="H116" s="54"/>
      <c r="I116" s="56">
        <f t="shared" si="4"/>
        <v>30.8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53">
        <v>30</v>
      </c>
      <c r="B117" s="63">
        <v>331</v>
      </c>
      <c r="C117" s="53">
        <v>3</v>
      </c>
      <c r="D117" s="63">
        <v>84</v>
      </c>
      <c r="E117" s="54">
        <v>0.25</v>
      </c>
      <c r="F117" s="54">
        <v>0.75</v>
      </c>
      <c r="G117" s="54"/>
      <c r="H117" s="54"/>
      <c r="I117" s="56">
        <f t="shared" si="4"/>
        <v>34.799999999999997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53">
        <v>35</v>
      </c>
      <c r="B118" s="63">
        <v>417</v>
      </c>
      <c r="C118" s="53">
        <v>4</v>
      </c>
      <c r="D118" s="63">
        <v>84</v>
      </c>
      <c r="E118" s="54">
        <v>0.25</v>
      </c>
      <c r="F118" s="54">
        <v>0.75</v>
      </c>
      <c r="G118" s="54"/>
      <c r="H118" s="54"/>
      <c r="I118" s="56">
        <f t="shared" si="4"/>
        <v>34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53">
        <v>40</v>
      </c>
      <c r="B119" s="63">
        <v>493</v>
      </c>
      <c r="C119" s="53">
        <v>5</v>
      </c>
      <c r="D119" s="63">
        <v>84</v>
      </c>
      <c r="E119" s="54">
        <v>0.3</v>
      </c>
      <c r="F119" s="54">
        <v>0.7</v>
      </c>
      <c r="G119" s="54"/>
      <c r="H119" s="54"/>
      <c r="I119" s="56">
        <f t="shared" si="4"/>
        <v>32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63">
        <v>45</v>
      </c>
      <c r="B120" s="63">
        <v>558</v>
      </c>
      <c r="C120" s="63">
        <v>6</v>
      </c>
      <c r="D120" s="63">
        <v>84</v>
      </c>
      <c r="E120" s="93">
        <v>0.3</v>
      </c>
      <c r="F120" s="93">
        <v>0.7</v>
      </c>
      <c r="G120" s="93"/>
      <c r="H120" s="93"/>
      <c r="I120" s="56">
        <f t="shared" si="4"/>
        <v>29.8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63">
        <v>50</v>
      </c>
      <c r="B121" s="63">
        <v>618</v>
      </c>
      <c r="C121" s="63">
        <v>7</v>
      </c>
      <c r="D121" s="63">
        <v>79</v>
      </c>
      <c r="E121" s="93">
        <v>0.4</v>
      </c>
      <c r="F121" s="93">
        <v>0.6</v>
      </c>
      <c r="G121" s="93"/>
      <c r="H121" s="93"/>
      <c r="I121" s="56">
        <f t="shared" si="4"/>
        <v>28.8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63">
        <v>55</v>
      </c>
      <c r="B122" s="63">
        <v>678</v>
      </c>
      <c r="C122" s="63">
        <v>8</v>
      </c>
      <c r="D122" s="63">
        <v>70</v>
      </c>
      <c r="E122" s="93">
        <v>0.4</v>
      </c>
      <c r="F122" s="93">
        <v>0.6</v>
      </c>
      <c r="G122" s="93"/>
      <c r="H122" s="93"/>
      <c r="I122" s="56">
        <f t="shared" si="4"/>
        <v>27.8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63">
        <v>60</v>
      </c>
      <c r="B123" s="63">
        <v>734</v>
      </c>
      <c r="C123" s="63">
        <v>9</v>
      </c>
      <c r="D123" s="63">
        <v>64</v>
      </c>
      <c r="E123" s="93">
        <v>0.55000000000000004</v>
      </c>
      <c r="F123" s="93">
        <v>0.45</v>
      </c>
      <c r="G123" s="93"/>
      <c r="H123" s="93"/>
      <c r="I123" s="56">
        <f t="shared" si="4"/>
        <v>25.2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63">
        <v>65</v>
      </c>
      <c r="B124" s="63">
        <v>786</v>
      </c>
      <c r="C124" s="63">
        <v>10</v>
      </c>
      <c r="D124" s="63">
        <v>60</v>
      </c>
      <c r="E124" s="93">
        <v>0.55000000000000004</v>
      </c>
      <c r="F124" s="93">
        <v>0.45</v>
      </c>
      <c r="G124" s="93"/>
      <c r="H124" s="93"/>
      <c r="I124" s="56">
        <f t="shared" si="4"/>
        <v>23.2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63">
        <v>70</v>
      </c>
      <c r="B125" s="63">
        <v>832</v>
      </c>
      <c r="C125" s="63">
        <v>11</v>
      </c>
      <c r="D125" s="63">
        <v>56</v>
      </c>
      <c r="E125" s="93">
        <v>0.6</v>
      </c>
      <c r="F125" s="93">
        <v>0.4</v>
      </c>
      <c r="G125" s="93"/>
      <c r="H125" s="93"/>
      <c r="I125" s="56">
        <f t="shared" si="4"/>
        <v>21.2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63">
        <v>75</v>
      </c>
      <c r="B126" s="63">
        <v>875</v>
      </c>
      <c r="C126" s="63">
        <v>12</v>
      </c>
      <c r="D126" s="63">
        <v>54</v>
      </c>
      <c r="E126" s="68">
        <v>0.6</v>
      </c>
      <c r="F126" s="68">
        <v>0.4</v>
      </c>
      <c r="G126" s="68"/>
      <c r="H126" s="68"/>
      <c r="I126" s="56">
        <f t="shared" si="4"/>
        <v>19.8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63">
        <v>80</v>
      </c>
      <c r="B127" s="63">
        <v>912</v>
      </c>
      <c r="C127" s="63">
        <v>13</v>
      </c>
      <c r="D127" s="63">
        <v>52</v>
      </c>
      <c r="E127" s="68">
        <v>0.65</v>
      </c>
      <c r="F127" s="68">
        <v>0.35</v>
      </c>
      <c r="G127" s="68"/>
      <c r="H127" s="68"/>
      <c r="I127" s="56">
        <f t="shared" si="4"/>
        <v>18.2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>Séquoia toujours vert</v>
      </c>
      <c r="D136" s="259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91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53">
        <v>15</v>
      </c>
      <c r="B140" s="63">
        <v>100</v>
      </c>
      <c r="C140" s="53">
        <v>1</v>
      </c>
      <c r="D140" s="63">
        <v>13</v>
      </c>
      <c r="E140" s="54"/>
      <c r="F140" s="54">
        <v>1</v>
      </c>
      <c r="G140" s="54"/>
      <c r="H140" s="54"/>
      <c r="I140" s="60">
        <f>IFERROR(B140/A140,"")</f>
        <v>6.666666666666667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53">
        <v>20</v>
      </c>
      <c r="B141" s="63">
        <v>155</v>
      </c>
      <c r="C141" s="53">
        <v>2</v>
      </c>
      <c r="D141" s="63">
        <v>105</v>
      </c>
      <c r="E141" s="54"/>
      <c r="F141" s="54">
        <v>1</v>
      </c>
      <c r="G141" s="54"/>
      <c r="H141" s="54"/>
      <c r="I141" s="60">
        <f t="shared" ref="I141:I159" si="5">IF(A141&lt;&gt;0,(B141-(B140-D140))/(A141-A140),"")</f>
        <v>13.6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53">
        <v>25</v>
      </c>
      <c r="B142" s="63">
        <v>267</v>
      </c>
      <c r="C142" s="53">
        <v>3</v>
      </c>
      <c r="D142" s="63">
        <v>105</v>
      </c>
      <c r="E142" s="54">
        <v>0.25</v>
      </c>
      <c r="F142" s="54">
        <v>0.75</v>
      </c>
      <c r="G142" s="54"/>
      <c r="H142" s="54"/>
      <c r="I142" s="60">
        <f t="shared" si="5"/>
        <v>43.4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53">
        <v>30</v>
      </c>
      <c r="B143" s="63">
        <v>393</v>
      </c>
      <c r="C143" s="53">
        <v>4</v>
      </c>
      <c r="D143" s="63">
        <v>105</v>
      </c>
      <c r="E143" s="54">
        <v>0.25</v>
      </c>
      <c r="F143" s="54">
        <v>0.75</v>
      </c>
      <c r="G143" s="54"/>
      <c r="H143" s="54"/>
      <c r="I143" s="60">
        <f t="shared" si="5"/>
        <v>46.2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53">
        <v>35</v>
      </c>
      <c r="B144" s="63">
        <v>511</v>
      </c>
      <c r="C144" s="53">
        <v>5</v>
      </c>
      <c r="D144" s="63">
        <v>105</v>
      </c>
      <c r="E144" s="54">
        <v>0.3</v>
      </c>
      <c r="F144" s="54">
        <v>0.7</v>
      </c>
      <c r="G144" s="54"/>
      <c r="H144" s="54"/>
      <c r="I144" s="60">
        <f t="shared" si="5"/>
        <v>44.6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53">
        <v>40</v>
      </c>
      <c r="B145" s="63">
        <v>616</v>
      </c>
      <c r="C145" s="53">
        <v>6</v>
      </c>
      <c r="D145" s="63">
        <v>0</v>
      </c>
      <c r="E145" s="93">
        <v>0.3</v>
      </c>
      <c r="F145" s="93">
        <v>0.7</v>
      </c>
      <c r="G145" s="54"/>
      <c r="H145" s="54"/>
      <c r="I145" s="60">
        <f t="shared" si="5"/>
        <v>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53">
        <v>45</v>
      </c>
      <c r="B146" s="63">
        <v>719</v>
      </c>
      <c r="C146" s="53">
        <v>7</v>
      </c>
      <c r="D146" s="63">
        <v>83</v>
      </c>
      <c r="E146" s="93">
        <v>0.4</v>
      </c>
      <c r="F146" s="93">
        <v>0.6</v>
      </c>
      <c r="G146" s="54"/>
      <c r="H146" s="54"/>
      <c r="I146" s="60">
        <f t="shared" si="5"/>
        <v>20.6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53">
        <v>50</v>
      </c>
      <c r="B147" s="63">
        <v>813</v>
      </c>
      <c r="C147" s="53">
        <v>8</v>
      </c>
      <c r="D147" s="63">
        <v>71</v>
      </c>
      <c r="E147" s="93">
        <v>0.4</v>
      </c>
      <c r="F147" s="93">
        <v>0.6</v>
      </c>
      <c r="G147" s="54"/>
      <c r="H147" s="54"/>
      <c r="I147" s="60">
        <f>IF(A147&lt;&gt;0,(B147-(B146-D146))/(A147-A146),"")</f>
        <v>35.4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53">
        <v>55</v>
      </c>
      <c r="B148" s="63">
        <v>897</v>
      </c>
      <c r="C148" s="53">
        <v>9</v>
      </c>
      <c r="D148" s="63">
        <v>62</v>
      </c>
      <c r="E148" s="93">
        <v>0.55000000000000004</v>
      </c>
      <c r="F148" s="93">
        <v>0.45</v>
      </c>
      <c r="G148" s="54"/>
      <c r="H148" s="54"/>
      <c r="I148" s="60">
        <f t="shared" si="5"/>
        <v>31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53">
        <v>60</v>
      </c>
      <c r="B149" s="63">
        <v>968</v>
      </c>
      <c r="C149" s="53">
        <v>10</v>
      </c>
      <c r="D149" s="63">
        <v>55</v>
      </c>
      <c r="E149" s="93">
        <v>0.55000000000000004</v>
      </c>
      <c r="F149" s="93">
        <v>0.45</v>
      </c>
      <c r="G149" s="54"/>
      <c r="H149" s="54"/>
      <c r="I149" s="60">
        <f t="shared" si="5"/>
        <v>26.6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53">
        <v>65</v>
      </c>
      <c r="B150" s="63">
        <v>1028</v>
      </c>
      <c r="C150" s="53">
        <v>11</v>
      </c>
      <c r="D150" s="63">
        <v>49</v>
      </c>
      <c r="E150" s="93">
        <v>0.6</v>
      </c>
      <c r="F150" s="93">
        <v>0.4</v>
      </c>
      <c r="G150" s="54"/>
      <c r="H150" s="54"/>
      <c r="I150" s="60">
        <f t="shared" si="5"/>
        <v>23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53">
        <v>70</v>
      </c>
      <c r="B151" s="63">
        <v>1076</v>
      </c>
      <c r="C151" s="53">
        <v>12</v>
      </c>
      <c r="D151" s="63">
        <v>44</v>
      </c>
      <c r="E151" s="68">
        <v>0.6</v>
      </c>
      <c r="F151" s="68">
        <v>0.4</v>
      </c>
      <c r="G151" s="54"/>
      <c r="H151" s="54"/>
      <c r="I151" s="60">
        <f t="shared" si="5"/>
        <v>19.399999999999999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53">
        <v>75</v>
      </c>
      <c r="B152" s="63">
        <v>1111</v>
      </c>
      <c r="C152" s="53">
        <v>13</v>
      </c>
      <c r="D152" s="63">
        <v>40</v>
      </c>
      <c r="E152" s="68">
        <v>0.65</v>
      </c>
      <c r="F152" s="68">
        <v>0.35</v>
      </c>
      <c r="G152" s="57"/>
      <c r="H152" s="57"/>
      <c r="I152" s="60">
        <f t="shared" si="5"/>
        <v>15.8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53">
        <v>80</v>
      </c>
      <c r="B153" s="63">
        <v>1135</v>
      </c>
      <c r="C153" s="53">
        <v>14</v>
      </c>
      <c r="D153" s="63">
        <v>35</v>
      </c>
      <c r="E153" s="57">
        <v>0.7</v>
      </c>
      <c r="F153" s="57">
        <v>0.3</v>
      </c>
      <c r="G153" s="57"/>
      <c r="H153" s="57"/>
      <c r="I153" s="60">
        <f t="shared" si="5"/>
        <v>12.8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>Sapin méditerranéen</v>
      </c>
      <c r="D162" s="259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91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336">
        <v>17</v>
      </c>
      <c r="B166" s="337">
        <v>103</v>
      </c>
      <c r="C166" s="337">
        <v>1</v>
      </c>
      <c r="D166" s="337">
        <v>15</v>
      </c>
      <c r="E166" s="54"/>
      <c r="F166" s="54">
        <v>1</v>
      </c>
      <c r="G166" s="54"/>
      <c r="H166" s="54"/>
      <c r="I166" s="52">
        <f>IFERROR(B166/A166,"")</f>
        <v>6.0588235294117645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338">
        <v>20</v>
      </c>
      <c r="B167" s="339">
        <v>122</v>
      </c>
      <c r="C167" s="339">
        <v>2</v>
      </c>
      <c r="D167" s="339">
        <v>15</v>
      </c>
      <c r="E167" s="54"/>
      <c r="F167" s="54">
        <v>1</v>
      </c>
      <c r="G167" s="54"/>
      <c r="H167" s="54"/>
      <c r="I167" s="52">
        <f t="shared" ref="I167:I185" si="6">IF(A167&lt;&gt;0,(B167-(B166-D166))/(A167-A166),"")</f>
        <v>11.333333333333334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338">
        <v>25</v>
      </c>
      <c r="B168" s="339">
        <v>168</v>
      </c>
      <c r="C168" s="339">
        <v>3</v>
      </c>
      <c r="D168" s="339">
        <v>36</v>
      </c>
      <c r="E168" s="54">
        <v>0.3</v>
      </c>
      <c r="F168" s="54">
        <v>0.7</v>
      </c>
      <c r="G168" s="54"/>
      <c r="H168" s="54"/>
      <c r="I168" s="52">
        <f t="shared" si="6"/>
        <v>12.2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338">
        <v>30</v>
      </c>
      <c r="B169" s="339">
        <v>202</v>
      </c>
      <c r="C169" s="339">
        <v>4</v>
      </c>
      <c r="D169" s="339">
        <v>54</v>
      </c>
      <c r="E169" s="54">
        <v>0.3</v>
      </c>
      <c r="F169" s="54">
        <v>0.7</v>
      </c>
      <c r="G169" s="54"/>
      <c r="H169" s="54"/>
      <c r="I169" s="52">
        <f t="shared" si="6"/>
        <v>14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338">
        <v>35</v>
      </c>
      <c r="B170" s="339">
        <v>244</v>
      </c>
      <c r="C170" s="339">
        <v>5</v>
      </c>
      <c r="D170" s="339">
        <v>52</v>
      </c>
      <c r="E170" s="54">
        <v>0.3</v>
      </c>
      <c r="F170" s="54">
        <v>0.7</v>
      </c>
      <c r="G170" s="54"/>
      <c r="H170" s="54"/>
      <c r="I170" s="52">
        <f t="shared" si="6"/>
        <v>19.2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338">
        <v>40</v>
      </c>
      <c r="B171" s="339">
        <v>284</v>
      </c>
      <c r="C171" s="339">
        <v>6</v>
      </c>
      <c r="D171" s="339">
        <v>48</v>
      </c>
      <c r="E171" s="54">
        <v>0.3</v>
      </c>
      <c r="F171" s="54">
        <v>0.7</v>
      </c>
      <c r="G171" s="54"/>
      <c r="H171" s="54"/>
      <c r="I171" s="52">
        <f t="shared" si="6"/>
        <v>18.399999999999999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338">
        <v>45</v>
      </c>
      <c r="B172" s="339">
        <v>327</v>
      </c>
      <c r="C172" s="339">
        <v>7</v>
      </c>
      <c r="D172" s="339">
        <v>57</v>
      </c>
      <c r="E172" s="54">
        <v>0.4</v>
      </c>
      <c r="F172" s="54">
        <v>0.6</v>
      </c>
      <c r="G172" s="54"/>
      <c r="H172" s="54"/>
      <c r="I172" s="52">
        <f t="shared" si="6"/>
        <v>18.2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338">
        <v>50</v>
      </c>
      <c r="B173" s="339">
        <v>367</v>
      </c>
      <c r="C173" s="339">
        <v>8</v>
      </c>
      <c r="D173" s="339">
        <v>47</v>
      </c>
      <c r="E173" s="54">
        <v>0.4</v>
      </c>
      <c r="F173" s="54">
        <v>0.6</v>
      </c>
      <c r="G173" s="54"/>
      <c r="H173" s="54"/>
      <c r="I173" s="52">
        <f t="shared" si="6"/>
        <v>19.399999999999999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338">
        <v>55</v>
      </c>
      <c r="B174" s="339">
        <v>415</v>
      </c>
      <c r="C174" s="339">
        <v>9</v>
      </c>
      <c r="D174" s="339">
        <v>48</v>
      </c>
      <c r="E174" s="54">
        <v>0.55000000000000004</v>
      </c>
      <c r="F174" s="54">
        <v>0.45</v>
      </c>
      <c r="G174" s="54"/>
      <c r="H174" s="54"/>
      <c r="I174" s="52">
        <f t="shared" si="6"/>
        <v>19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338">
        <v>60</v>
      </c>
      <c r="B175" s="339">
        <v>468</v>
      </c>
      <c r="C175" s="339">
        <v>10</v>
      </c>
      <c r="D175" s="339">
        <v>32</v>
      </c>
      <c r="E175" s="54">
        <v>0.75</v>
      </c>
      <c r="F175" s="54">
        <v>0.25</v>
      </c>
      <c r="G175" s="54"/>
      <c r="H175" s="54"/>
      <c r="I175" s="52">
        <f t="shared" si="6"/>
        <v>20.2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338">
        <v>65</v>
      </c>
      <c r="B176" s="339">
        <v>527</v>
      </c>
      <c r="C176" s="339">
        <v>11</v>
      </c>
      <c r="D176" s="339">
        <v>28</v>
      </c>
      <c r="E176" s="54">
        <v>0.75</v>
      </c>
      <c r="F176" s="54">
        <v>0.25</v>
      </c>
      <c r="G176" s="54"/>
      <c r="H176" s="54"/>
      <c r="I176" s="52">
        <f t="shared" si="6"/>
        <v>18.2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>Cèdre de l'Atlas</v>
      </c>
      <c r="D188" s="259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91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>
        <v>17</v>
      </c>
      <c r="B192" s="53">
        <v>103</v>
      </c>
      <c r="C192" s="53">
        <v>1</v>
      </c>
      <c r="D192" s="53">
        <v>15</v>
      </c>
      <c r="E192" s="54"/>
      <c r="F192" s="54">
        <v>1</v>
      </c>
      <c r="G192" s="54"/>
      <c r="H192" s="54"/>
      <c r="I192" s="52">
        <f>IFERROR(B192/A192,"")</f>
        <v>6.0588235294117645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>
        <v>20</v>
      </c>
      <c r="B193" s="53">
        <v>122</v>
      </c>
      <c r="C193" s="53">
        <v>2</v>
      </c>
      <c r="D193" s="53">
        <v>15</v>
      </c>
      <c r="E193" s="54"/>
      <c r="F193" s="54">
        <v>1</v>
      </c>
      <c r="G193" s="54"/>
      <c r="H193" s="54"/>
      <c r="I193" s="52">
        <f t="shared" ref="I193:I211" si="7">IF(A193&lt;&gt;0,(B193-(B192-D192))/(A193-A192),"")</f>
        <v>11.333333333333334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>
        <v>25</v>
      </c>
      <c r="B194" s="53">
        <v>168</v>
      </c>
      <c r="C194" s="53">
        <v>3</v>
      </c>
      <c r="D194" s="53">
        <v>36</v>
      </c>
      <c r="E194" s="54">
        <v>0.3</v>
      </c>
      <c r="F194" s="54">
        <v>0.7</v>
      </c>
      <c r="G194" s="54"/>
      <c r="H194" s="54"/>
      <c r="I194" s="52">
        <f t="shared" si="7"/>
        <v>12.2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>
        <v>30</v>
      </c>
      <c r="B195" s="53">
        <v>202</v>
      </c>
      <c r="C195" s="53">
        <v>4</v>
      </c>
      <c r="D195" s="53">
        <v>54</v>
      </c>
      <c r="E195" s="54">
        <v>0.3</v>
      </c>
      <c r="F195" s="54">
        <v>0.7</v>
      </c>
      <c r="G195" s="54"/>
      <c r="H195" s="54"/>
      <c r="I195" s="52">
        <f t="shared" si="7"/>
        <v>14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>
        <v>35</v>
      </c>
      <c r="B196" s="53">
        <v>244</v>
      </c>
      <c r="C196" s="53">
        <v>5</v>
      </c>
      <c r="D196" s="53">
        <v>52</v>
      </c>
      <c r="E196" s="54">
        <v>0.3</v>
      </c>
      <c r="F196" s="54">
        <v>0.7</v>
      </c>
      <c r="G196" s="54"/>
      <c r="H196" s="54"/>
      <c r="I196" s="52">
        <f t="shared" si="7"/>
        <v>19.2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>
        <v>40</v>
      </c>
      <c r="B197" s="53">
        <v>284</v>
      </c>
      <c r="C197" s="53">
        <v>6</v>
      </c>
      <c r="D197" s="53">
        <v>48</v>
      </c>
      <c r="E197" s="54">
        <v>0.3</v>
      </c>
      <c r="F197" s="54">
        <v>0.7</v>
      </c>
      <c r="G197" s="54"/>
      <c r="H197" s="54"/>
      <c r="I197" s="52">
        <f t="shared" si="7"/>
        <v>18.399999999999999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>
        <v>45</v>
      </c>
      <c r="B198" s="53">
        <v>327</v>
      </c>
      <c r="C198" s="53">
        <v>7</v>
      </c>
      <c r="D198" s="53">
        <v>57</v>
      </c>
      <c r="E198" s="54">
        <v>0.4</v>
      </c>
      <c r="F198" s="54">
        <v>0.6</v>
      </c>
      <c r="G198" s="54"/>
      <c r="H198" s="54"/>
      <c r="I198" s="52">
        <f t="shared" si="7"/>
        <v>18.2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>
        <v>50</v>
      </c>
      <c r="B199" s="53">
        <v>367</v>
      </c>
      <c r="C199" s="53">
        <v>8</v>
      </c>
      <c r="D199" s="53">
        <v>47</v>
      </c>
      <c r="E199" s="54">
        <v>0.4</v>
      </c>
      <c r="F199" s="54">
        <v>0.6</v>
      </c>
      <c r="G199" s="54"/>
      <c r="H199" s="54"/>
      <c r="I199" s="52">
        <f t="shared" si="7"/>
        <v>19.399999999999999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>
        <v>55</v>
      </c>
      <c r="B200" s="53">
        <v>415</v>
      </c>
      <c r="C200" s="53">
        <v>9</v>
      </c>
      <c r="D200" s="53">
        <v>48</v>
      </c>
      <c r="E200" s="54">
        <v>0.55000000000000004</v>
      </c>
      <c r="F200" s="54">
        <v>0.45</v>
      </c>
      <c r="G200" s="54"/>
      <c r="H200" s="54"/>
      <c r="I200" s="52">
        <f t="shared" si="7"/>
        <v>19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>
        <v>60</v>
      </c>
      <c r="B201" s="53">
        <v>468</v>
      </c>
      <c r="C201" s="53">
        <v>10</v>
      </c>
      <c r="D201" s="53">
        <v>32</v>
      </c>
      <c r="E201" s="54">
        <v>0.75</v>
      </c>
      <c r="F201" s="54">
        <v>0.25</v>
      </c>
      <c r="G201" s="54"/>
      <c r="H201" s="54"/>
      <c r="I201" s="52">
        <f t="shared" si="7"/>
        <v>20.2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>
        <v>65</v>
      </c>
      <c r="B202" s="53">
        <v>527</v>
      </c>
      <c r="C202" s="53">
        <v>11</v>
      </c>
      <c r="D202" s="53">
        <v>28</v>
      </c>
      <c r="E202" s="54">
        <v>0.75</v>
      </c>
      <c r="F202" s="54">
        <v>0.25</v>
      </c>
      <c r="G202" s="54"/>
      <c r="H202" s="54"/>
      <c r="I202" s="52">
        <f t="shared" si="7"/>
        <v>18.2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>Châtaignier</v>
      </c>
      <c r="D214" s="259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91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8">
        <v>10</v>
      </c>
      <c r="B218" s="58">
        <v>115</v>
      </c>
      <c r="C218" s="58">
        <v>1</v>
      </c>
      <c r="D218" s="58">
        <v>71</v>
      </c>
      <c r="E218" s="66"/>
      <c r="F218" s="66"/>
      <c r="G218" s="66"/>
      <c r="H218" s="66">
        <v>1</v>
      </c>
      <c r="I218" s="56">
        <f>IFERROR(B218/A218,"")</f>
        <v>11.5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8">
        <v>15</v>
      </c>
      <c r="B219" s="58">
        <v>83</v>
      </c>
      <c r="C219" s="58"/>
      <c r="D219" s="58"/>
      <c r="E219" s="66"/>
      <c r="F219" s="66"/>
      <c r="G219" s="66"/>
      <c r="H219" s="66"/>
      <c r="I219" s="56">
        <f t="shared" ref="I219:I237" si="8">IF(A219&lt;&gt;0,(B219-(B218-D218))/(A219-A218),"")</f>
        <v>7.8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8">
        <v>16</v>
      </c>
      <c r="B220" s="58">
        <v>92</v>
      </c>
      <c r="C220" s="58">
        <v>2</v>
      </c>
      <c r="D220" s="58">
        <v>33</v>
      </c>
      <c r="E220" s="66"/>
      <c r="F220" s="66"/>
      <c r="G220" s="66"/>
      <c r="H220" s="66">
        <v>1</v>
      </c>
      <c r="I220" s="56">
        <f t="shared" si="8"/>
        <v>9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8">
        <v>20</v>
      </c>
      <c r="B221" s="58">
        <v>91</v>
      </c>
      <c r="C221" s="58"/>
      <c r="D221" s="58"/>
      <c r="E221" s="66"/>
      <c r="F221" s="66"/>
      <c r="G221" s="66"/>
      <c r="H221" s="66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8">
        <v>25</v>
      </c>
      <c r="B222" s="58">
        <v>131</v>
      </c>
      <c r="C222" s="58">
        <v>3</v>
      </c>
      <c r="D222" s="58">
        <v>41</v>
      </c>
      <c r="E222" s="66">
        <v>0.4</v>
      </c>
      <c r="F222" s="66"/>
      <c r="G222" s="66"/>
      <c r="H222" s="66">
        <v>0.6</v>
      </c>
      <c r="I222" s="56">
        <f t="shared" si="8"/>
        <v>8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8">
        <v>30</v>
      </c>
      <c r="B223" s="58">
        <v>126</v>
      </c>
      <c r="C223" s="58"/>
      <c r="D223" s="58"/>
      <c r="E223" s="66"/>
      <c r="F223" s="66"/>
      <c r="G223" s="66"/>
      <c r="H223" s="66"/>
      <c r="I223" s="56">
        <f t="shared" si="8"/>
        <v>7.2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8">
        <v>35</v>
      </c>
      <c r="B224" s="58">
        <v>162</v>
      </c>
      <c r="C224" s="58"/>
      <c r="D224" s="58"/>
      <c r="E224" s="66"/>
      <c r="F224" s="66"/>
      <c r="G224" s="66"/>
      <c r="H224" s="66"/>
      <c r="I224" s="56">
        <f t="shared" si="8"/>
        <v>7.2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8">
        <v>40</v>
      </c>
      <c r="B225" s="58">
        <v>197</v>
      </c>
      <c r="C225" s="58"/>
      <c r="D225" s="58"/>
      <c r="E225" s="66"/>
      <c r="F225" s="66"/>
      <c r="G225" s="66"/>
      <c r="H225" s="66"/>
      <c r="I225" s="56">
        <f t="shared" si="8"/>
        <v>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8">
        <v>45</v>
      </c>
      <c r="B226" s="58">
        <v>231</v>
      </c>
      <c r="C226" s="58"/>
      <c r="D226" s="58"/>
      <c r="E226" s="66"/>
      <c r="F226" s="66"/>
      <c r="G226" s="66"/>
      <c r="H226" s="66"/>
      <c r="I226" s="56">
        <f t="shared" si="8"/>
        <v>6.8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/>
      </c>
      <c r="D240" s="259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91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/>
      </c>
      <c r="D266" s="259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91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7" t="s">
        <v>297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8"/>
      <c r="B7" s="29" t="s">
        <v>296</v>
      </c>
      <c r="C7" s="109" t="s">
        <v>214</v>
      </c>
      <c r="D7" s="235"/>
      <c r="E7" s="110"/>
      <c r="F7" s="29" t="s">
        <v>296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36"/>
      <c r="B13" s="116"/>
      <c r="C13" s="107" t="s">
        <v>273</v>
      </c>
      <c r="D13" s="236"/>
      <c r="E13" s="108"/>
      <c r="F13" s="116"/>
      <c r="G13" s="107" t="s">
        <v>302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>
      <c r="A14" s="236"/>
      <c r="B14" s="116"/>
      <c r="C14" s="107" t="s">
        <v>310</v>
      </c>
      <c r="D14" s="236"/>
      <c r="E14" s="108"/>
      <c r="F14" s="116"/>
      <c r="G14" s="107" t="s">
        <v>295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>
      <c r="A15" s="25"/>
      <c r="B15" s="29" t="s">
        <v>296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Douglas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Chêne sessile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Pin maritime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>Thuya géant</v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>Séquoia toujours vert</v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>Sapin méditerranéen</v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>Cèdre de l'Atlas</v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>Châtaignier</v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65" thickBot="1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9" t="s">
        <v>300</v>
      </c>
      <c r="I2" s="72" t="s">
        <v>299</v>
      </c>
      <c r="J2" s="73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299</v>
      </c>
      <c r="AE2" s="73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299</v>
      </c>
      <c r="AZ2" s="73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299</v>
      </c>
      <c r="BU2" s="73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299</v>
      </c>
      <c r="CP2" s="73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299</v>
      </c>
      <c r="DK2" s="73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299</v>
      </c>
      <c r="EF2" s="73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299</v>
      </c>
      <c r="FA2" s="73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299</v>
      </c>
      <c r="FV2" s="73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299</v>
      </c>
      <c r="GQ2" s="73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378.13552372917843</v>
      </c>
      <c r="T3" s="62">
        <f>IF('Données projet'!E9&gt;30,$R$33-$H$33,LOOKUP('Données projet'!$E$9,$A$3:$A$203,R3:R203)-LOOKUP('Données projet'!$E$9,$A$3:$A$203,$H$3:$H$203))</f>
        <v>528.97123645404952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536.3707066106856</v>
      </c>
      <c r="AO3" s="62">
        <f>IF('Données projet'!E10&gt;30,$AM$33-$H$33,LOOKUP('Données projet'!$E$10,$A$3:$A$203,AM3:AM203)-LOOKUP('Données projet'!$E$10,$A$3:$A$203,$H$3:$H$203))</f>
        <v>217.6280015974086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248.66193174773525</v>
      </c>
      <c r="BJ3" s="62">
        <f>IF('Données projet'!E11&gt;30,$BH$33-$H$33,LOOKUP('Données projet'!$E$11,$A$3:$A$203,BH3:BH203)-LOOKUP('Données projet'!$E$11,$A$3:$A$203,$H$3:$H$203))</f>
        <v>249.61655682981151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432.59662347701629</v>
      </c>
      <c r="CE3" s="62">
        <f>IF('Données projet'!E12&gt;30,$CC$33-$H$33,LOOKUP('Données projet'!$E$12,$A$3:$A$203,CC3:CC203)-LOOKUP('Données projet'!$E$12,$A$3:$A$203,$H$3:$H$203))</f>
        <v>348.67401091099748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582.26951914082088</v>
      </c>
      <c r="CZ3" s="62">
        <f>IF('Données projet'!E13&gt;30,$CX$33-$H$33,LOOKUP('Données projet'!$E$13,$A$3:$A$203,CX3:CX203)-LOOKUP('Données projet'!$E$13,$A$3:$A$203,$H$3:$H$203))</f>
        <v>434.80429932654715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projet'!$B$14,Paramètres!$A$1:$I$88,3,0)*VLOOKUP('Données projet'!$B$14,Paramètres!$A$1:$I$88,5,0)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273.24375559399846</v>
      </c>
      <c r="DU3" s="62">
        <f>IF('Données projet'!E14&gt;30,$DS$33-$H$33,LOOKUP('Données projet'!$E$14,$A$3:$A$203,DS3:DS203)-LOOKUP('Données projet'!$E$14,$A$3:$A$203,$H$3:$H$203))</f>
        <v>270.77718895097848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projet'!$B$15,Paramètres!$A$1:$I$88,3,0)*VLOOKUP('Données projet'!$B$15,Paramètres!$A$1:$I$88,5,0)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267.26203506406682</v>
      </c>
      <c r="EP3" s="62">
        <f>IF('Données projet'!E15&gt;30,$EN$33-$H$33,LOOKUP('Données projet'!$E$15,$A$3:$A$203,EN3:EN203)-LOOKUP('Données projet'!$E$15,$A$3:$A$203,$H$3:$H$203))</f>
        <v>265.10857635664843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projet'!$B$16,Paramètres!$A$1:$I$88,3,0)*VLOOKUP('Données projet'!$B$16,Paramètres!$A$1:$I$88,5,0)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207.66160354686221</v>
      </c>
      <c r="FK3" s="62">
        <f>IF('Données projet'!E16&gt;30,$FI$33-$H$33,LOOKUP('Données projet'!$E$16,$A$3:$A$203,FI3:FI203)-LOOKUP('Données projet'!$E$16,$A$3:$A$203,$H$3:$H$203))</f>
        <v>260.45879589483525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12.458333333333334</v>
      </c>
      <c r="N4" s="14">
        <f>IF('Données projet'!$A$36&gt;35,N3+M4-V3,IF(A4&lt;'Données projet'!$A$36,$K$205^A4,IF(A4='Données projet'!$A$36,'Données projet'!$B$36,N3+M4-V3)))</f>
        <v>1.2680984338542187</v>
      </c>
      <c r="O4" s="14">
        <f>N4*VLOOKUP('Données projet'!$B$9,Paramètres!$A$1:$I$88,3,0)*VLOOKUP('Données projet'!$B$9,Paramètres!$A$1:$I$88,5,0)</f>
        <v>0.70886702452450823</v>
      </c>
      <c r="P4" s="14">
        <f>EXP(-1.0587+0.8836*LN(O4)+0.284)</f>
        <v>0.34002519569403811</v>
      </c>
      <c r="Q4" s="22">
        <f t="shared" ref="Q4:Q34" si="2">(O4+P4)*0.475*44/12</f>
        <v>1.8268206168806351</v>
      </c>
      <c r="R4" s="62">
        <f t="shared" si="0"/>
        <v>169.63925456980448</v>
      </c>
      <c r="S4" s="62">
        <f ca="1">AVERAGE(OFFSET($R$3,0,0,'Données projet'!$E$9+1,1))-AVERAGE(OFFSET($H$3,0,0,'Données projet'!$E$9+1,1))</f>
        <v>378.13552372917843</v>
      </c>
      <c r="T4" s="62">
        <f>$T$3</f>
        <v>528.97123645404952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3.2758620689655173</v>
      </c>
      <c r="AI4" s="14">
        <f>IF('Données projet'!$A$62&gt;35,AI3+AH4-AQ3,IF(A4&lt;'Données projet'!$A$62,$AF$205^A4,IF(A4='Données projet'!$A$62,'Données projet'!$B$62,AI3+AH4-AQ3)))</f>
        <v>1.1700309923436014</v>
      </c>
      <c r="AJ4" s="14">
        <f>AI4*VLOOKUP('Données projet'!$B$10,Paramètres!$A$1:$I$88,3,0)*VLOOKUP('Données projet'!$B$10,Paramètres!$A$1:$I$88,5,0)</f>
        <v>1.0586440418724905</v>
      </c>
      <c r="AK4" s="14">
        <f>EXP(-1.0587+0.8836*LN(AJ4)+0.284)</f>
        <v>0.48464208838102091</v>
      </c>
      <c r="AL4" s="22">
        <f t="shared" ref="AL4:AL67" si="4">(AJ4+AK4)*0.475*44/12</f>
        <v>2.6878900101915324</v>
      </c>
      <c r="AM4" s="62">
        <f t="shared" ref="AM4:AM67" si="5">AL4+(AD4+AE4)*44/12</f>
        <v>170.50032396311536</v>
      </c>
      <c r="AN4" s="62">
        <f ca="1">AVERAGE(OFFSET($AM$3,0,0,'Données projet'!$E$10+1,1))-AVERAGE(OFFSET($H$3,0,0,'Données projet'!$E$10+1,1))</f>
        <v>536.3707066106856</v>
      </c>
      <c r="AO4" s="62">
        <f>$AO$3</f>
        <v>217.6280015974086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2.9666666666666668</v>
      </c>
      <c r="BD4" s="13">
        <f>IF('Données projet'!$A$88&gt;35,BD3+BC4-BL3,IF(A4&lt;'Données projet'!$A$88,$BA$205^A4,IF(A4='Données projet'!$A$88,'Données projet'!$B$88,BD3+BC4-BL3)))</f>
        <v>1.3467515989204495</v>
      </c>
      <c r="BE4" s="14">
        <f>BD4*VLOOKUP('Données projet'!$B$11,Paramètres!$A$1:$I$88,3,0)*VLOOKUP('Données projet'!$B$11,Paramètres!$A$1:$I$88,5,0)</f>
        <v>0.80535745615442889</v>
      </c>
      <c r="BF4" s="14">
        <f>EXP(-1.0587+0.8836*LN(BE4)+0.284)</f>
        <v>0.38061304221949904</v>
      </c>
      <c r="BG4" s="22">
        <f t="shared" ref="BG4:BG67" si="7">(BE4+BF4)*0.475*44/12</f>
        <v>2.0655652846679247</v>
      </c>
      <c r="BH4" s="62">
        <f t="shared" ref="BH4:BH67" si="8">BG4+(AY4+AZ4)*44/12</f>
        <v>169.87799923759175</v>
      </c>
      <c r="BI4" s="62">
        <f ca="1">AVERAGE(OFFSET($BH$3,0,0,'Données projet'!$E$11+1,1))-AVERAGE(OFFSET($H$3,0,0,'Données projet'!$E$11+1,1))</f>
        <v>248.66193174773525</v>
      </c>
      <c r="BJ4" s="62">
        <f>$BJ$3</f>
        <v>249.61655682981151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6.4</v>
      </c>
      <c r="BY4" s="13">
        <f>IF('Données projet'!$A$114&gt;35,BY3+BX4-CG3,IF(A4&lt;'Données projet'!$A$114,$BV$205^A4,IF(A4='Données projet'!$A$114,'Données projet'!$B$114,BY3+BX4-CG3)))</f>
        <v>1.3556619776599483</v>
      </c>
      <c r="BZ4" s="14">
        <f>BY4*VLOOKUP('Données projet'!$B$12,Paramètres!$A$1:$I$88,3,0)*VLOOKUP('Données projet'!$B$12,Paramètres!$A$1:$I$88,5,0)</f>
        <v>0.54633177699695923</v>
      </c>
      <c r="CA4" s="14">
        <f>EXP(-1.0587+0.8836*LN(BZ4)+0.284)</f>
        <v>0.27012737258527425</v>
      </c>
      <c r="CB4" s="22">
        <f t="shared" ref="CB4:CB67" si="10">(BZ4+CA4)*0.475*44/12</f>
        <v>1.4219996855223902</v>
      </c>
      <c r="CC4" s="62">
        <f t="shared" ref="CC4:CC67" si="11">CB4+(BT4+BU4)*44/12</f>
        <v>169.23443363844623</v>
      </c>
      <c r="CD4" s="62">
        <f ca="1">AVERAGE(OFFSET($CC$3,0,0,'Données projet'!$E$12+1,1))-AVERAGE(OFFSET($H$3,0,0,'Données projet'!$E$12+1,1))</f>
        <v>432.59662347701629</v>
      </c>
      <c r="CE4" s="62">
        <f>$CE$3</f>
        <v>348.67401091099748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6.666666666666667</v>
      </c>
      <c r="CT4" s="13">
        <f>IF('Données projet'!$A$140&gt;35,CT3+CS4-DB3,IF(A4&lt;'Données projet'!$A$140,$CQ$205^A4,IF(A4='Données projet'!$A$140,'Données projet'!$B$140,CT3+CS4-DB3)))</f>
        <v>1.3593563908785258</v>
      </c>
      <c r="CU4" s="18">
        <f>CT4*VLOOKUP('Données projet'!$B$13,Paramètres!$A$1:$I$88,3,0)*VLOOKUP('Données projet'!$B$13,Paramètres!$A$1:$I$88,5,0)</f>
        <v>0.60083552476830848</v>
      </c>
      <c r="CV4" s="14">
        <f>EXP(-1.0587+0.8836*LN(CU4)+0.284)</f>
        <v>0.29380590180405086</v>
      </c>
      <c r="CW4" s="22">
        <f t="shared" ref="CW4:CW67" si="13">(CU4+CV4)*0.475*44/12</f>
        <v>1.5581671512801922</v>
      </c>
      <c r="CX4" s="62">
        <f t="shared" ref="CX4:CX67" si="14">CW4+(CO4+CP4)*44/12</f>
        <v>169.37060110420404</v>
      </c>
      <c r="CY4" s="62">
        <f ca="1">AVERAGE(OFFSET($CX$3,0,0,'Données projet'!$E$13+1,1))-AVERAGE(OFFSET($H$3,0,0,'Données projet'!$E$13+1,1))</f>
        <v>582.26951914082088</v>
      </c>
      <c r="CZ4" s="62">
        <f>$CZ$3</f>
        <v>434.80429932654715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6.0588235294117645</v>
      </c>
      <c r="DO4" s="13">
        <f>IF('Données projet'!$A$166&gt;35,DO3+DN4-DW3,IF(A4&lt;'Données projet'!$A$166,$DL$205^A4,IF(A4='Données projet'!$A$166,'Données projet'!$B$166,DO3+DN4-DW3)))</f>
        <v>1.3134156586844881</v>
      </c>
      <c r="DP4" s="18">
        <f>DO4*VLOOKUP('Données projet'!$B$14,Paramètres!$A$1:$I$88,3,0)*VLOOKUP('Données projet'!$B$14,Paramètres!$A$1:$I$88,5,0)</f>
        <v>0.6317529318272388</v>
      </c>
      <c r="DQ4" s="14">
        <f>EXP(-1.0587+0.8836*LN(DP4)+0.284)</f>
        <v>0.30712532507318463</v>
      </c>
      <c r="DR4" s="22">
        <f t="shared" ref="DR4:DR67" si="16">(DP4+DQ4)*0.475*44/12</f>
        <v>1.6352129641015709</v>
      </c>
      <c r="DS4" s="62">
        <f t="shared" ref="DS4:DS67" si="17">DR4+(DJ4+DK4)*44/12</f>
        <v>169.44764691702542</v>
      </c>
      <c r="DT4" s="62">
        <f ca="1">AVERAGE(OFFSET($DS$3,0,0,'Données projet'!$E$14+1,1))-AVERAGE(OFFSET($H$3,0,0,'Données projet'!$E$14+1,1))</f>
        <v>273.24375559399846</v>
      </c>
      <c r="DU4" s="62">
        <f>$DU$3</f>
        <v>270.77718895097848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projet'!$B$14,Paramètres!$A$1:$I$88,3,0)*0.475*44/12</f>
        <v>0</v>
      </c>
      <c r="EB4" s="23">
        <f>EXP(-LN(2)/25)*EB3+(1-EXP(-LN(2)/25))/(LN(2)/25)*Calculateur!DW4*Calculateur!DY4*VLOOKUP('Données projet'!$B$14,Paramètres!$A$1:$I$88,3,0)*0.475*44/12</f>
        <v>0</v>
      </c>
      <c r="EC4" s="23">
        <f>EXP(-LN(2)/2)*EC3+(1-EXP(-LN(2)/2))/(LN(2)/2)*DW4*DZ4*VLOOKUP('Données projet'!$B$14,Paramètres!$A$1:$I$88,3,0)*0.475*44/12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6.0588235294117645</v>
      </c>
      <c r="EJ4" s="13">
        <f>IF('Données projet'!$A$192&gt;35,EJ3+EI4-ER3,IF(A4&lt;'Données projet'!$A$192,$EG$205^A4,IF(A4='Données projet'!$A$192,'Données projet'!$B$192,EJ3+EI4-ER3)))</f>
        <v>1.3134156586844881</v>
      </c>
      <c r="EK4" s="18">
        <f>EJ4*VLOOKUP('Données projet'!$B$15,Paramètres!$A$1:$I$88,3,0)*VLOOKUP('Données projet'!$B$15,Paramètres!$A$1:$I$88,5,0)</f>
        <v>0.61467852826434044</v>
      </c>
      <c r="EL4" s="14">
        <f>EXP(-1.0587+0.8836*LN(EK4)+0.284)</f>
        <v>0.29977918561428041</v>
      </c>
      <c r="EM4" s="22">
        <f t="shared" ref="EM4:EM67" si="19">(EK4+EL4)*0.475*44/12</f>
        <v>1.5926805183385977</v>
      </c>
      <c r="EN4" s="62">
        <f t="shared" ref="EN4:EN67" si="20">EM4+(EE4+EF4)*44/12</f>
        <v>169.40511447126244</v>
      </c>
      <c r="EO4" s="62">
        <f ca="1">AVERAGE(OFFSET($EN$3,0,0,'Données projet'!$E$15+1,1))-AVERAGE(OFFSET($H$3,0,0,'Données projet'!$E$15+1,1))</f>
        <v>267.26203506406682</v>
      </c>
      <c r="EP4" s="62">
        <f>$EP$3</f>
        <v>265.10857635664843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projet'!$B$15,Paramètres!$A$1:$I$88,3,0)*0.475*44/12</f>
        <v>0</v>
      </c>
      <c r="EW4" s="23">
        <f>EXP(-LN(2)/25)*EW3+(1-EXP(-LN(2)/25))/(LN(2)/25)*Calculateur!ER4*Calculateur!ET4*VLOOKUP('Données projet'!$B$15,Paramètres!$A$1:$I$88,3,0)*0.475*44/12</f>
        <v>0</v>
      </c>
      <c r="EX4" s="23">
        <f>EXP(-LN(2)/2)*EX3+(1-EXP(-LN(2)/2))/(LN(2)/2)*ER4*EU4*VLOOKUP('Données projet'!$B$15,Paramètres!$A$1:$I$88,3,0)*0.475*44/12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11.5</v>
      </c>
      <c r="FE4" s="13">
        <f>IF('Données projet'!$A$218&gt;35,FE3+FD4-FM3,IF(A4&lt;'Données projet'!$A$218,$FB$205^A4,IF(A4='Données projet'!$A$218,'Données projet'!$B$218,FE3+FD4-FM3)))</f>
        <v>1.6071994829923506</v>
      </c>
      <c r="FF4" s="18">
        <f>FE4*VLOOKUP('Données projet'!$B$16,Paramètres!$A$1:$I$88,3,0)*VLOOKUP('Données projet'!$B$16,Paramètres!$A$1:$I$88,5,0)</f>
        <v>1.1783986609299915</v>
      </c>
      <c r="FG4" s="14">
        <f>EXP(-1.0587+0.8836*LN(FF4)+0.284)</f>
        <v>0.53277751568396181</v>
      </c>
      <c r="FH4" s="22">
        <f t="shared" ref="FH4:FH67" si="22">(FF4+FG4)*0.475*44/12</f>
        <v>2.9802985076026349</v>
      </c>
      <c r="FI4" s="62">
        <f t="shared" ref="FI4:FI67" si="23">FH4+(EZ4+FA4)*44/12</f>
        <v>170.79273246052648</v>
      </c>
      <c r="FJ4" s="62">
        <f ca="1">AVERAGE(OFFSET($FI$3,0,0,'Données projet'!$E$16+1,1))-AVERAGE(OFFSET($H$3,0,0,'Données projet'!$E$16+1,1))</f>
        <v>207.66160354686221</v>
      </c>
      <c r="FK4" s="62">
        <f>$FK$3</f>
        <v>260.45879589483525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projet'!$B$16,Paramètres!$A$1:$I$88,3,0)*0.475*44/12</f>
        <v>0</v>
      </c>
      <c r="FR4" s="23">
        <f>EXP(-LN(2)/25)*FR3+(1-EXP(-LN(2)/25))/(LN(2)/25)*Calculateur!FM4*Calculateur!FO4*VLOOKUP('Données projet'!$B$16,Paramètres!$A$1:$I$88,3,0)*0.475*44/12</f>
        <v>0</v>
      </c>
      <c r="FS4" s="23">
        <f>EXP(-LN(2)/2)*FS3+(1-EXP(-LN(2)/2))/(LN(2)/2)*FM4*FP4*VLOOKUP('Données projet'!$B$16,Paramètres!$A$1:$I$88,3,0)*0.475*44/12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12.458333333333334</v>
      </c>
      <c r="N5" s="14">
        <f>IF('Données projet'!$A$36&gt;35,N4+M5-V4,IF(A5&lt;'Données projet'!$A$36,$K$205^A5,IF(A5='Données projet'!$A$36,'Données projet'!$B$36,N4+M5-V4)))</f>
        <v>1.6080736379435223</v>
      </c>
      <c r="O5" s="14">
        <f>N5*VLOOKUP('Données projet'!$B$9,Paramètres!$A$1:$I$88,3,0)*VLOOKUP('Données projet'!$B$9,Paramètres!$A$1:$I$88,5,0)</f>
        <v>0.89891316361042906</v>
      </c>
      <c r="P5" s="14">
        <f t="shared" ref="P5:P68" si="33">EXP(-1.0587+0.8836*LN(O5)+0.284)</f>
        <v>0.41942765290684586</v>
      </c>
      <c r="Q5" s="22">
        <f t="shared" si="2"/>
        <v>2.2961102554342538</v>
      </c>
      <c r="R5" s="62">
        <f t="shared" si="0"/>
        <v>172.89339154293509</v>
      </c>
      <c r="S5" s="62">
        <f ca="1">AVERAGE(OFFSET($R$3,0,0,'Données projet'!$E$9+1,1))-AVERAGE(OFFSET($H$3,0,0,'Données projet'!$E$9+1,1))</f>
        <v>378.13552372917843</v>
      </c>
      <c r="T5" s="62">
        <f t="shared" ref="T5:T68" si="34">$T$3</f>
        <v>528.97123645404952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3.2758620689655173</v>
      </c>
      <c r="AI5" s="14">
        <f>IF('Données projet'!$A$62&gt;35,AI4+AH5-AQ4,IF(A5&lt;'Données projet'!$A$62,$AF$205^A5,IF(A5='Données projet'!$A$62,'Données projet'!$B$62,AI4+AH5-AQ4)))</f>
        <v>1.3689725230445526</v>
      </c>
      <c r="AJ5" s="14">
        <f>AI5*VLOOKUP('Données projet'!$B$10,Paramètres!$A$1:$I$88,3,0)*VLOOKUP('Données projet'!$B$10,Paramètres!$A$1:$I$88,5,0)</f>
        <v>1.2386463388507112</v>
      </c>
      <c r="AK5" s="14">
        <f t="shared" ref="AK5:AK68" si="35">EXP(-1.0587+0.8836*LN(AJ5)+0.284)</f>
        <v>0.55677576044462396</v>
      </c>
      <c r="AL5" s="22">
        <f t="shared" si="4"/>
        <v>3.1270268229393747</v>
      </c>
      <c r="AM5" s="62">
        <f t="shared" si="5"/>
        <v>173.72430811044021</v>
      </c>
      <c r="AN5" s="62">
        <f ca="1">AVERAGE(OFFSET($AM$3,0,0,'Données projet'!$E$10+1,1))-AVERAGE(OFFSET($H$3,0,0,'Données projet'!$E$10+1,1))</f>
        <v>536.3707066106856</v>
      </c>
      <c r="AO5" s="62">
        <f t="shared" ref="AO5:AO68" si="36">$AO$3</f>
        <v>217.6280015974086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2.9666666666666668</v>
      </c>
      <c r="BD5" s="13">
        <f>IF('Données projet'!$A$88&gt;35,BD4+BC5-BL4,IF(A5&lt;'Données projet'!$A$88,$BA$205^A5,IF(A5='Données projet'!$A$88,'Données projet'!$B$88,BD4+BC5-BL4)))</f>
        <v>1.8137398691947872</v>
      </c>
      <c r="BE5" s="14">
        <f>BD5*VLOOKUP('Données projet'!$B$11,Paramètres!$A$1:$I$88,3,0)*VLOOKUP('Données projet'!$B$11,Paramètres!$A$1:$I$88,5,0)</f>
        <v>1.0846164417784829</v>
      </c>
      <c r="BF5" s="14">
        <f t="shared" ref="BF5:BF68" si="37">EXP(-1.0587+0.8836*LN(BE5)+0.284)</f>
        <v>0.49513326023470799</v>
      </c>
      <c r="BG5" s="22">
        <f t="shared" si="7"/>
        <v>2.7513973976729744</v>
      </c>
      <c r="BH5" s="62">
        <f t="shared" si="8"/>
        <v>173.34867868517381</v>
      </c>
      <c r="BI5" s="62">
        <f ca="1">AVERAGE(OFFSET($BH$3,0,0,'Données projet'!$E$11+1,1))-AVERAGE(OFFSET($H$3,0,0,'Données projet'!$E$11+1,1))</f>
        <v>248.66193174773525</v>
      </c>
      <c r="BJ5" s="62">
        <f t="shared" ref="BJ5:BJ68" si="38">$BJ$3</f>
        <v>249.61655682981151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6.4</v>
      </c>
      <c r="BY5" s="13">
        <f>IF('Données projet'!$A$114&gt;35,BY4+BX5-CG4,IF(A5&lt;'Données projet'!$A$114,$BV$205^A5,IF(A5='Données projet'!$A$114,'Données projet'!$B$114,BY4+BX5-CG4)))</f>
        <v>1.8378193976728823</v>
      </c>
      <c r="BZ5" s="14">
        <f>BY5*VLOOKUP('Données projet'!$B$12,Paramètres!$A$1:$I$88,3,0)*VLOOKUP('Données projet'!$B$12,Paramètres!$A$1:$I$88,5,0)</f>
        <v>0.74064121726217147</v>
      </c>
      <c r="CA5" s="14">
        <f t="shared" ref="CA5:CA68" si="39">EXP(-1.0587+0.8836*LN(BZ5)+0.284)</f>
        <v>0.35345781236462903</v>
      </c>
      <c r="CB5" s="22">
        <f t="shared" si="10"/>
        <v>1.9055558099333443</v>
      </c>
      <c r="CC5" s="62">
        <f t="shared" si="11"/>
        <v>172.50283709743417</v>
      </c>
      <c r="CD5" s="62">
        <f ca="1">AVERAGE(OFFSET($CC$3,0,0,'Données projet'!$E$12+1,1))-AVERAGE(OFFSET($H$3,0,0,'Données projet'!$E$12+1,1))</f>
        <v>432.59662347701629</v>
      </c>
      <c r="CE5" s="62">
        <f t="shared" ref="CE5:CE68" si="40">$CE$3</f>
        <v>348.67401091099748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6.666666666666667</v>
      </c>
      <c r="CT5" s="13">
        <f>IF('Données projet'!$A$140&gt;35,CT4+CS5-DB4,IF(A5&lt;'Données projet'!$A$140,$CQ$205^A5,IF(A5='Données projet'!$A$140,'Données projet'!$B$140,CT4+CS5-DB4)))</f>
        <v>1.8478497974222914</v>
      </c>
      <c r="CU5" s="18">
        <f>CT5*VLOOKUP('Données projet'!$B$13,Paramètres!$A$1:$I$88,3,0)*VLOOKUP('Données projet'!$B$13,Paramètres!$A$1:$I$88,5,0)</f>
        <v>0.81674961046065286</v>
      </c>
      <c r="CV5" s="14">
        <f t="shared" ref="CV5:CV68" si="41">EXP(-1.0587+0.8836*LN(CU5)+0.284)</f>
        <v>0.38536640247584592</v>
      </c>
      <c r="CW5" s="22">
        <f t="shared" si="13"/>
        <v>2.0936853891977356</v>
      </c>
      <c r="CX5" s="62">
        <f t="shared" si="14"/>
        <v>172.69096667669857</v>
      </c>
      <c r="CY5" s="62">
        <f ca="1">AVERAGE(OFFSET($CX$3,0,0,'Données projet'!$E$13+1,1))-AVERAGE(OFFSET($H$3,0,0,'Données projet'!$E$13+1,1))</f>
        <v>582.26951914082088</v>
      </c>
      <c r="CZ5" s="62">
        <f t="shared" ref="CZ5:CZ68" si="42">$CZ$3</f>
        <v>434.80429932654715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6.0588235294117645</v>
      </c>
      <c r="DO5" s="13">
        <f>IF('Données projet'!$A$166&gt;35,DO4+DN5-DW4,IF(A5&lt;'Données projet'!$A$166,$DL$205^A5,IF(A5='Données projet'!$A$166,'Données projet'!$B$166,DO4+DN5-DW4)))</f>
        <v>1.7250606924776077</v>
      </c>
      <c r="DP5" s="18">
        <f>DO5*VLOOKUP('Données projet'!$B$14,Paramètres!$A$1:$I$88,3,0)*VLOOKUP('Données projet'!$B$14,Paramètres!$A$1:$I$88,5,0)</f>
        <v>0.82975419308172926</v>
      </c>
      <c r="DQ5" s="14">
        <f t="shared" ref="DQ5:DQ68" si="43">EXP(-1.0587+0.8836*LN(DP5)+0.284)</f>
        <v>0.39078312720403247</v>
      </c>
      <c r="DR5" s="22">
        <f t="shared" si="16"/>
        <v>2.1257691661643681</v>
      </c>
      <c r="DS5" s="62">
        <f t="shared" si="17"/>
        <v>172.72305045366519</v>
      </c>
      <c r="DT5" s="62">
        <f ca="1">AVERAGE(OFFSET($DS$3,0,0,'Données projet'!$E$14+1,1))-AVERAGE(OFFSET($H$3,0,0,'Données projet'!$E$14+1,1))</f>
        <v>273.24375559399846</v>
      </c>
      <c r="DU5" s="62">
        <f t="shared" ref="DU5:DU68" si="44">$DU$3</f>
        <v>270.77718895097848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projet'!$B$14,Paramètres!$A$1:$I$88,3,0)*0.475*44/12</f>
        <v>0</v>
      </c>
      <c r="EB5" s="23">
        <f>EXP(-LN(2)/25)*EB4+(1-EXP(-LN(2)/25))/(LN(2)/25)*Calculateur!DW5*Calculateur!DY5*VLOOKUP('Données projet'!$B$14,Paramètres!$A$1:$I$88,3,0)*0.475*44/12</f>
        <v>0</v>
      </c>
      <c r="EC5" s="23">
        <f>EXP(-LN(2)/2)*EC4+(1-EXP(-LN(2)/2))/(LN(2)/2)*DW5*DZ5*VLOOKUP('Données projet'!$B$14,Paramètres!$A$1:$I$88,3,0)*0.475*44/12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6.0588235294117645</v>
      </c>
      <c r="EJ5" s="13">
        <f>IF('Données projet'!$A$192&gt;35,EJ4+EI5-ER4,IF(A5&lt;'Données projet'!$A$192,$EG$205^A5,IF(A5='Données projet'!$A$192,'Données projet'!$B$192,EJ4+EI5-ER4)))</f>
        <v>1.7250606924776077</v>
      </c>
      <c r="EK5" s="18">
        <f>EJ5*VLOOKUP('Données projet'!$B$15,Paramètres!$A$1:$I$88,3,0)*VLOOKUP('Données projet'!$B$15,Paramètres!$A$1:$I$88,5,0)</f>
        <v>0.80732840407952033</v>
      </c>
      <c r="EL5" s="14">
        <f t="shared" ref="EL5:EL68" si="45">EXP(-1.0587+0.8836*LN(EK5)+0.284)</f>
        <v>0.3814359743766208</v>
      </c>
      <c r="EM5" s="22">
        <f t="shared" si="19"/>
        <v>2.0704312924777786</v>
      </c>
      <c r="EN5" s="62">
        <f t="shared" si="20"/>
        <v>172.66771257997863</v>
      </c>
      <c r="EO5" s="62">
        <f ca="1">AVERAGE(OFFSET($EN$3,0,0,'Données projet'!$E$15+1,1))-AVERAGE(OFFSET($H$3,0,0,'Données projet'!$E$15+1,1))</f>
        <v>267.26203506406682</v>
      </c>
      <c r="EP5" s="62">
        <f t="shared" ref="EP5:EP68" si="46">$EP$3</f>
        <v>265.10857635664843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projet'!$B$15,Paramètres!$A$1:$I$88,3,0)*0.475*44/12</f>
        <v>0</v>
      </c>
      <c r="EW5" s="23">
        <f>EXP(-LN(2)/25)*EW4+(1-EXP(-LN(2)/25))/(LN(2)/25)*Calculateur!ER5*Calculateur!ET5*VLOOKUP('Données projet'!$B$15,Paramètres!$A$1:$I$88,3,0)*0.475*44/12</f>
        <v>0</v>
      </c>
      <c r="EX5" s="23">
        <f>EXP(-LN(2)/2)*EX4+(1-EXP(-LN(2)/2))/(LN(2)/2)*ER5*EU5*VLOOKUP('Données projet'!$B$15,Paramètres!$A$1:$I$88,3,0)*0.475*44/12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11.5</v>
      </c>
      <c r="FE5" s="13">
        <f>IF('Données projet'!$A$218&gt;35,FE4+FD5-FM4,IF(A5&lt;'Données projet'!$A$218,$FB$205^A5,IF(A5='Données projet'!$A$218,'Données projet'!$B$218,FE4+FD5-FM4)))</f>
        <v>2.5830901781308793</v>
      </c>
      <c r="FF5" s="18">
        <f>FE5*VLOOKUP('Données projet'!$B$16,Paramètres!$A$1:$I$88,3,0)*VLOOKUP('Données projet'!$B$16,Paramètres!$A$1:$I$88,5,0)</f>
        <v>1.8939217186055606</v>
      </c>
      <c r="FG5" s="14">
        <f t="shared" ref="FG5:FG68" si="47">EXP(-1.0587+0.8836*LN(FF5)+0.284)</f>
        <v>0.81026886193479808</v>
      </c>
      <c r="FH5" s="22">
        <f t="shared" si="22"/>
        <v>4.709798594441124</v>
      </c>
      <c r="FI5" s="62">
        <f t="shared" si="23"/>
        <v>175.30707988194195</v>
      </c>
      <c r="FJ5" s="62">
        <f ca="1">AVERAGE(OFFSET($FI$3,0,0,'Données projet'!$E$16+1,1))-AVERAGE(OFFSET($H$3,0,0,'Données projet'!$E$16+1,1))</f>
        <v>207.66160354686221</v>
      </c>
      <c r="FK5" s="62">
        <f t="shared" ref="FK5:FK68" si="48">$FK$3</f>
        <v>260.45879589483525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projet'!$B$16,Paramètres!$A$1:$I$88,3,0)*0.475*44/12</f>
        <v>0</v>
      </c>
      <c r="FR5" s="23">
        <f>EXP(-LN(2)/25)*FR4+(1-EXP(-LN(2)/25))/(LN(2)/25)*Calculateur!FM5*Calculateur!FO5*VLOOKUP('Données projet'!$B$16,Paramètres!$A$1:$I$88,3,0)*0.475*44/12</f>
        <v>0</v>
      </c>
      <c r="FS5" s="23">
        <f>EXP(-LN(2)/2)*FS4+(1-EXP(-LN(2)/2))/(LN(2)/2)*FM5*FP5*VLOOKUP('Données projet'!$B$16,Paramètres!$A$1:$I$88,3,0)*0.475*44/12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12.458333333333334</v>
      </c>
      <c r="N6" s="14">
        <f>IF('Données projet'!$A$36&gt;35,N5+M6-V5,IF(A6&lt;'Données projet'!$A$36,$K$205^A6,IF(A6='Données projet'!$A$36,'Données projet'!$B$36,N5+M6-V5)))</f>
        <v>2.0391956617984368</v>
      </c>
      <c r="O6" s="14">
        <f>N6*VLOOKUP('Données projet'!$B$9,Paramètres!$A$1:$I$88,3,0)*VLOOKUP('Données projet'!$B$9,Paramètres!$A$1:$I$88,5,0)</f>
        <v>1.1399103749453263</v>
      </c>
      <c r="P6" s="14">
        <f t="shared" si="33"/>
        <v>0.5173721190392071</v>
      </c>
      <c r="Q6" s="22">
        <f t="shared" si="2"/>
        <v>2.8864336770230623</v>
      </c>
      <c r="R6" s="62">
        <f t="shared" si="0"/>
        <v>176.24145424690795</v>
      </c>
      <c r="S6" s="62">
        <f ca="1">AVERAGE(OFFSET($R$3,0,0,'Données projet'!$E$9+1,1))-AVERAGE(OFFSET($H$3,0,0,'Données projet'!$E$9+1,1))</f>
        <v>378.13552372917843</v>
      </c>
      <c r="T6" s="62">
        <f t="shared" si="34"/>
        <v>528.97123645404952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3.2758620689655173</v>
      </c>
      <c r="AI6" s="14">
        <f>IF('Données projet'!$A$62&gt;35,AI5+AH6-AQ5,IF(A6&lt;'Données projet'!$A$62,$AF$205^A6,IF(A6='Données projet'!$A$62,'Données projet'!$B$62,AI5+AH6-AQ5)))</f>
        <v>1.6017402796289417</v>
      </c>
      <c r="AJ6" s="14">
        <f>AI6*VLOOKUP('Données projet'!$B$10,Paramètres!$A$1:$I$88,3,0)*VLOOKUP('Données projet'!$B$10,Paramètres!$A$1:$I$88,5,0)</f>
        <v>1.4492546050082664</v>
      </c>
      <c r="AK6" s="14">
        <f t="shared" si="35"/>
        <v>0.63964574033233967</v>
      </c>
      <c r="AL6" s="22">
        <f t="shared" si="4"/>
        <v>3.6381681014682221</v>
      </c>
      <c r="AM6" s="62">
        <f t="shared" si="5"/>
        <v>176.9931886713531</v>
      </c>
      <c r="AN6" s="62">
        <f ca="1">AVERAGE(OFFSET($AM$3,0,0,'Données projet'!$E$10+1,1))-AVERAGE(OFFSET($H$3,0,0,'Données projet'!$E$10+1,1))</f>
        <v>536.3707066106856</v>
      </c>
      <c r="AO6" s="62">
        <f t="shared" si="36"/>
        <v>217.6280015974086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2.9666666666666668</v>
      </c>
      <c r="BD6" s="13">
        <f>IF('Données projet'!$A$88&gt;35,BD5+BC6-BL5,IF(A6&lt;'Données projet'!$A$88,$BA$205^A6,IF(A6='Données projet'!$A$88,'Données projet'!$B$88,BD5+BC6-BL5)))</f>
        <v>2.4426570688638467</v>
      </c>
      <c r="BE6" s="14">
        <f>BD6*VLOOKUP('Données projet'!$B$11,Paramètres!$A$1:$I$88,3,0)*VLOOKUP('Données projet'!$B$11,Paramètres!$A$1:$I$88,5,0)</f>
        <v>1.4607089271805804</v>
      </c>
      <c r="BF6" s="14">
        <f t="shared" si="37"/>
        <v>0.64411073241486383</v>
      </c>
      <c r="BG6" s="22">
        <f t="shared" si="7"/>
        <v>3.6658942404620647</v>
      </c>
      <c r="BH6" s="62">
        <f t="shared" si="8"/>
        <v>177.02091481034694</v>
      </c>
      <c r="BI6" s="62">
        <f ca="1">AVERAGE(OFFSET($BH$3,0,0,'Données projet'!$E$11+1,1))-AVERAGE(OFFSET($H$3,0,0,'Données projet'!$E$11+1,1))</f>
        <v>248.66193174773525</v>
      </c>
      <c r="BJ6" s="62">
        <f t="shared" si="38"/>
        <v>249.61655682981151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6.4</v>
      </c>
      <c r="BY6" s="13">
        <f>IF('Données projet'!$A$114&gt;35,BY5+BX6-CG5,IF(A6&lt;'Données projet'!$A$114,$BV$205^A6,IF(A6='Données projet'!$A$114,'Données projet'!$B$114,BY5+BX6-CG5)))</f>
        <v>2.4914618792310348</v>
      </c>
      <c r="BZ6" s="14">
        <f>BY6*VLOOKUP('Données projet'!$B$12,Paramètres!$A$1:$I$88,3,0)*VLOOKUP('Données projet'!$B$12,Paramètres!$A$1:$I$88,5,0)</f>
        <v>1.0040591373301071</v>
      </c>
      <c r="CA6" s="14">
        <f t="shared" si="39"/>
        <v>0.46249450370732226</v>
      </c>
      <c r="CB6" s="22">
        <f t="shared" si="10"/>
        <v>2.5542475914735228</v>
      </c>
      <c r="CC6" s="62">
        <f t="shared" si="11"/>
        <v>175.9092681613584</v>
      </c>
      <c r="CD6" s="62">
        <f ca="1">AVERAGE(OFFSET($CC$3,0,0,'Données projet'!$E$12+1,1))-AVERAGE(OFFSET($H$3,0,0,'Données projet'!$E$12+1,1))</f>
        <v>432.59662347701629</v>
      </c>
      <c r="CE6" s="62">
        <f t="shared" si="40"/>
        <v>348.67401091099748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6.666666666666667</v>
      </c>
      <c r="CT6" s="13">
        <f>IF('Données projet'!$A$140&gt;35,CT5+CS6-DB5,IF(A6&lt;'Données projet'!$A$140,$CQ$205^A6,IF(A6='Données projet'!$A$140,'Données projet'!$B$140,CT5+CS6-DB5)))</f>
        <v>2.511886431509581</v>
      </c>
      <c r="CU6" s="18">
        <f>CT6*VLOOKUP('Données projet'!$B$13,Paramètres!$A$1:$I$88,3,0)*VLOOKUP('Données projet'!$B$13,Paramètres!$A$1:$I$88,5,0)</f>
        <v>1.1102538027272348</v>
      </c>
      <c r="CV6" s="14">
        <f t="shared" si="41"/>
        <v>0.50546045278634411</v>
      </c>
      <c r="CW6" s="22">
        <f t="shared" si="13"/>
        <v>2.8140356616861495</v>
      </c>
      <c r="CX6" s="62">
        <f t="shared" si="14"/>
        <v>176.16905623157103</v>
      </c>
      <c r="CY6" s="62">
        <f ca="1">AVERAGE(OFFSET($CX$3,0,0,'Données projet'!$E$13+1,1))-AVERAGE(OFFSET($H$3,0,0,'Données projet'!$E$13+1,1))</f>
        <v>582.26951914082088</v>
      </c>
      <c r="CZ6" s="62">
        <f t="shared" si="42"/>
        <v>434.80429932654715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6.0588235294117645</v>
      </c>
      <c r="DO6" s="13">
        <f>IF('Données projet'!$A$166&gt;35,DO5+DN6-DW5,IF(A6&lt;'Données projet'!$A$166,$DL$205^A6,IF(A6='Données projet'!$A$166,'Données projet'!$B$166,DO5+DN6-DW5)))</f>
        <v>2.2657217256811961</v>
      </c>
      <c r="DP6" s="18">
        <f>DO6*VLOOKUP('Données projet'!$B$14,Paramètres!$A$1:$I$88,3,0)*VLOOKUP('Données projet'!$B$14,Paramètres!$A$1:$I$88,5,0)</f>
        <v>1.0898121500526554</v>
      </c>
      <c r="DQ6" s="14">
        <f t="shared" si="43"/>
        <v>0.49722846030679346</v>
      </c>
      <c r="DR6" s="22">
        <f t="shared" si="16"/>
        <v>2.7640957297093731</v>
      </c>
      <c r="DS6" s="62">
        <f t="shared" si="17"/>
        <v>176.11911629959425</v>
      </c>
      <c r="DT6" s="62">
        <f ca="1">AVERAGE(OFFSET($DS$3,0,0,'Données projet'!$E$14+1,1))-AVERAGE(OFFSET($H$3,0,0,'Données projet'!$E$14+1,1))</f>
        <v>273.24375559399846</v>
      </c>
      <c r="DU6" s="62">
        <f t="shared" si="44"/>
        <v>270.77718895097848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projet'!$B$14,Paramètres!$A$1:$I$88,3,0)*0.475*44/12</f>
        <v>0</v>
      </c>
      <c r="EB6" s="23">
        <f>EXP(-LN(2)/25)*EB5+(1-EXP(-LN(2)/25))/(LN(2)/25)*Calculateur!DW6*Calculateur!DY6*VLOOKUP('Données projet'!$B$14,Paramètres!$A$1:$I$88,3,0)*0.475*44/12</f>
        <v>0</v>
      </c>
      <c r="EC6" s="23">
        <f>EXP(-LN(2)/2)*EC5+(1-EXP(-LN(2)/2))/(LN(2)/2)*DW6*DZ6*VLOOKUP('Données projet'!$B$14,Paramètres!$A$1:$I$88,3,0)*0.475*44/12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6.0588235294117645</v>
      </c>
      <c r="EJ6" s="13">
        <f>IF('Données projet'!$A$192&gt;35,EJ5+EI6-ER5,IF(A6&lt;'Données projet'!$A$192,$EG$205^A6,IF(A6='Données projet'!$A$192,'Données projet'!$B$192,EJ5+EI6-ER5)))</f>
        <v>2.2657217256811961</v>
      </c>
      <c r="EK6" s="18">
        <f>EJ6*VLOOKUP('Données projet'!$B$15,Paramètres!$A$1:$I$88,3,0)*VLOOKUP('Données projet'!$B$15,Paramètres!$A$1:$I$88,5,0)</f>
        <v>1.0603577676187999</v>
      </c>
      <c r="EL6" s="14">
        <f t="shared" si="45"/>
        <v>0.48533523850400156</v>
      </c>
      <c r="EM6" s="22">
        <f t="shared" si="19"/>
        <v>2.6920819856638789</v>
      </c>
      <c r="EN6" s="62">
        <f t="shared" si="20"/>
        <v>176.04710255554878</v>
      </c>
      <c r="EO6" s="62">
        <f ca="1">AVERAGE(OFFSET($EN$3,0,0,'Données projet'!$E$15+1,1))-AVERAGE(OFFSET($H$3,0,0,'Données projet'!$E$15+1,1))</f>
        <v>267.26203506406682</v>
      </c>
      <c r="EP6" s="62">
        <f t="shared" si="46"/>
        <v>265.10857635664843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projet'!$B$15,Paramètres!$A$1:$I$88,3,0)*0.475*44/12</f>
        <v>0</v>
      </c>
      <c r="EW6" s="23">
        <f>EXP(-LN(2)/25)*EW5+(1-EXP(-LN(2)/25))/(LN(2)/25)*Calculateur!ER6*Calculateur!ET6*VLOOKUP('Données projet'!$B$15,Paramètres!$A$1:$I$88,3,0)*0.475*44/12</f>
        <v>0</v>
      </c>
      <c r="EX6" s="23">
        <f>EXP(-LN(2)/2)*EX5+(1-EXP(-LN(2)/2))/(LN(2)/2)*ER6*EU6*VLOOKUP('Données projet'!$B$15,Paramètres!$A$1:$I$88,3,0)*0.475*44/12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11.5</v>
      </c>
      <c r="FE6" s="13">
        <f>IF('Données projet'!$A$218&gt;35,FE5+FD6-FM5,IF(A6&lt;'Données projet'!$A$218,$FB$205^A6,IF(A6='Données projet'!$A$218,'Données projet'!$B$218,FE5+FD6-FM5)))</f>
        <v>4.1515411988145683</v>
      </c>
      <c r="FF6" s="18">
        <f>FE6*VLOOKUP('Données projet'!$B$16,Paramètres!$A$1:$I$88,3,0)*VLOOKUP('Données projet'!$B$16,Paramètres!$A$1:$I$88,5,0)</f>
        <v>3.0439100069708416</v>
      </c>
      <c r="FG6" s="14">
        <f t="shared" si="47"/>
        <v>1.2322885431422059</v>
      </c>
      <c r="FH6" s="22">
        <f t="shared" si="22"/>
        <v>7.447712474780225</v>
      </c>
      <c r="FI6" s="62">
        <f t="shared" si="23"/>
        <v>180.8027330446651</v>
      </c>
      <c r="FJ6" s="62">
        <f ca="1">AVERAGE(OFFSET($FI$3,0,0,'Données projet'!$E$16+1,1))-AVERAGE(OFFSET($H$3,0,0,'Données projet'!$E$16+1,1))</f>
        <v>207.66160354686221</v>
      </c>
      <c r="FK6" s="62">
        <f t="shared" si="48"/>
        <v>260.45879589483525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projet'!$B$16,Paramètres!$A$1:$I$88,3,0)*0.475*44/12</f>
        <v>0</v>
      </c>
      <c r="FR6" s="23">
        <f>EXP(-LN(2)/25)*FR5+(1-EXP(-LN(2)/25))/(LN(2)/25)*Calculateur!FM6*Calculateur!FO6*VLOOKUP('Données projet'!$B$16,Paramètres!$A$1:$I$88,3,0)*0.475*44/12</f>
        <v>0</v>
      </c>
      <c r="FS6" s="23">
        <f>EXP(-LN(2)/2)*FS5+(1-EXP(-LN(2)/2))/(LN(2)/2)*FM6*FP6*VLOOKUP('Données projet'!$B$16,Paramètres!$A$1:$I$88,3,0)*0.475*44/12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12.458333333333334</v>
      </c>
      <c r="N7" s="14">
        <f>IF('Données projet'!$A$36&gt;35,N6+M7-V6,IF(A7&lt;'Données projet'!$A$36,$K$205^A7,IF(A7='Données projet'!$A$36,'Données projet'!$B$36,N6+M7-V6)))</f>
        <v>2.5859008250489146</v>
      </c>
      <c r="O7" s="14">
        <f>N7*VLOOKUP('Données projet'!$B$9,Paramètres!$A$1:$I$88,3,0)*VLOOKUP('Données projet'!$B$9,Paramètres!$A$1:$I$88,5,0)</f>
        <v>1.4455185612023431</v>
      </c>
      <c r="P7" s="14">
        <f t="shared" si="33"/>
        <v>0.63818851166346269</v>
      </c>
      <c r="Q7" s="22">
        <f t="shared" si="2"/>
        <v>3.6291231519079452</v>
      </c>
      <c r="R7" s="62">
        <f t="shared" si="0"/>
        <v>179.7152452160849</v>
      </c>
      <c r="S7" s="62">
        <f ca="1">AVERAGE(OFFSET($R$3,0,0,'Données projet'!$E$9+1,1))-AVERAGE(OFFSET($H$3,0,0,'Données projet'!$E$9+1,1))</f>
        <v>378.13552372917843</v>
      </c>
      <c r="T7" s="62">
        <f t="shared" si="34"/>
        <v>528.97123645404952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3.2758620689655173</v>
      </c>
      <c r="AI7" s="14">
        <f>IF('Données projet'!$A$62&gt;35,AI6+AH7-AQ6,IF(A7&lt;'Données projet'!$A$62,$AF$205^A7,IF(A7='Données projet'!$A$62,'Données projet'!$B$62,AI6+AH7-AQ6)))</f>
        <v>1.8740857688509682</v>
      </c>
      <c r="AJ7" s="14">
        <f>AI7*VLOOKUP('Données projet'!$B$10,Paramètres!$A$1:$I$88,3,0)*VLOOKUP('Données projet'!$B$10,Paramètres!$A$1:$I$88,5,0)</f>
        <v>1.695672803656356</v>
      </c>
      <c r="AK7" s="14">
        <f t="shared" si="35"/>
        <v>0.7348500099906915</v>
      </c>
      <c r="AL7" s="22">
        <f t="shared" si="4"/>
        <v>4.2331605671019403</v>
      </c>
      <c r="AM7" s="62">
        <f t="shared" si="5"/>
        <v>180.3192826312789</v>
      </c>
      <c r="AN7" s="62">
        <f ca="1">AVERAGE(OFFSET($AM$3,0,0,'Données projet'!$E$10+1,1))-AVERAGE(OFFSET($H$3,0,0,'Données projet'!$E$10+1,1))</f>
        <v>536.3707066106856</v>
      </c>
      <c r="AO7" s="62">
        <f t="shared" si="36"/>
        <v>217.6280015974086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2.9666666666666668</v>
      </c>
      <c r="BD7" s="13">
        <f>IF('Données projet'!$A$88&gt;35,BD6+BC7-BL6,IF(A7&lt;'Données projet'!$A$88,$BA$205^A7,IF(A7='Données projet'!$A$88,'Données projet'!$B$88,BD6+BC7-BL6)))</f>
        <v>3.2896523131067239</v>
      </c>
      <c r="BE7" s="14">
        <f>BD7*VLOOKUP('Données projet'!$B$11,Paramètres!$A$1:$I$88,3,0)*VLOOKUP('Données projet'!$B$11,Paramètres!$A$1:$I$88,5,0)</f>
        <v>1.967212083237821</v>
      </c>
      <c r="BF7" s="14">
        <f t="shared" si="37"/>
        <v>0.83791308104680229</v>
      </c>
      <c r="BG7" s="22">
        <f t="shared" si="7"/>
        <v>4.8855929944623862</v>
      </c>
      <c r="BH7" s="62">
        <f t="shared" si="8"/>
        <v>180.97171505863935</v>
      </c>
      <c r="BI7" s="62">
        <f ca="1">AVERAGE(OFFSET($BH$3,0,0,'Données projet'!$E$11+1,1))-AVERAGE(OFFSET($H$3,0,0,'Données projet'!$E$11+1,1))</f>
        <v>248.66193174773525</v>
      </c>
      <c r="BJ7" s="62">
        <f t="shared" si="38"/>
        <v>249.61655682981151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6.4</v>
      </c>
      <c r="BY7" s="13">
        <f>IF('Données projet'!$A$114&gt;35,BY6+BX7-CG6,IF(A7&lt;'Données projet'!$A$114,$BV$205^A7,IF(A7='Données projet'!$A$114,'Données projet'!$B$114,BY6+BX7-CG6)))</f>
        <v>3.377580138462716</v>
      </c>
      <c r="BZ7" s="14">
        <f>BY7*VLOOKUP('Données projet'!$B$12,Paramètres!$A$1:$I$88,3,0)*VLOOKUP('Données projet'!$B$12,Paramètres!$A$1:$I$88,5,0)</f>
        <v>1.3611647958004747</v>
      </c>
      <c r="CA7" s="14">
        <f t="shared" si="39"/>
        <v>0.60516745839761099</v>
      </c>
      <c r="CB7" s="22">
        <f t="shared" si="10"/>
        <v>3.4246953427283322</v>
      </c>
      <c r="CC7" s="62">
        <f t="shared" si="11"/>
        <v>179.51081740690529</v>
      </c>
      <c r="CD7" s="62">
        <f ca="1">AVERAGE(OFFSET($CC$3,0,0,'Données projet'!$E$12+1,1))-AVERAGE(OFFSET($H$3,0,0,'Données projet'!$E$12+1,1))</f>
        <v>432.59662347701629</v>
      </c>
      <c r="CE7" s="62">
        <f t="shared" si="40"/>
        <v>348.67401091099748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6.666666666666667</v>
      </c>
      <c r="CT7" s="13">
        <f>IF('Données projet'!$A$140&gt;35,CT6+CS7-DB6,IF(A7&lt;'Données projet'!$A$140,$CQ$205^A7,IF(A7='Données projet'!$A$140,'Données projet'!$B$140,CT6+CS7-DB6)))</f>
        <v>3.4145488738336032</v>
      </c>
      <c r="CU7" s="18">
        <f>CT7*VLOOKUP('Données projet'!$B$13,Paramètres!$A$1:$I$88,3,0)*VLOOKUP('Données projet'!$B$13,Paramètres!$A$1:$I$88,5,0)</f>
        <v>1.5092306022344526</v>
      </c>
      <c r="CV7" s="14">
        <f t="shared" si="41"/>
        <v>0.66298013446304438</v>
      </c>
      <c r="CW7" s="22">
        <f t="shared" si="13"/>
        <v>3.7832670330814739</v>
      </c>
      <c r="CX7" s="62">
        <f t="shared" si="14"/>
        <v>179.86938909725842</v>
      </c>
      <c r="CY7" s="62">
        <f ca="1">AVERAGE(OFFSET($CX$3,0,0,'Données projet'!$E$13+1,1))-AVERAGE(OFFSET($H$3,0,0,'Données projet'!$E$13+1,1))</f>
        <v>582.26951914082088</v>
      </c>
      <c r="CZ7" s="62">
        <f t="shared" si="42"/>
        <v>434.80429932654715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6.0588235294117645</v>
      </c>
      <c r="DO7" s="13">
        <f>IF('Données projet'!$A$166&gt;35,DO6+DN7-DW6,IF(A7&lt;'Données projet'!$A$166,$DL$205^A7,IF(A7='Données projet'!$A$166,'Données projet'!$B$166,DO6+DN7-DW6)))</f>
        <v>2.9758343927313233</v>
      </c>
      <c r="DP7" s="18">
        <f>DO7*VLOOKUP('Données projet'!$B$14,Paramètres!$A$1:$I$88,3,0)*VLOOKUP('Données projet'!$B$14,Paramètres!$A$1:$I$88,5,0)</f>
        <v>1.4313763429037667</v>
      </c>
      <c r="DQ7" s="14">
        <f t="shared" si="43"/>
        <v>0.63266841510784988</v>
      </c>
      <c r="DR7" s="22">
        <f t="shared" si="16"/>
        <v>3.5948779535368982</v>
      </c>
      <c r="DS7" s="62">
        <f t="shared" si="17"/>
        <v>179.68100001771384</v>
      </c>
      <c r="DT7" s="62">
        <f ca="1">AVERAGE(OFFSET($DS$3,0,0,'Données projet'!$E$14+1,1))-AVERAGE(OFFSET($H$3,0,0,'Données projet'!$E$14+1,1))</f>
        <v>273.24375559399846</v>
      </c>
      <c r="DU7" s="62">
        <f t="shared" si="44"/>
        <v>270.77718895097848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projet'!$B$14,Paramètres!$A$1:$I$88,3,0)*0.475*44/12</f>
        <v>0</v>
      </c>
      <c r="EB7" s="23">
        <f>EXP(-LN(2)/25)*EB6+(1-EXP(-LN(2)/25))/(LN(2)/25)*Calculateur!DW7*Calculateur!DY7*VLOOKUP('Données projet'!$B$14,Paramètres!$A$1:$I$88,3,0)*0.475*44/12</f>
        <v>0</v>
      </c>
      <c r="EC7" s="23">
        <f>EXP(-LN(2)/2)*EC6+(1-EXP(-LN(2)/2))/(LN(2)/2)*DW7*DZ7*VLOOKUP('Données projet'!$B$14,Paramètres!$A$1:$I$88,3,0)*0.475*44/12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6.0588235294117645</v>
      </c>
      <c r="EJ7" s="13">
        <f>IF('Données projet'!$A$192&gt;35,EJ6+EI7-ER6,IF(A7&lt;'Données projet'!$A$192,$EG$205^A7,IF(A7='Données projet'!$A$192,'Données projet'!$B$192,EJ6+EI7-ER6)))</f>
        <v>2.9758343927313233</v>
      </c>
      <c r="EK7" s="18">
        <f>EJ7*VLOOKUP('Données projet'!$B$15,Paramètres!$A$1:$I$88,3,0)*VLOOKUP('Données projet'!$B$15,Paramètres!$A$1:$I$88,5,0)</f>
        <v>1.3926904957982593</v>
      </c>
      <c r="EL7" s="14">
        <f t="shared" si="45"/>
        <v>0.61753560114169881</v>
      </c>
      <c r="EM7" s="22">
        <f t="shared" si="19"/>
        <v>3.5011437855037602</v>
      </c>
      <c r="EN7" s="62">
        <f t="shared" si="20"/>
        <v>179.5872658496807</v>
      </c>
      <c r="EO7" s="62">
        <f ca="1">AVERAGE(OFFSET($EN$3,0,0,'Données projet'!$E$15+1,1))-AVERAGE(OFFSET($H$3,0,0,'Données projet'!$E$15+1,1))</f>
        <v>267.26203506406682</v>
      </c>
      <c r="EP7" s="62">
        <f t="shared" si="46"/>
        <v>265.10857635664843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projet'!$B$15,Paramètres!$A$1:$I$88,3,0)*0.475*44/12</f>
        <v>0</v>
      </c>
      <c r="EW7" s="23">
        <f>EXP(-LN(2)/25)*EW6+(1-EXP(-LN(2)/25))/(LN(2)/25)*Calculateur!ER7*Calculateur!ET7*VLOOKUP('Données projet'!$B$15,Paramètres!$A$1:$I$88,3,0)*0.475*44/12</f>
        <v>0</v>
      </c>
      <c r="EX7" s="23">
        <f>EXP(-LN(2)/2)*EX6+(1-EXP(-LN(2)/2))/(LN(2)/2)*ER7*EU7*VLOOKUP('Données projet'!$B$15,Paramètres!$A$1:$I$88,3,0)*0.475*44/12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11.5</v>
      </c>
      <c r="FE7" s="13">
        <f>IF('Données projet'!$A$218&gt;35,FE6+FD7-FM6,IF(A7&lt;'Données projet'!$A$218,$FB$205^A7,IF(A7='Données projet'!$A$218,'Données projet'!$B$218,FE6+FD7-FM6)))</f>
        <v>6.6723548683562175</v>
      </c>
      <c r="FF7" s="18">
        <f>FE7*VLOOKUP('Données projet'!$B$16,Paramètres!$A$1:$I$88,3,0)*VLOOKUP('Données projet'!$B$16,Paramètres!$A$1:$I$88,5,0)</f>
        <v>4.8921705894787788</v>
      </c>
      <c r="FG7" s="14">
        <f t="shared" si="47"/>
        <v>1.8741125629997808</v>
      </c>
      <c r="FH7" s="22">
        <f t="shared" si="22"/>
        <v>11.784609823900155</v>
      </c>
      <c r="FI7" s="62">
        <f t="shared" si="23"/>
        <v>187.8707318880771</v>
      </c>
      <c r="FJ7" s="62">
        <f ca="1">AVERAGE(OFFSET($FI$3,0,0,'Données projet'!$E$16+1,1))-AVERAGE(OFFSET($H$3,0,0,'Données projet'!$E$16+1,1))</f>
        <v>207.66160354686221</v>
      </c>
      <c r="FK7" s="62">
        <f t="shared" si="48"/>
        <v>260.45879589483525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projet'!$B$16,Paramètres!$A$1:$I$88,3,0)*0.475*44/12</f>
        <v>0</v>
      </c>
      <c r="FR7" s="23">
        <f>EXP(-LN(2)/25)*FR6+(1-EXP(-LN(2)/25))/(LN(2)/25)*Calculateur!FM7*Calculateur!FO7*VLOOKUP('Données projet'!$B$16,Paramètres!$A$1:$I$88,3,0)*0.475*44/12</f>
        <v>0</v>
      </c>
      <c r="FS7" s="23">
        <f>EXP(-LN(2)/2)*FS6+(1-EXP(-LN(2)/2))/(LN(2)/2)*FM7*FP7*VLOOKUP('Données projet'!$B$16,Paramètres!$A$1:$I$88,3,0)*0.475*44/12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12.458333333333334</v>
      </c>
      <c r="N8" s="14">
        <f>IF('Données projet'!$A$36&gt;35,N7+M8-V7,IF(A8&lt;'Données projet'!$A$36,$K$205^A8,IF(A8='Données projet'!$A$36,'Données projet'!$B$36,N7+M8-V7)))</f>
        <v>3.2791767863468606</v>
      </c>
      <c r="O8" s="14">
        <f>N8*VLOOKUP('Données projet'!$B$9,Paramètres!$A$1:$I$88,3,0)*VLOOKUP('Données projet'!$B$9,Paramètres!$A$1:$I$88,5,0)</f>
        <v>1.8330598235678952</v>
      </c>
      <c r="P8" s="14">
        <f t="shared" si="33"/>
        <v>0.78721786781935432</v>
      </c>
      <c r="Q8" s="22">
        <f t="shared" si="2"/>
        <v>4.5636503124994592</v>
      </c>
      <c r="R8" s="62">
        <f t="shared" si="0"/>
        <v>183.3546981889468</v>
      </c>
      <c r="S8" s="62">
        <f ca="1">AVERAGE(OFFSET($R$3,0,0,'Données projet'!$E$9+1,1))-AVERAGE(OFFSET($H$3,0,0,'Données projet'!$E$9+1,1))</f>
        <v>378.13552372917843</v>
      </c>
      <c r="T8" s="62">
        <f t="shared" si="34"/>
        <v>528.97123645404952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3.2758620689655173</v>
      </c>
      <c r="AI8" s="14">
        <f>IF('Données projet'!$A$62&gt;35,AI7+AH8-AQ7,IF(A8&lt;'Données projet'!$A$62,$AF$205^A8,IF(A8='Données projet'!$A$62,'Données projet'!$B$62,AI7+AH8-AQ7)))</f>
        <v>2.1927384318657195</v>
      </c>
      <c r="AJ8" s="14">
        <f>AI8*VLOOKUP('Données projet'!$B$10,Paramètres!$A$1:$I$88,3,0)*VLOOKUP('Données projet'!$B$10,Paramètres!$A$1:$I$88,5,0)</f>
        <v>1.9839897331521028</v>
      </c>
      <c r="AK8" s="14">
        <f t="shared" si="35"/>
        <v>0.84422439349435863</v>
      </c>
      <c r="AL8" s="22">
        <f t="shared" si="4"/>
        <v>4.9258062705759196</v>
      </c>
      <c r="AM8" s="62">
        <f t="shared" si="5"/>
        <v>183.71685414702327</v>
      </c>
      <c r="AN8" s="62">
        <f ca="1">AVERAGE(OFFSET($AM$3,0,0,'Données projet'!$E$10+1,1))-AVERAGE(OFFSET($H$3,0,0,'Données projet'!$E$10+1,1))</f>
        <v>536.3707066106856</v>
      </c>
      <c r="AO8" s="62">
        <f t="shared" si="36"/>
        <v>217.6280015974086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2.9666666666666668</v>
      </c>
      <c r="BD8" s="13">
        <f>IF('Données projet'!$A$88&gt;35,BD7+BC8-BL7,IF(A8&lt;'Données projet'!$A$88,$BA$205^A8,IF(A8='Données projet'!$A$88,'Données projet'!$B$88,BD7+BC8-BL7)))</f>
        <v>4.4303445125688352</v>
      </c>
      <c r="BE8" s="14">
        <f>BD8*VLOOKUP('Données projet'!$B$11,Paramètres!$A$1:$I$88,3,0)*VLOOKUP('Données projet'!$B$11,Paramètres!$A$1:$I$88,5,0)</f>
        <v>2.6493460185161637</v>
      </c>
      <c r="BF8" s="14">
        <f t="shared" si="37"/>
        <v>1.090027375816387</v>
      </c>
      <c r="BG8" s="22">
        <f t="shared" si="7"/>
        <v>6.5127419951291925</v>
      </c>
      <c r="BH8" s="62">
        <f t="shared" si="8"/>
        <v>185.30378987157656</v>
      </c>
      <c r="BI8" s="62">
        <f ca="1">AVERAGE(OFFSET($BH$3,0,0,'Données projet'!$E$11+1,1))-AVERAGE(OFFSET($H$3,0,0,'Données projet'!$E$11+1,1))</f>
        <v>248.66193174773525</v>
      </c>
      <c r="BJ8" s="62">
        <f t="shared" si="38"/>
        <v>249.61655682981151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6.4</v>
      </c>
      <c r="BY8" s="13">
        <f>IF('Données projet'!$A$114&gt;35,BY7+BX8-CG7,IF(A8&lt;'Données projet'!$A$114,$BV$205^A8,IF(A8='Données projet'!$A$114,'Données projet'!$B$114,BY7+BX8-CG7)))</f>
        <v>4.5788569702133275</v>
      </c>
      <c r="BZ8" s="14">
        <f>BY8*VLOOKUP('Données projet'!$B$12,Paramètres!$A$1:$I$88,3,0)*VLOOKUP('Données projet'!$B$12,Paramètres!$A$1:$I$88,5,0)</f>
        <v>1.8452793589959708</v>
      </c>
      <c r="CA8" s="14">
        <f t="shared" si="39"/>
        <v>0.79185298369552504</v>
      </c>
      <c r="CB8" s="22">
        <f t="shared" si="10"/>
        <v>4.5930054968543548</v>
      </c>
      <c r="CC8" s="62">
        <f t="shared" si="11"/>
        <v>183.3840533733017</v>
      </c>
      <c r="CD8" s="62">
        <f ca="1">AVERAGE(OFFSET($CC$3,0,0,'Données projet'!$E$12+1,1))-AVERAGE(OFFSET($H$3,0,0,'Données projet'!$E$12+1,1))</f>
        <v>432.59662347701629</v>
      </c>
      <c r="CE8" s="62">
        <f t="shared" si="40"/>
        <v>348.67401091099748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6.666666666666667</v>
      </c>
      <c r="CT8" s="13">
        <f>IF('Données projet'!$A$140&gt;35,CT7+CS8-DB7,IF(A8&lt;'Données projet'!$A$140,$CQ$205^A8,IF(A8='Données projet'!$A$140,'Données projet'!$B$140,CT7+CS8-DB7)))</f>
        <v>4.6415888336127811</v>
      </c>
      <c r="CU8" s="18">
        <f>CT8*VLOOKUP('Données projet'!$B$13,Paramètres!$A$1:$I$88,3,0)*VLOOKUP('Données projet'!$B$13,Paramètres!$A$1:$I$88,5,0)</f>
        <v>2.0515822644568495</v>
      </c>
      <c r="CV8" s="14">
        <f t="shared" si="41"/>
        <v>0.86958862215562716</v>
      </c>
      <c r="CW8" s="22">
        <f t="shared" si="13"/>
        <v>5.0877059608500632</v>
      </c>
      <c r="CX8" s="62">
        <f t="shared" si="14"/>
        <v>183.87875383729741</v>
      </c>
      <c r="CY8" s="62">
        <f ca="1">AVERAGE(OFFSET($CX$3,0,0,'Données projet'!$E$13+1,1))-AVERAGE(OFFSET($H$3,0,0,'Données projet'!$E$13+1,1))</f>
        <v>582.26951914082088</v>
      </c>
      <c r="CZ8" s="62">
        <f t="shared" si="42"/>
        <v>434.80429932654715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6.0588235294117645</v>
      </c>
      <c r="DO8" s="13">
        <f>IF('Données projet'!$A$166&gt;35,DO7+DN8-DW7,IF(A8&lt;'Données projet'!$A$166,$DL$205^A8,IF(A8='Données projet'!$A$166,'Données projet'!$B$166,DO7+DN8-DW7)))</f>
        <v>3.9085074890651645</v>
      </c>
      <c r="DP8" s="18">
        <f>DO8*VLOOKUP('Données projet'!$B$14,Paramètres!$A$1:$I$88,3,0)*VLOOKUP('Données projet'!$B$14,Paramètres!$A$1:$I$88,5,0)</f>
        <v>1.8799921022403441</v>
      </c>
      <c r="DQ8" s="14">
        <f t="shared" si="43"/>
        <v>0.80500083045952275</v>
      </c>
      <c r="DR8" s="22">
        <f t="shared" si="16"/>
        <v>4.6763626911189347</v>
      </c>
      <c r="DS8" s="62">
        <f t="shared" si="17"/>
        <v>183.46741056756628</v>
      </c>
      <c r="DT8" s="62">
        <f ca="1">AVERAGE(OFFSET($DS$3,0,0,'Données projet'!$E$14+1,1))-AVERAGE(OFFSET($H$3,0,0,'Données projet'!$E$14+1,1))</f>
        <v>273.24375559399846</v>
      </c>
      <c r="DU8" s="62">
        <f t="shared" si="44"/>
        <v>270.77718895097848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projet'!$B$14,Paramètres!$A$1:$I$88,3,0)*0.475*44/12</f>
        <v>0</v>
      </c>
      <c r="EB8" s="23">
        <f>EXP(-LN(2)/25)*EB7+(1-EXP(-LN(2)/25))/(LN(2)/25)*Calculateur!DW8*Calculateur!DY8*VLOOKUP('Données projet'!$B$14,Paramètres!$A$1:$I$88,3,0)*0.475*44/12</f>
        <v>0</v>
      </c>
      <c r="EC8" s="23">
        <f>EXP(-LN(2)/2)*EC7+(1-EXP(-LN(2)/2))/(LN(2)/2)*DW8*DZ8*VLOOKUP('Données projet'!$B$14,Paramètres!$A$1:$I$88,3,0)*0.475*44/12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6.0588235294117645</v>
      </c>
      <c r="EJ8" s="13">
        <f>IF('Données projet'!$A$192&gt;35,EJ7+EI8-ER7,IF(A8&lt;'Données projet'!$A$192,$EG$205^A8,IF(A8='Données projet'!$A$192,'Données projet'!$B$192,EJ7+EI8-ER7)))</f>
        <v>3.9085074890651645</v>
      </c>
      <c r="EK8" s="18">
        <f>EJ8*VLOOKUP('Données projet'!$B$15,Paramètres!$A$1:$I$88,3,0)*VLOOKUP('Données projet'!$B$15,Paramètres!$A$1:$I$88,5,0)</f>
        <v>1.8291815048824969</v>
      </c>
      <c r="EL8" s="14">
        <f t="shared" si="45"/>
        <v>0.78574599250801147</v>
      </c>
      <c r="EM8" s="22">
        <f t="shared" si="19"/>
        <v>4.5543320579551354</v>
      </c>
      <c r="EN8" s="62">
        <f t="shared" si="20"/>
        <v>183.34537993440247</v>
      </c>
      <c r="EO8" s="62">
        <f ca="1">AVERAGE(OFFSET($EN$3,0,0,'Données projet'!$E$15+1,1))-AVERAGE(OFFSET($H$3,0,0,'Données projet'!$E$15+1,1))</f>
        <v>267.26203506406682</v>
      </c>
      <c r="EP8" s="62">
        <f t="shared" si="46"/>
        <v>265.10857635664843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projet'!$B$15,Paramètres!$A$1:$I$88,3,0)*0.475*44/12</f>
        <v>0</v>
      </c>
      <c r="EW8" s="23">
        <f>EXP(-LN(2)/25)*EW7+(1-EXP(-LN(2)/25))/(LN(2)/25)*Calculateur!ER8*Calculateur!ET8*VLOOKUP('Données projet'!$B$15,Paramètres!$A$1:$I$88,3,0)*0.475*44/12</f>
        <v>0</v>
      </c>
      <c r="EX8" s="23">
        <f>EXP(-LN(2)/2)*EX7+(1-EXP(-LN(2)/2))/(LN(2)/2)*ER8*EU8*VLOOKUP('Données projet'!$B$15,Paramètres!$A$1:$I$88,3,0)*0.475*44/12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11.5</v>
      </c>
      <c r="FE8" s="13">
        <f>IF('Données projet'!$A$218&gt;35,FE7+FD8-FM7,IF(A8&lt;'Données projet'!$A$218,$FB$205^A8,IF(A8='Données projet'!$A$218,'Données projet'!$B$218,FE7+FD8-FM7)))</f>
        <v>10.723805294763606</v>
      </c>
      <c r="FF8" s="18">
        <f>FE8*VLOOKUP('Données projet'!$B$16,Paramètres!$A$1:$I$88,3,0)*VLOOKUP('Données projet'!$B$16,Paramètres!$A$1:$I$88,5,0)</f>
        <v>7.8626940421206752</v>
      </c>
      <c r="FG8" s="14">
        <f t="shared" si="47"/>
        <v>2.8502236090239195</v>
      </c>
      <c r="FH8" s="22">
        <f t="shared" si="22"/>
        <v>18.658331575743503</v>
      </c>
      <c r="FI8" s="62">
        <f t="shared" si="23"/>
        <v>197.44937945219084</v>
      </c>
      <c r="FJ8" s="62">
        <f ca="1">AVERAGE(OFFSET($FI$3,0,0,'Données projet'!$E$16+1,1))-AVERAGE(OFFSET($H$3,0,0,'Données projet'!$E$16+1,1))</f>
        <v>207.66160354686221</v>
      </c>
      <c r="FK8" s="62">
        <f t="shared" si="48"/>
        <v>260.45879589483525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projet'!$B$16,Paramètres!$A$1:$I$88,3,0)*0.475*44/12</f>
        <v>0</v>
      </c>
      <c r="FR8" s="23">
        <f>EXP(-LN(2)/25)*FR7+(1-EXP(-LN(2)/25))/(LN(2)/25)*Calculateur!FM8*Calculateur!FO8*VLOOKUP('Données projet'!$B$16,Paramètres!$A$1:$I$88,3,0)*0.475*44/12</f>
        <v>0</v>
      </c>
      <c r="FS8" s="23">
        <f>EXP(-LN(2)/2)*FS7+(1-EXP(-LN(2)/2))/(LN(2)/2)*FM8*FP8*VLOOKUP('Données projet'!$B$16,Paramètres!$A$1:$I$88,3,0)*0.475*44/12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12.458333333333334</v>
      </c>
      <c r="N9" s="14">
        <f>IF('Données projet'!$A$36&gt;35,N8+M9-V8,IF(A9&lt;'Données projet'!$A$36,$K$205^A9,IF(A9='Données projet'!$A$36,'Données projet'!$B$36,N8+M9-V8)))</f>
        <v>4.1583189470975643</v>
      </c>
      <c r="O9" s="14">
        <f>N9*VLOOKUP('Données projet'!$B$9,Paramètres!$A$1:$I$88,3,0)*VLOOKUP('Données projet'!$B$9,Paramètres!$A$1:$I$88,5,0)</f>
        <v>2.3245002914275386</v>
      </c>
      <c r="P9" s="14">
        <f t="shared" si="33"/>
        <v>0.97104845995855904</v>
      </c>
      <c r="Q9" s="22">
        <f t="shared" si="2"/>
        <v>5.7397474086641189</v>
      </c>
      <c r="R9" s="62">
        <f t="shared" si="0"/>
        <v>187.2099995049231</v>
      </c>
      <c r="S9" s="62">
        <f ca="1">AVERAGE(OFFSET($R$3,0,0,'Données projet'!$E$9+1,1))-AVERAGE(OFFSET($H$3,0,0,'Données projet'!$E$9+1,1))</f>
        <v>378.13552372917843</v>
      </c>
      <c r="T9" s="62">
        <f t="shared" si="34"/>
        <v>528.97123645404952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3.2758620689655173</v>
      </c>
      <c r="AI9" s="14">
        <f>IF('Données projet'!$A$62&gt;35,AI8+AH9-AQ8,IF(A9&lt;'Données projet'!$A$62,$AF$205^A9,IF(A9='Données projet'!$A$62,'Données projet'!$B$62,AI8+AH9-AQ8)))</f>
        <v>2.5655719233858001</v>
      </c>
      <c r="AJ9" s="14">
        <f>AI9*VLOOKUP('Données projet'!$B$10,Paramètres!$A$1:$I$88,3,0)*VLOOKUP('Données projet'!$B$10,Paramètres!$A$1:$I$88,5,0)</f>
        <v>2.3213294762794718</v>
      </c>
      <c r="AK9" s="14">
        <f t="shared" si="35"/>
        <v>0.96987795724456194</v>
      </c>
      <c r="AL9" s="22">
        <f t="shared" si="4"/>
        <v>5.7321862800543579</v>
      </c>
      <c r="AM9" s="62">
        <f t="shared" si="5"/>
        <v>187.20243837631332</v>
      </c>
      <c r="AN9" s="62">
        <f ca="1">AVERAGE(OFFSET($AM$3,0,0,'Données projet'!$E$10+1,1))-AVERAGE(OFFSET($H$3,0,0,'Données projet'!$E$10+1,1))</f>
        <v>536.3707066106856</v>
      </c>
      <c r="AO9" s="62">
        <f t="shared" si="36"/>
        <v>217.6280015974086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2.9666666666666668</v>
      </c>
      <c r="BD9" s="13">
        <f>IF('Données projet'!$A$88&gt;35,BD8+BC9-BL8,IF(A9&lt;'Données projet'!$A$88,$BA$205^A9,IF(A9='Données projet'!$A$88,'Données projet'!$B$88,BD8+BC9-BL8)))</f>
        <v>5.9665735560705189</v>
      </c>
      <c r="BE9" s="14">
        <f>BD9*VLOOKUP('Données projet'!$B$11,Paramètres!$A$1:$I$88,3,0)*VLOOKUP('Données projet'!$B$11,Paramètres!$A$1:$I$88,5,0)</f>
        <v>3.5680109865301701</v>
      </c>
      <c r="BF9" s="14">
        <f t="shared" si="37"/>
        <v>1.4179987243364132</v>
      </c>
      <c r="BG9" s="22">
        <f t="shared" si="7"/>
        <v>8.6839669130926342</v>
      </c>
      <c r="BH9" s="62">
        <f t="shared" si="8"/>
        <v>190.15421900935161</v>
      </c>
      <c r="BI9" s="62">
        <f ca="1">AVERAGE(OFFSET($BH$3,0,0,'Données projet'!$E$11+1,1))-AVERAGE(OFFSET($H$3,0,0,'Données projet'!$E$11+1,1))</f>
        <v>248.66193174773525</v>
      </c>
      <c r="BJ9" s="62">
        <f t="shared" si="38"/>
        <v>249.61655682981151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6.4</v>
      </c>
      <c r="BY9" s="13">
        <f>IF('Données projet'!$A$114&gt;35,BY8+BX9-CG8,IF(A9&lt;'Données projet'!$A$114,$BV$205^A9,IF(A9='Données projet'!$A$114,'Données projet'!$B$114,BY8+BX9-CG8)))</f>
        <v>6.2073822956614393</v>
      </c>
      <c r="BZ9" s="14">
        <f>BY9*VLOOKUP('Données projet'!$B$12,Paramètres!$A$1:$I$88,3,0)*VLOOKUP('Données projet'!$B$12,Paramètres!$A$1:$I$88,5,0)</f>
        <v>2.50157506515156</v>
      </c>
      <c r="CA9" s="14">
        <f t="shared" si="39"/>
        <v>1.0361283295829991</v>
      </c>
      <c r="CB9" s="22">
        <f t="shared" si="10"/>
        <v>6.1615000791626899</v>
      </c>
      <c r="CC9" s="62">
        <f t="shared" si="11"/>
        <v>187.63175217542167</v>
      </c>
      <c r="CD9" s="62">
        <f ca="1">AVERAGE(OFFSET($CC$3,0,0,'Données projet'!$E$12+1,1))-AVERAGE(OFFSET($H$3,0,0,'Données projet'!$E$12+1,1))</f>
        <v>432.59662347701629</v>
      </c>
      <c r="CE9" s="62">
        <f t="shared" si="40"/>
        <v>348.67401091099748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6.666666666666667</v>
      </c>
      <c r="CT9" s="13">
        <f>IF('Données projet'!$A$140&gt;35,CT8+CS9-DB8,IF(A9&lt;'Données projet'!$A$140,$CQ$205^A9,IF(A9='Données projet'!$A$140,'Données projet'!$B$140,CT8+CS9-DB8)))</f>
        <v>6.3095734448019369</v>
      </c>
      <c r="CU9" s="18">
        <f>CT9*VLOOKUP('Données projet'!$B$13,Paramètres!$A$1:$I$88,3,0)*VLOOKUP('Données projet'!$B$13,Paramètres!$A$1:$I$88,5,0)</f>
        <v>2.7888314626024564</v>
      </c>
      <c r="CV9" s="14">
        <f t="shared" si="41"/>
        <v>1.1405837557937766</v>
      </c>
      <c r="CW9" s="22">
        <f t="shared" si="13"/>
        <v>6.84373150537344</v>
      </c>
      <c r="CX9" s="62">
        <f t="shared" si="14"/>
        <v>188.3139836016324</v>
      </c>
      <c r="CY9" s="62">
        <f ca="1">AVERAGE(OFFSET($CX$3,0,0,'Données projet'!$E$13+1,1))-AVERAGE(OFFSET($H$3,0,0,'Données projet'!$E$13+1,1))</f>
        <v>582.26951914082088</v>
      </c>
      <c r="CZ9" s="62">
        <f t="shared" si="42"/>
        <v>434.80429932654715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6.0588235294117645</v>
      </c>
      <c r="DO9" s="13">
        <f>IF('Données projet'!$A$166&gt;35,DO8+DN9-DW8,IF(A9&lt;'Données projet'!$A$166,$DL$205^A9,IF(A9='Données projet'!$A$166,'Données projet'!$B$166,DO8+DN9-DW8)))</f>
        <v>5.1334949382237776</v>
      </c>
      <c r="DP9" s="18">
        <f>DO9*VLOOKUP('Données projet'!$B$14,Paramètres!$A$1:$I$88,3,0)*VLOOKUP('Données projet'!$B$14,Paramètres!$A$1:$I$88,5,0)</f>
        <v>2.4692110652856369</v>
      </c>
      <c r="DQ9" s="14">
        <f t="shared" si="43"/>
        <v>1.0242748358633542</v>
      </c>
      <c r="DR9" s="22">
        <f t="shared" si="16"/>
        <v>6.0844879445011593</v>
      </c>
      <c r="DS9" s="62">
        <f t="shared" si="17"/>
        <v>187.55474004076012</v>
      </c>
      <c r="DT9" s="62">
        <f ca="1">AVERAGE(OFFSET($DS$3,0,0,'Données projet'!$E$14+1,1))-AVERAGE(OFFSET($H$3,0,0,'Données projet'!$E$14+1,1))</f>
        <v>273.24375559399846</v>
      </c>
      <c r="DU9" s="62">
        <f t="shared" si="44"/>
        <v>270.77718895097848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projet'!$B$14,Paramètres!$A$1:$I$88,3,0)*0.475*44/12</f>
        <v>0</v>
      </c>
      <c r="EB9" s="23">
        <f>EXP(-LN(2)/25)*EB8+(1-EXP(-LN(2)/25))/(LN(2)/25)*Calculateur!DW9*Calculateur!DY9*VLOOKUP('Données projet'!$B$14,Paramètres!$A$1:$I$88,3,0)*0.475*44/12</f>
        <v>0</v>
      </c>
      <c r="EC9" s="23">
        <f>EXP(-LN(2)/2)*EC8+(1-EXP(-LN(2)/2))/(LN(2)/2)*DW9*DZ9*VLOOKUP('Données projet'!$B$14,Paramètres!$A$1:$I$88,3,0)*0.475*44/12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6.0588235294117645</v>
      </c>
      <c r="EJ9" s="13">
        <f>IF('Données projet'!$A$192&gt;35,EJ8+EI9-ER8,IF(A9&lt;'Données projet'!$A$192,$EG$205^A9,IF(A9='Données projet'!$A$192,'Données projet'!$B$192,EJ8+EI9-ER8)))</f>
        <v>5.1334949382237776</v>
      </c>
      <c r="EK9" s="18">
        <f>EJ9*VLOOKUP('Données projet'!$B$15,Paramètres!$A$1:$I$88,3,0)*VLOOKUP('Données projet'!$B$15,Paramètres!$A$1:$I$88,5,0)</f>
        <v>2.4024756310887279</v>
      </c>
      <c r="EL9" s="14">
        <f t="shared" si="45"/>
        <v>0.99977517668772131</v>
      </c>
      <c r="EM9" s="22">
        <f t="shared" si="19"/>
        <v>5.9255868235439815</v>
      </c>
      <c r="EN9" s="62">
        <f t="shared" si="20"/>
        <v>187.39583891980297</v>
      </c>
      <c r="EO9" s="62">
        <f ca="1">AVERAGE(OFFSET($EN$3,0,0,'Données projet'!$E$15+1,1))-AVERAGE(OFFSET($H$3,0,0,'Données projet'!$E$15+1,1))</f>
        <v>267.26203506406682</v>
      </c>
      <c r="EP9" s="62">
        <f t="shared" si="46"/>
        <v>265.10857635664843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projet'!$B$15,Paramètres!$A$1:$I$88,3,0)*0.475*44/12</f>
        <v>0</v>
      </c>
      <c r="EW9" s="23">
        <f>EXP(-LN(2)/25)*EW8+(1-EXP(-LN(2)/25))/(LN(2)/25)*Calculateur!ER9*Calculateur!ET9*VLOOKUP('Données projet'!$B$15,Paramètres!$A$1:$I$88,3,0)*0.475*44/12</f>
        <v>0</v>
      </c>
      <c r="EX9" s="23">
        <f>EXP(-LN(2)/2)*EX8+(1-EXP(-LN(2)/2))/(LN(2)/2)*ER9*EU9*VLOOKUP('Données projet'!$B$15,Paramètres!$A$1:$I$88,3,0)*0.475*44/12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11.5</v>
      </c>
      <c r="FE9" s="13">
        <f>IF('Données projet'!$A$218&gt;35,FE8+FD9-FM8,IF(A9&lt;'Données projet'!$A$218,$FB$205^A9,IF(A9='Données projet'!$A$218,'Données projet'!$B$218,FE8+FD9-FM8)))</f>
        <v>17.235294325454703</v>
      </c>
      <c r="FF9" s="18">
        <f>FE9*VLOOKUP('Données projet'!$B$16,Paramètres!$A$1:$I$88,3,0)*VLOOKUP('Données projet'!$B$16,Paramètres!$A$1:$I$88,5,0)</f>
        <v>12.636917799423388</v>
      </c>
      <c r="FG9" s="14">
        <f t="shared" si="47"/>
        <v>4.3347314253281013</v>
      </c>
      <c r="FH9" s="22">
        <f t="shared" si="22"/>
        <v>29.558955733108835</v>
      </c>
      <c r="FI9" s="62">
        <f t="shared" si="23"/>
        <v>211.02920782936781</v>
      </c>
      <c r="FJ9" s="62">
        <f ca="1">AVERAGE(OFFSET($FI$3,0,0,'Données projet'!$E$16+1,1))-AVERAGE(OFFSET($H$3,0,0,'Données projet'!$E$16+1,1))</f>
        <v>207.66160354686221</v>
      </c>
      <c r="FK9" s="62">
        <f t="shared" si="48"/>
        <v>260.45879589483525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projet'!$B$16,Paramètres!$A$1:$I$88,3,0)*0.475*44/12</f>
        <v>0</v>
      </c>
      <c r="FR9" s="23">
        <f>EXP(-LN(2)/25)*FR8+(1-EXP(-LN(2)/25))/(LN(2)/25)*Calculateur!FM9*Calculateur!FO9*VLOOKUP('Données projet'!$B$16,Paramètres!$A$1:$I$88,3,0)*0.475*44/12</f>
        <v>0</v>
      </c>
      <c r="FS9" s="23">
        <f>EXP(-LN(2)/2)*FS8+(1-EXP(-LN(2)/2))/(LN(2)/2)*FM9*FP9*VLOOKUP('Données projet'!$B$16,Paramètres!$A$1:$I$88,3,0)*0.475*44/12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12.458333333333334</v>
      </c>
      <c r="N10" s="14">
        <f>IF('Données projet'!$A$36&gt;35,N9+M10-V9,IF(A10&lt;'Données projet'!$A$36,$K$205^A10,IF(A10='Données projet'!$A$36,'Données projet'!$B$36,N9+M10-V9)))</f>
        <v>5.2731577442807449</v>
      </c>
      <c r="O10" s="14">
        <f>N10*VLOOKUP('Données projet'!$B$9,Paramètres!$A$1:$I$88,3,0)*VLOOKUP('Données projet'!$B$9,Paramètres!$A$1:$I$88,5,0)</f>
        <v>2.9476951790529369</v>
      </c>
      <c r="P10" s="14">
        <f t="shared" si="33"/>
        <v>1.197807049527321</v>
      </c>
      <c r="Q10" s="22">
        <f t="shared" si="2"/>
        <v>7.220083048110614</v>
      </c>
      <c r="R10" s="62">
        <f t="shared" si="0"/>
        <v>191.34426398384684</v>
      </c>
      <c r="S10" s="62">
        <f ca="1">AVERAGE(OFFSET($R$3,0,0,'Données projet'!$E$9+1,1))-AVERAGE(OFFSET($H$3,0,0,'Données projet'!$E$9+1,1))</f>
        <v>378.13552372917843</v>
      </c>
      <c r="T10" s="62">
        <f t="shared" si="34"/>
        <v>528.97123645404952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3.2758620689655173</v>
      </c>
      <c r="AI10" s="14">
        <f>IF('Données projet'!$A$62&gt;35,AI9+AH10-AQ9,IF(A10&lt;'Données projet'!$A$62,$AF$205^A10,IF(A10='Données projet'!$A$62,'Données projet'!$B$62,AI9+AH10-AQ9)))</f>
        <v>3.0017986634479703</v>
      </c>
      <c r="AJ10" s="14">
        <f>AI10*VLOOKUP('Données projet'!$B$10,Paramètres!$A$1:$I$88,3,0)*VLOOKUP('Données projet'!$B$10,Paramètres!$A$1:$I$88,5,0)</f>
        <v>2.7160274306877232</v>
      </c>
      <c r="AK10" s="14">
        <f t="shared" si="35"/>
        <v>1.1142336790996434</v>
      </c>
      <c r="AL10" s="22">
        <f t="shared" si="4"/>
        <v>6.6710380995463296</v>
      </c>
      <c r="AM10" s="62">
        <f t="shared" si="5"/>
        <v>190.79521903528257</v>
      </c>
      <c r="AN10" s="62">
        <f ca="1">AVERAGE(OFFSET($AM$3,0,0,'Données projet'!$E$10+1,1))-AVERAGE(OFFSET($H$3,0,0,'Données projet'!$E$10+1,1))</f>
        <v>536.3707066106856</v>
      </c>
      <c r="AO10" s="62">
        <f t="shared" si="36"/>
        <v>217.6280015974086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2.9666666666666668</v>
      </c>
      <c r="BD10" s="13">
        <f>IF('Données projet'!$A$88&gt;35,BD9+BC10-BL9,IF(A10&lt;'Données projet'!$A$88,$BA$205^A10,IF(A10='Données projet'!$A$88,'Données projet'!$B$88,BD9+BC10-BL9)))</f>
        <v>8.0354924767144436</v>
      </c>
      <c r="BE10" s="14">
        <f>BD10*VLOOKUP('Données projet'!$B$11,Paramètres!$A$1:$I$88,3,0)*VLOOKUP('Données projet'!$B$11,Paramètres!$A$1:$I$88,5,0)</f>
        <v>4.8052245010752381</v>
      </c>
      <c r="BF10" s="14">
        <f t="shared" si="37"/>
        <v>1.8446512691607819</v>
      </c>
      <c r="BG10" s="22">
        <f t="shared" si="7"/>
        <v>11.581866966494403</v>
      </c>
      <c r="BH10" s="62">
        <f t="shared" si="8"/>
        <v>195.70604790223064</v>
      </c>
      <c r="BI10" s="62">
        <f ca="1">AVERAGE(OFFSET($BH$3,0,0,'Données projet'!$E$11+1,1))-AVERAGE(OFFSET($H$3,0,0,'Données projet'!$E$11+1,1))</f>
        <v>248.66193174773525</v>
      </c>
      <c r="BJ10" s="62">
        <f t="shared" si="38"/>
        <v>249.61655682981151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6.4</v>
      </c>
      <c r="BY10" s="13">
        <f>IF('Données projet'!$A$114&gt;35,BY9+BX10-CG9,IF(A10&lt;'Données projet'!$A$114,$BV$205^A10,IF(A10='Données projet'!$A$114,'Données projet'!$B$114,BY9+BX10-CG9)))</f>
        <v>8.4151121590277373</v>
      </c>
      <c r="BZ10" s="14">
        <f>BY10*VLOOKUP('Données projet'!$B$12,Paramètres!$A$1:$I$88,3,0)*VLOOKUP('Données projet'!$B$12,Paramètres!$A$1:$I$88,5,0)</f>
        <v>3.3912902000881782</v>
      </c>
      <c r="CA10" s="14">
        <f t="shared" si="39"/>
        <v>1.3557591339167707</v>
      </c>
      <c r="CB10" s="22">
        <f t="shared" si="10"/>
        <v>8.2677775900586195</v>
      </c>
      <c r="CC10" s="62">
        <f t="shared" si="11"/>
        <v>192.39195852579485</v>
      </c>
      <c r="CD10" s="62">
        <f ca="1">AVERAGE(OFFSET($CC$3,0,0,'Données projet'!$E$12+1,1))-AVERAGE(OFFSET($H$3,0,0,'Données projet'!$E$12+1,1))</f>
        <v>432.59662347701629</v>
      </c>
      <c r="CE10" s="62">
        <f t="shared" si="40"/>
        <v>348.67401091099748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6.666666666666667</v>
      </c>
      <c r="CT10" s="13">
        <f>IF('Données projet'!$A$140&gt;35,CT9+CS10-DB9,IF(A10&lt;'Données projet'!$A$140,$CQ$205^A10,IF(A10='Données projet'!$A$140,'Données projet'!$B$140,CT9+CS10-DB9)))</f>
        <v>8.5769589859089486</v>
      </c>
      <c r="CU10" s="18">
        <f>CT10*VLOOKUP('Données projet'!$B$13,Paramètres!$A$1:$I$88,3,0)*VLOOKUP('Données projet'!$B$13,Paramètres!$A$1:$I$88,5,0)</f>
        <v>3.7910158717717555</v>
      </c>
      <c r="CV10" s="14">
        <f t="shared" si="41"/>
        <v>1.496030733193993</v>
      </c>
      <c r="CW10" s="22">
        <f t="shared" si="13"/>
        <v>9.2082728369820117</v>
      </c>
      <c r="CX10" s="62">
        <f t="shared" si="14"/>
        <v>193.33245377271825</v>
      </c>
      <c r="CY10" s="62">
        <f ca="1">AVERAGE(OFFSET($CX$3,0,0,'Données projet'!$E$13+1,1))-AVERAGE(OFFSET($H$3,0,0,'Données projet'!$E$13+1,1))</f>
        <v>582.26951914082088</v>
      </c>
      <c r="CZ10" s="62">
        <f t="shared" si="42"/>
        <v>434.80429932654715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6.0588235294117645</v>
      </c>
      <c r="DO10" s="13">
        <f>IF('Données projet'!$A$166&gt;35,DO9+DN10-DW9,IF(A10&lt;'Données projet'!$A$166,$DL$205^A10,IF(A10='Données projet'!$A$166,'Données projet'!$B$166,DO9+DN10-DW9)))</f>
        <v>6.742412635640668</v>
      </c>
      <c r="DP10" s="18">
        <f>DO10*VLOOKUP('Données projet'!$B$14,Paramètres!$A$1:$I$88,3,0)*VLOOKUP('Données projet'!$B$14,Paramètres!$A$1:$I$88,5,0)</f>
        <v>3.2431004777431616</v>
      </c>
      <c r="DQ10" s="14">
        <f t="shared" si="43"/>
        <v>1.3032768410735873</v>
      </c>
      <c r="DR10" s="22">
        <f t="shared" si="16"/>
        <v>7.9182738302725042</v>
      </c>
      <c r="DS10" s="62">
        <f t="shared" si="17"/>
        <v>192.04245476600875</v>
      </c>
      <c r="DT10" s="62">
        <f ca="1">AVERAGE(OFFSET($DS$3,0,0,'Données projet'!$E$14+1,1))-AVERAGE(OFFSET($H$3,0,0,'Données projet'!$E$14+1,1))</f>
        <v>273.24375559399846</v>
      </c>
      <c r="DU10" s="62">
        <f t="shared" si="44"/>
        <v>270.77718895097848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projet'!$B$14,Paramètres!$A$1:$I$88,3,0)*0.475*44/12</f>
        <v>0</v>
      </c>
      <c r="EB10" s="23">
        <f>EXP(-LN(2)/25)*EB9+(1-EXP(-LN(2)/25))/(LN(2)/25)*Calculateur!DW10*Calculateur!DY10*VLOOKUP('Données projet'!$B$14,Paramètres!$A$1:$I$88,3,0)*0.475*44/12</f>
        <v>0</v>
      </c>
      <c r="EC10" s="23">
        <f>EXP(-LN(2)/2)*EC9+(1-EXP(-LN(2)/2))/(LN(2)/2)*DW10*DZ10*VLOOKUP('Données projet'!$B$14,Paramètres!$A$1:$I$88,3,0)*0.475*44/12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6.0588235294117645</v>
      </c>
      <c r="EJ10" s="13">
        <f>IF('Données projet'!$A$192&gt;35,EJ9+EI10-ER9,IF(A10&lt;'Données projet'!$A$192,$EG$205^A10,IF(A10='Données projet'!$A$192,'Données projet'!$B$192,EJ9+EI10-ER9)))</f>
        <v>6.742412635640668</v>
      </c>
      <c r="EK10" s="18">
        <f>EJ10*VLOOKUP('Données projet'!$B$15,Paramètres!$A$1:$I$88,3,0)*VLOOKUP('Données projet'!$B$15,Paramètres!$A$1:$I$88,5,0)</f>
        <v>3.1554491134798326</v>
      </c>
      <c r="EL10" s="14">
        <f t="shared" si="45"/>
        <v>1.2721037249334401</v>
      </c>
      <c r="EM10" s="22">
        <f t="shared" si="19"/>
        <v>7.7113211935697832</v>
      </c>
      <c r="EN10" s="62">
        <f t="shared" si="20"/>
        <v>191.83550212930601</v>
      </c>
      <c r="EO10" s="62">
        <f ca="1">AVERAGE(OFFSET($EN$3,0,0,'Données projet'!$E$15+1,1))-AVERAGE(OFFSET($H$3,0,0,'Données projet'!$E$15+1,1))</f>
        <v>267.26203506406682</v>
      </c>
      <c r="EP10" s="62">
        <f t="shared" si="46"/>
        <v>265.10857635664843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projet'!$B$15,Paramètres!$A$1:$I$88,3,0)*0.475*44/12</f>
        <v>0</v>
      </c>
      <c r="EW10" s="23">
        <f>EXP(-LN(2)/25)*EW9+(1-EXP(-LN(2)/25))/(LN(2)/25)*Calculateur!ER10*Calculateur!ET10*VLOOKUP('Données projet'!$B$15,Paramètres!$A$1:$I$88,3,0)*0.475*44/12</f>
        <v>0</v>
      </c>
      <c r="EX10" s="23">
        <f>EXP(-LN(2)/2)*EX9+(1-EXP(-LN(2)/2))/(LN(2)/2)*ER10*EU10*VLOOKUP('Données projet'!$B$15,Paramètres!$A$1:$I$88,3,0)*0.475*44/12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11.5</v>
      </c>
      <c r="FE10" s="13">
        <f>IF('Données projet'!$A$218&gt;35,FE9+FD10-FM9,IF(A10&lt;'Données projet'!$A$218,$FB$205^A10,IF(A10='Données projet'!$A$218,'Données projet'!$B$218,FE9+FD10-FM9)))</f>
        <v>27.700556129091794</v>
      </c>
      <c r="FF10" s="18">
        <f>FE10*VLOOKUP('Données projet'!$B$16,Paramètres!$A$1:$I$88,3,0)*VLOOKUP('Données projet'!$B$16,Paramètres!$A$1:$I$88,5,0)</f>
        <v>20.310047753850103</v>
      </c>
      <c r="FG10" s="14">
        <f t="shared" si="47"/>
        <v>6.5924289133797958</v>
      </c>
      <c r="FH10" s="22">
        <f t="shared" si="22"/>
        <v>46.855146862092077</v>
      </c>
      <c r="FI10" s="62">
        <f t="shared" si="23"/>
        <v>230.97932779782832</v>
      </c>
      <c r="FJ10" s="62">
        <f ca="1">AVERAGE(OFFSET($FI$3,0,0,'Données projet'!$E$16+1,1))-AVERAGE(OFFSET($H$3,0,0,'Données projet'!$E$16+1,1))</f>
        <v>207.66160354686221</v>
      </c>
      <c r="FK10" s="62">
        <f t="shared" si="48"/>
        <v>260.45879589483525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projet'!$B$16,Paramètres!$A$1:$I$88,3,0)*0.475*44/12</f>
        <v>0</v>
      </c>
      <c r="FR10" s="23">
        <f>EXP(-LN(2)/25)*FR9+(1-EXP(-LN(2)/25))/(LN(2)/25)*Calculateur!FM10*Calculateur!FO10*VLOOKUP('Données projet'!$B$16,Paramètres!$A$1:$I$88,3,0)*0.475*44/12</f>
        <v>0</v>
      </c>
      <c r="FS10" s="23">
        <f>EXP(-LN(2)/2)*FS9+(1-EXP(-LN(2)/2))/(LN(2)/2)*FM10*FP10*VLOOKUP('Données projet'!$B$16,Paramètres!$A$1:$I$88,3,0)*0.475*44/12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12.458333333333334</v>
      </c>
      <c r="N11" s="14">
        <f>IF('Données projet'!$A$36&gt;35,N10+M11-V10,IF(A11&lt;'Données projet'!$A$36,$K$205^A11,IF(A11='Données projet'!$A$36,'Données projet'!$B$36,N10+M11-V10)))</f>
        <v>6.6868830769886571</v>
      </c>
      <c r="O11" s="14">
        <f>N11*VLOOKUP('Données projet'!$B$9,Paramètres!$A$1:$I$88,3,0)*VLOOKUP('Données projet'!$B$9,Paramètres!$A$1:$I$88,5,0)</f>
        <v>3.7379676400366595</v>
      </c>
      <c r="P11" s="14">
        <f t="shared" si="33"/>
        <v>1.4775181538916971</v>
      </c>
      <c r="Q11" s="22">
        <f t="shared" si="2"/>
        <v>9.0836377577585541</v>
      </c>
      <c r="R11" s="62">
        <f t="shared" si="0"/>
        <v>195.83691062397912</v>
      </c>
      <c r="S11" s="62">
        <f ca="1">AVERAGE(OFFSET($R$3,0,0,'Données projet'!$E$9+1,1))-AVERAGE(OFFSET($H$3,0,0,'Données projet'!$E$9+1,1))</f>
        <v>378.13552372917843</v>
      </c>
      <c r="T11" s="62">
        <f t="shared" si="34"/>
        <v>528.97123645404952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3.2758620689655173</v>
      </c>
      <c r="AI11" s="14">
        <f>IF('Données projet'!$A$62&gt;35,AI10+AH11-AQ10,IF(A11&lt;'Données projet'!$A$62,$AF$205^A11,IF(A11='Données projet'!$A$62,'Données projet'!$B$62,AI10+AH11-AQ10)))</f>
        <v>3.5121974690097248</v>
      </c>
      <c r="AJ11" s="14">
        <f>AI11*VLOOKUP('Données projet'!$B$10,Paramètres!$A$1:$I$88,3,0)*VLOOKUP('Données projet'!$B$10,Paramètres!$A$1:$I$88,5,0)</f>
        <v>3.1778362699599993</v>
      </c>
      <c r="AK11" s="14">
        <f t="shared" si="35"/>
        <v>1.2800751706607447</v>
      </c>
      <c r="AL11" s="22">
        <f t="shared" si="4"/>
        <v>7.7641957590811304</v>
      </c>
      <c r="AM11" s="62">
        <f t="shared" si="5"/>
        <v>194.51746862530169</v>
      </c>
      <c r="AN11" s="62">
        <f ca="1">AVERAGE(OFFSET($AM$3,0,0,'Données projet'!$E$10+1,1))-AVERAGE(OFFSET($H$3,0,0,'Données projet'!$E$10+1,1))</f>
        <v>536.3707066106856</v>
      </c>
      <c r="AO11" s="62">
        <f t="shared" si="36"/>
        <v>217.6280015974086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2.9666666666666668</v>
      </c>
      <c r="BD11" s="13">
        <f>IF('Données projet'!$A$88&gt;35,BD10+BC11-BL10,IF(A11&lt;'Données projet'!$A$88,$BA$205^A11,IF(A11='Données projet'!$A$88,'Données projet'!$B$88,BD10+BC11-BL10)))</f>
        <v>10.821812341128419</v>
      </c>
      <c r="BE11" s="14">
        <f>BD11*VLOOKUP('Données projet'!$B$11,Paramètres!$A$1:$I$88,3,0)*VLOOKUP('Données projet'!$B$11,Paramètres!$A$1:$I$88,5,0)</f>
        <v>6.4714437799947948</v>
      </c>
      <c r="BF11" s="14">
        <f t="shared" si="37"/>
        <v>2.3996765627619849</v>
      </c>
      <c r="BG11" s="22">
        <f t="shared" si="7"/>
        <v>15.450534596968057</v>
      </c>
      <c r="BH11" s="62">
        <f t="shared" si="8"/>
        <v>202.20380746318861</v>
      </c>
      <c r="BI11" s="62">
        <f ca="1">AVERAGE(OFFSET($BH$3,0,0,'Données projet'!$E$11+1,1))-AVERAGE(OFFSET($H$3,0,0,'Données projet'!$E$11+1,1))</f>
        <v>248.66193174773525</v>
      </c>
      <c r="BJ11" s="62">
        <f t="shared" si="38"/>
        <v>249.61655682981151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6.4</v>
      </c>
      <c r="BY11" s="13">
        <f>IF('Données projet'!$A$114&gt;35,BY10+BX11-CG10,IF(A11&lt;'Données projet'!$A$114,$BV$205^A11,IF(A11='Données projet'!$A$114,'Données projet'!$B$114,BY10+BX11-CG10)))</f>
        <v>11.408047591737819</v>
      </c>
      <c r="BZ11" s="14">
        <f>BY11*VLOOKUP('Données projet'!$B$12,Paramètres!$A$1:$I$88,3,0)*VLOOKUP('Données projet'!$B$12,Paramètres!$A$1:$I$88,5,0)</f>
        <v>4.5974431794703419</v>
      </c>
      <c r="CA11" s="14">
        <f t="shared" si="39"/>
        <v>1.7739914803203072</v>
      </c>
      <c r="CB11" s="22">
        <f t="shared" si="10"/>
        <v>11.096915365802047</v>
      </c>
      <c r="CC11" s="62">
        <f t="shared" si="11"/>
        <v>197.85018823202262</v>
      </c>
      <c r="CD11" s="62">
        <f ca="1">AVERAGE(OFFSET($CC$3,0,0,'Données projet'!$E$12+1,1))-AVERAGE(OFFSET($H$3,0,0,'Données projet'!$E$12+1,1))</f>
        <v>432.59662347701629</v>
      </c>
      <c r="CE11" s="62">
        <f t="shared" si="40"/>
        <v>348.67401091099748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6.666666666666667</v>
      </c>
      <c r="CT11" s="13">
        <f>IF('Données projet'!$A$140&gt;35,CT10+CS11-DB10,IF(A11&lt;'Données projet'!$A$140,$CQ$205^A11,IF(A11='Données projet'!$A$140,'Données projet'!$B$140,CT10+CS11-DB10)))</f>
        <v>11.659144011798327</v>
      </c>
      <c r="CU11" s="18">
        <f>CT11*VLOOKUP('Données projet'!$B$13,Paramètres!$A$1:$I$88,3,0)*VLOOKUP('Données projet'!$B$13,Paramètres!$A$1:$I$88,5,0)</f>
        <v>5.153341653214861</v>
      </c>
      <c r="CV11" s="14">
        <f t="shared" si="41"/>
        <v>1.9622477904775792</v>
      </c>
      <c r="CW11" s="22">
        <f t="shared" si="13"/>
        <v>12.392984947764333</v>
      </c>
      <c r="CX11" s="62">
        <f t="shared" si="14"/>
        <v>199.1462578139849</v>
      </c>
      <c r="CY11" s="62">
        <f ca="1">AVERAGE(OFFSET($CX$3,0,0,'Données projet'!$E$13+1,1))-AVERAGE(OFFSET($H$3,0,0,'Données projet'!$E$13+1,1))</f>
        <v>582.26951914082088</v>
      </c>
      <c r="CZ11" s="62">
        <f t="shared" si="42"/>
        <v>434.80429932654715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6.0588235294117645</v>
      </c>
      <c r="DO11" s="13">
        <f>IF('Données projet'!$A$166&gt;35,DO10+DN11-DW10,IF(A11&lt;'Données projet'!$A$166,$DL$205^A11,IF(A11='Données projet'!$A$166,'Données projet'!$B$166,DO10+DN11-DW10)))</f>
        <v>8.8555903329626044</v>
      </c>
      <c r="DP11" s="18">
        <f>DO11*VLOOKUP('Données projet'!$B$14,Paramètres!$A$1:$I$88,3,0)*VLOOKUP('Données projet'!$B$14,Paramètres!$A$1:$I$88,5,0)</f>
        <v>4.2595389501550125</v>
      </c>
      <c r="DQ11" s="14">
        <f t="shared" si="43"/>
        <v>1.6582761432844035</v>
      </c>
      <c r="DR11" s="22">
        <f t="shared" si="16"/>
        <v>10.306861287740317</v>
      </c>
      <c r="DS11" s="62">
        <f t="shared" si="17"/>
        <v>197.06013415396086</v>
      </c>
      <c r="DT11" s="62">
        <f ca="1">AVERAGE(OFFSET($DS$3,0,0,'Données projet'!$E$14+1,1))-AVERAGE(OFFSET($H$3,0,0,'Données projet'!$E$14+1,1))</f>
        <v>273.24375559399846</v>
      </c>
      <c r="DU11" s="62">
        <f t="shared" si="44"/>
        <v>270.77718895097848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projet'!$B$14,Paramètres!$A$1:$I$88,3,0)*0.475*44/12</f>
        <v>0</v>
      </c>
      <c r="EB11" s="23">
        <f>EXP(-LN(2)/25)*EB10+(1-EXP(-LN(2)/25))/(LN(2)/25)*Calculateur!DW11*Calculateur!DY11*VLOOKUP('Données projet'!$B$14,Paramètres!$A$1:$I$88,3,0)*0.475*44/12</f>
        <v>0</v>
      </c>
      <c r="EC11" s="23">
        <f>EXP(-LN(2)/2)*EC10+(1-EXP(-LN(2)/2))/(LN(2)/2)*DW11*DZ11*VLOOKUP('Données projet'!$B$14,Paramètres!$A$1:$I$88,3,0)*0.475*44/12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6.0588235294117645</v>
      </c>
      <c r="EJ11" s="13">
        <f>IF('Données projet'!$A$192&gt;35,EJ10+EI11-ER10,IF(A11&lt;'Données projet'!$A$192,$EG$205^A11,IF(A11='Données projet'!$A$192,'Données projet'!$B$192,EJ10+EI11-ER10)))</f>
        <v>8.8555903329626044</v>
      </c>
      <c r="EK11" s="18">
        <f>EJ11*VLOOKUP('Données projet'!$B$15,Paramètres!$A$1:$I$88,3,0)*VLOOKUP('Données projet'!$B$15,Paramètres!$A$1:$I$88,5,0)</f>
        <v>4.1444162758264991</v>
      </c>
      <c r="EL11" s="14">
        <f t="shared" si="45"/>
        <v>1.6186117886531521</v>
      </c>
      <c r="EM11" s="22">
        <f t="shared" si="19"/>
        <v>10.037273878968724</v>
      </c>
      <c r="EN11" s="62">
        <f t="shared" si="20"/>
        <v>196.79054674518929</v>
      </c>
      <c r="EO11" s="62">
        <f ca="1">AVERAGE(OFFSET($EN$3,0,0,'Données projet'!$E$15+1,1))-AVERAGE(OFFSET($H$3,0,0,'Données projet'!$E$15+1,1))</f>
        <v>267.26203506406682</v>
      </c>
      <c r="EP11" s="62">
        <f t="shared" si="46"/>
        <v>265.10857635664843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projet'!$B$15,Paramètres!$A$1:$I$88,3,0)*0.475*44/12</f>
        <v>0</v>
      </c>
      <c r="EW11" s="23">
        <f>EXP(-LN(2)/25)*EW10+(1-EXP(-LN(2)/25))/(LN(2)/25)*Calculateur!ER11*Calculateur!ET11*VLOOKUP('Données projet'!$B$15,Paramètres!$A$1:$I$88,3,0)*0.475*44/12</f>
        <v>0</v>
      </c>
      <c r="EX11" s="23">
        <f>EXP(-LN(2)/2)*EX10+(1-EXP(-LN(2)/2))/(LN(2)/2)*ER11*EU11*VLOOKUP('Données projet'!$B$15,Paramètres!$A$1:$I$88,3,0)*0.475*44/12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11.5</v>
      </c>
      <c r="FE11" s="13">
        <f>IF('Données projet'!$A$218&gt;35,FE10+FD11-FM10,IF(A11&lt;'Données projet'!$A$218,$FB$205^A11,IF(A11='Données projet'!$A$218,'Données projet'!$B$218,FE10+FD11-FM10)))</f>
        <v>44.520319489276915</v>
      </c>
      <c r="FF11" s="18">
        <f>FE11*VLOOKUP('Données projet'!$B$16,Paramètres!$A$1:$I$88,3,0)*VLOOKUP('Données projet'!$B$16,Paramètres!$A$1:$I$88,5,0)</f>
        <v>32.642298249537831</v>
      </c>
      <c r="FG11" s="14">
        <f t="shared" si="47"/>
        <v>10.026023463420534</v>
      </c>
      <c r="FH11" s="22">
        <f t="shared" si="22"/>
        <v>74.31399365006915</v>
      </c>
      <c r="FI11" s="62">
        <f t="shared" si="23"/>
        <v>261.06726651628969</v>
      </c>
      <c r="FJ11" s="62">
        <f ca="1">AVERAGE(OFFSET($FI$3,0,0,'Données projet'!$E$16+1,1))-AVERAGE(OFFSET($H$3,0,0,'Données projet'!$E$16+1,1))</f>
        <v>207.66160354686221</v>
      </c>
      <c r="FK11" s="62">
        <f t="shared" si="48"/>
        <v>260.45879589483525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projet'!$B$16,Paramètres!$A$1:$I$88,3,0)*0.475*44/12</f>
        <v>0</v>
      </c>
      <c r="FR11" s="23">
        <f>EXP(-LN(2)/25)*FR10+(1-EXP(-LN(2)/25))/(LN(2)/25)*Calculateur!FM11*Calculateur!FO11*VLOOKUP('Données projet'!$B$16,Paramètres!$A$1:$I$88,3,0)*0.475*44/12</f>
        <v>0</v>
      </c>
      <c r="FS11" s="23">
        <f>EXP(-LN(2)/2)*FS10+(1-EXP(-LN(2)/2))/(LN(2)/2)*FM11*FP11*VLOOKUP('Données projet'!$B$16,Paramètres!$A$1:$I$88,3,0)*0.475*44/12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12.458333333333334</v>
      </c>
      <c r="N12" s="14">
        <f>IF('Données projet'!$A$36&gt;35,N11+M12-V11,IF(A12&lt;'Données projet'!$A$36,$K$205^A12,IF(A12='Données projet'!$A$36,'Données projet'!$B$36,N11+M12-V11)))</f>
        <v>8.4796259572955943</v>
      </c>
      <c r="O12" s="14">
        <f>N12*VLOOKUP('Données projet'!$B$9,Paramètres!$A$1:$I$88,3,0)*VLOOKUP('Données projet'!$B$9,Paramètres!$A$1:$I$88,5,0)</f>
        <v>4.7401109101282373</v>
      </c>
      <c r="P12" s="14">
        <f t="shared" si="33"/>
        <v>1.8225472090358861</v>
      </c>
      <c r="Q12" s="22">
        <f t="shared" si="2"/>
        <v>11.429962890877514</v>
      </c>
      <c r="R12" s="62">
        <f t="shared" si="0"/>
        <v>200.78792164343358</v>
      </c>
      <c r="S12" s="62">
        <f ca="1">AVERAGE(OFFSET($R$3,0,0,'Données projet'!$E$9+1,1))-AVERAGE(OFFSET($H$3,0,0,'Données projet'!$E$9+1,1))</f>
        <v>378.13552372917843</v>
      </c>
      <c r="T12" s="62">
        <f t="shared" si="34"/>
        <v>528.97123645404952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3.2758620689655173</v>
      </c>
      <c r="AI12" s="14">
        <f>IF('Données projet'!$A$62&gt;35,AI11+AH12-AQ11,IF(A12&lt;'Données projet'!$A$62,$AF$205^A12,IF(A12='Données projet'!$A$62,'Données projet'!$B$62,AI11+AH12-AQ11)))</f>
        <v>4.1093798899721339</v>
      </c>
      <c r="AJ12" s="14">
        <f>AI12*VLOOKUP('Données projet'!$B$10,Paramètres!$A$1:$I$88,3,0)*VLOOKUP('Données projet'!$B$10,Paramètres!$A$1:$I$88,5,0)</f>
        <v>3.7181669244467863</v>
      </c>
      <c r="AK12" s="14">
        <f t="shared" si="35"/>
        <v>1.4706003536584886</v>
      </c>
      <c r="AL12" s="22">
        <f t="shared" si="4"/>
        <v>9.0371030093666871</v>
      </c>
      <c r="AM12" s="62">
        <f t="shared" si="5"/>
        <v>198.39506176192276</v>
      </c>
      <c r="AN12" s="62">
        <f ca="1">AVERAGE(OFFSET($AM$3,0,0,'Données projet'!$E$10+1,1))-AVERAGE(OFFSET($H$3,0,0,'Données projet'!$E$10+1,1))</f>
        <v>536.3707066106856</v>
      </c>
      <c r="AO12" s="62">
        <f t="shared" si="36"/>
        <v>217.6280015974086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2.9666666666666668</v>
      </c>
      <c r="BD12" s="13">
        <f>IF('Données projet'!$A$88&gt;35,BD11+BC12-BL11,IF(A12&lt;'Données projet'!$A$88,$BA$205^A12,IF(A12='Données projet'!$A$88,'Données projet'!$B$88,BD11+BC12-BL11)))</f>
        <v>14.574293073631752</v>
      </c>
      <c r="BE12" s="14">
        <f>BD12*VLOOKUP('Données projet'!$B$11,Paramètres!$A$1:$I$88,3,0)*VLOOKUP('Données projet'!$B$11,Paramètres!$A$1:$I$88,5,0)</f>
        <v>8.715427258031788</v>
      </c>
      <c r="BF12" s="14">
        <f t="shared" si="37"/>
        <v>3.1216998584718731</v>
      </c>
      <c r="BG12" s="22">
        <f t="shared" si="7"/>
        <v>20.616329727910539</v>
      </c>
      <c r="BH12" s="62">
        <f t="shared" si="8"/>
        <v>209.97428848046661</v>
      </c>
      <c r="BI12" s="62">
        <f ca="1">AVERAGE(OFFSET($BH$3,0,0,'Données projet'!$E$11+1,1))-AVERAGE(OFFSET($H$3,0,0,'Données projet'!$E$11+1,1))</f>
        <v>248.66193174773525</v>
      </c>
      <c r="BJ12" s="62">
        <f t="shared" si="38"/>
        <v>249.61655682981151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6.4</v>
      </c>
      <c r="BY12" s="13">
        <f>IF('Données projet'!$A$114&gt;35,BY11+BX12-CG11,IF(A12&lt;'Données projet'!$A$114,$BV$205^A12,IF(A12='Données projet'!$A$114,'Données projet'!$B$114,BY11+BX12-CG11)))</f>
        <v>15.465456359454103</v>
      </c>
      <c r="BZ12" s="14">
        <f>BY12*VLOOKUP('Données projet'!$B$12,Paramètres!$A$1:$I$88,3,0)*VLOOKUP('Données projet'!$B$12,Paramètres!$A$1:$I$88,5,0)</f>
        <v>6.2325789128600038</v>
      </c>
      <c r="CA12" s="14">
        <f t="shared" si="39"/>
        <v>2.3212425374979855</v>
      </c>
      <c r="CB12" s="22">
        <f t="shared" si="10"/>
        <v>14.89790569270683</v>
      </c>
      <c r="CC12" s="62">
        <f t="shared" si="11"/>
        <v>204.25586444526292</v>
      </c>
      <c r="CD12" s="62">
        <f ca="1">AVERAGE(OFFSET($CC$3,0,0,'Données projet'!$E$12+1,1))-AVERAGE(OFFSET($H$3,0,0,'Données projet'!$E$12+1,1))</f>
        <v>432.59662347701629</v>
      </c>
      <c r="CE12" s="62">
        <f t="shared" si="40"/>
        <v>348.67401091099748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6.666666666666667</v>
      </c>
      <c r="CT12" s="13">
        <f>IF('Données projet'!$A$140&gt;35,CT11+CS12-DB11,IF(A12&lt;'Données projet'!$A$140,$CQ$205^A12,IF(A12='Données projet'!$A$140,'Données projet'!$B$140,CT11+CS12-DB11)))</f>
        <v>15.848931924611151</v>
      </c>
      <c r="CU12" s="18">
        <f>CT12*VLOOKUP('Données projet'!$B$13,Paramètres!$A$1:$I$88,3,0)*VLOOKUP('Données projet'!$B$13,Paramètres!$A$1:$I$88,5,0)</f>
        <v>7.005227910678129</v>
      </c>
      <c r="CV12" s="14">
        <f t="shared" si="41"/>
        <v>2.5737548740149112</v>
      </c>
      <c r="CW12" s="22">
        <f t="shared" si="13"/>
        <v>16.68339501667371</v>
      </c>
      <c r="CX12" s="62">
        <f t="shared" si="14"/>
        <v>206.04135376922977</v>
      </c>
      <c r="CY12" s="62">
        <f ca="1">AVERAGE(OFFSET($CX$3,0,0,'Données projet'!$E$13+1,1))-AVERAGE(OFFSET($H$3,0,0,'Données projet'!$E$13+1,1))</f>
        <v>582.26951914082088</v>
      </c>
      <c r="CZ12" s="62">
        <f t="shared" si="42"/>
        <v>434.80429932654715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6.0588235294117645</v>
      </c>
      <c r="DO12" s="13">
        <f>IF('Données projet'!$A$166&gt;35,DO11+DN12-DW11,IF(A12&lt;'Données projet'!$A$166,$DL$205^A12,IF(A12='Données projet'!$A$166,'Données projet'!$B$166,DO11+DN12-DW11)))</f>
        <v>11.631071010208064</v>
      </c>
      <c r="DP12" s="18">
        <f>DO12*VLOOKUP('Données projet'!$B$14,Paramètres!$A$1:$I$88,3,0)*VLOOKUP('Données projet'!$B$14,Paramètres!$A$1:$I$88,5,0)</f>
        <v>5.5945451559100787</v>
      </c>
      <c r="DQ12" s="14">
        <f t="shared" si="43"/>
        <v>2.1099736301006886</v>
      </c>
      <c r="DR12" s="22">
        <f t="shared" si="16"/>
        <v>13.418703552302086</v>
      </c>
      <c r="DS12" s="62">
        <f t="shared" si="17"/>
        <v>202.77666230485815</v>
      </c>
      <c r="DT12" s="62">
        <f ca="1">AVERAGE(OFFSET($DS$3,0,0,'Données projet'!$E$14+1,1))-AVERAGE(OFFSET($H$3,0,0,'Données projet'!$E$14+1,1))</f>
        <v>273.24375559399846</v>
      </c>
      <c r="DU12" s="62">
        <f t="shared" si="44"/>
        <v>270.77718895097848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projet'!$B$14,Paramètres!$A$1:$I$88,3,0)*0.475*44/12</f>
        <v>0</v>
      </c>
      <c r="EB12" s="23">
        <f>EXP(-LN(2)/25)*EB11+(1-EXP(-LN(2)/25))/(LN(2)/25)*Calculateur!DW12*Calculateur!DY12*VLOOKUP('Données projet'!$B$14,Paramètres!$A$1:$I$88,3,0)*0.475*44/12</f>
        <v>0</v>
      </c>
      <c r="EC12" s="23">
        <f>EXP(-LN(2)/2)*EC11+(1-EXP(-LN(2)/2))/(LN(2)/2)*DW12*DZ12*VLOOKUP('Données projet'!$B$14,Paramètres!$A$1:$I$88,3,0)*0.475*44/12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6.0588235294117645</v>
      </c>
      <c r="EJ12" s="13">
        <f>IF('Données projet'!$A$192&gt;35,EJ11+EI12-ER11,IF(A12&lt;'Données projet'!$A$192,$EG$205^A12,IF(A12='Données projet'!$A$192,'Données projet'!$B$192,EJ11+EI12-ER11)))</f>
        <v>11.631071010208064</v>
      </c>
      <c r="EK12" s="18">
        <f>EJ12*VLOOKUP('Données projet'!$B$15,Paramètres!$A$1:$I$88,3,0)*VLOOKUP('Données projet'!$B$15,Paramètres!$A$1:$I$88,5,0)</f>
        <v>5.4433412327773736</v>
      </c>
      <c r="EL12" s="14">
        <f t="shared" si="45"/>
        <v>2.0595051103274118</v>
      </c>
      <c r="EM12" s="22">
        <f t="shared" si="19"/>
        <v>13.0674573809075</v>
      </c>
      <c r="EN12" s="62">
        <f t="shared" si="20"/>
        <v>202.42541613346359</v>
      </c>
      <c r="EO12" s="62">
        <f ca="1">AVERAGE(OFFSET($EN$3,0,0,'Données projet'!$E$15+1,1))-AVERAGE(OFFSET($H$3,0,0,'Données projet'!$E$15+1,1))</f>
        <v>267.26203506406682</v>
      </c>
      <c r="EP12" s="62">
        <f t="shared" si="46"/>
        <v>265.10857635664843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projet'!$B$15,Paramètres!$A$1:$I$88,3,0)*0.475*44/12</f>
        <v>0</v>
      </c>
      <c r="EW12" s="23">
        <f>EXP(-LN(2)/25)*EW11+(1-EXP(-LN(2)/25))/(LN(2)/25)*Calculateur!ER12*Calculateur!ET12*VLOOKUP('Données projet'!$B$15,Paramètres!$A$1:$I$88,3,0)*0.475*44/12</f>
        <v>0</v>
      </c>
      <c r="EX12" s="23">
        <f>EXP(-LN(2)/2)*EX11+(1-EXP(-LN(2)/2))/(LN(2)/2)*ER12*EU12*VLOOKUP('Données projet'!$B$15,Paramètres!$A$1:$I$88,3,0)*0.475*44/12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11.5</v>
      </c>
      <c r="FE12" s="13">
        <f>IF('Données projet'!$A$218&gt;35,FE11+FD12-FM11,IF(A12&lt;'Données projet'!$A$218,$FB$205^A12,IF(A12='Données projet'!$A$218,'Données projet'!$B$218,FE11+FD12-FM11)))</f>
        <v>71.553034465820133</v>
      </c>
      <c r="FF12" s="18">
        <f>FE12*VLOOKUP('Données projet'!$B$16,Paramètres!$A$1:$I$88,3,0)*VLOOKUP('Données projet'!$B$16,Paramètres!$A$1:$I$88,5,0)</f>
        <v>52.462684870339316</v>
      </c>
      <c r="FG12" s="14">
        <f t="shared" si="47"/>
        <v>15.247968208658939</v>
      </c>
      <c r="FH12" s="22">
        <f t="shared" si="22"/>
        <v>117.92938744592196</v>
      </c>
      <c r="FI12" s="62">
        <f t="shared" si="23"/>
        <v>307.28734619847802</v>
      </c>
      <c r="FJ12" s="62">
        <f ca="1">AVERAGE(OFFSET($FI$3,0,0,'Données projet'!$E$16+1,1))-AVERAGE(OFFSET($H$3,0,0,'Données projet'!$E$16+1,1))</f>
        <v>207.66160354686221</v>
      </c>
      <c r="FK12" s="62">
        <f t="shared" si="48"/>
        <v>260.45879589483525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projet'!$B$16,Paramètres!$A$1:$I$88,3,0)*0.475*44/12</f>
        <v>0</v>
      </c>
      <c r="FR12" s="23">
        <f>EXP(-LN(2)/25)*FR11+(1-EXP(-LN(2)/25))/(LN(2)/25)*Calculateur!FM12*Calculateur!FO12*VLOOKUP('Données projet'!$B$16,Paramètres!$A$1:$I$88,3,0)*0.475*44/12</f>
        <v>0</v>
      </c>
      <c r="FS12" s="23">
        <f>EXP(-LN(2)/2)*FS11+(1-EXP(-LN(2)/2))/(LN(2)/2)*FM12*FP12*VLOOKUP('Données projet'!$B$16,Paramètres!$A$1:$I$88,3,0)*0.475*44/12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12.458333333333334</v>
      </c>
      <c r="N13" s="14">
        <f>IF('Données projet'!$A$36&gt;35,N12+M13-V12,IF(A13&lt;'Données projet'!$A$36,$K$205^A13,IF(A13='Données projet'!$A$36,'Données projet'!$B$36,N12+M13-V12)))</f>
        <v>10.753000396116125</v>
      </c>
      <c r="O13" s="14">
        <f>N13*VLOOKUP('Données projet'!$B$9,Paramètres!$A$1:$I$88,3,0)*VLOOKUP('Données projet'!$B$9,Paramètres!$A$1:$I$88,5,0)</f>
        <v>6.010927221428914</v>
      </c>
      <c r="P13" s="14">
        <f t="shared" si="33"/>
        <v>2.248147219318688</v>
      </c>
      <c r="Q13" s="22">
        <f t="shared" si="2"/>
        <v>14.384554650968738</v>
      </c>
      <c r="R13" s="62">
        <f t="shared" si="0"/>
        <v>206.32321663601363</v>
      </c>
      <c r="S13" s="62">
        <f ca="1">AVERAGE(OFFSET($R$3,0,0,'Données projet'!$E$9+1,1))-AVERAGE(OFFSET($H$3,0,0,'Données projet'!$E$9+1,1))</f>
        <v>378.13552372917843</v>
      </c>
      <c r="T13" s="62">
        <f t="shared" si="34"/>
        <v>528.97123645404952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3.2758620689655173</v>
      </c>
      <c r="AI13" s="14">
        <f>IF('Données projet'!$A$62&gt;35,AI12+AH13-AQ12,IF(A13&lt;'Données projet'!$A$62,$AF$205^A13,IF(A13='Données projet'!$A$62,'Données projet'!$B$62,AI12+AH13-AQ12)))</f>
        <v>4.8081018305809353</v>
      </c>
      <c r="AJ13" s="14">
        <f>AI13*VLOOKUP('Données projet'!$B$10,Paramètres!$A$1:$I$88,3,0)*VLOOKUP('Données projet'!$B$10,Paramètres!$A$1:$I$88,5,0)</f>
        <v>4.3503705363096303</v>
      </c>
      <c r="AK13" s="14">
        <f t="shared" si="35"/>
        <v>1.68948312548251</v>
      </c>
      <c r="AL13" s="22">
        <f t="shared" si="4"/>
        <v>10.519411794287977</v>
      </c>
      <c r="AM13" s="62">
        <f t="shared" si="5"/>
        <v>202.45807377933286</v>
      </c>
      <c r="AN13" s="62">
        <f ca="1">AVERAGE(OFFSET($AM$3,0,0,'Données projet'!$E$10+1,1))-AVERAGE(OFFSET($H$3,0,0,'Données projet'!$E$10+1,1))</f>
        <v>536.3707066106856</v>
      </c>
      <c r="AO13" s="62">
        <f t="shared" si="36"/>
        <v>217.6280015974086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2.9666666666666668</v>
      </c>
      <c r="BD13" s="13">
        <f>IF('Données projet'!$A$88&gt;35,BD12+BC13-BL12,IF(A13&lt;'Données projet'!$A$88,$BA$205^A13,IF(A13='Données projet'!$A$88,'Données projet'!$B$88,BD12+BC13-BL12)))</f>
        <v>19.627952500048792</v>
      </c>
      <c r="BE13" s="14">
        <f>BD13*VLOOKUP('Données projet'!$B$11,Paramètres!$A$1:$I$88,3,0)*VLOOKUP('Données projet'!$B$11,Paramètres!$A$1:$I$88,5,0)</f>
        <v>11.73751559502918</v>
      </c>
      <c r="BF13" s="14">
        <f t="shared" si="37"/>
        <v>4.0609681144558003</v>
      </c>
      <c r="BG13" s="22">
        <f t="shared" si="7"/>
        <v>27.515692460686338</v>
      </c>
      <c r="BH13" s="62">
        <f t="shared" si="8"/>
        <v>219.45435444573121</v>
      </c>
      <c r="BI13" s="62">
        <f ca="1">AVERAGE(OFFSET($BH$3,0,0,'Données projet'!$E$11+1,1))-AVERAGE(OFFSET($H$3,0,0,'Données projet'!$E$11+1,1))</f>
        <v>248.66193174773525</v>
      </c>
      <c r="BJ13" s="62">
        <f t="shared" si="38"/>
        <v>249.61655682981151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6.4</v>
      </c>
      <c r="BY13" s="13">
        <f>IF('Données projet'!$A$114&gt;35,BY12+BX13-CG12,IF(A13&lt;'Données projet'!$A$114,$BV$205^A13,IF(A13='Données projet'!$A$114,'Données projet'!$B$114,BY12+BX13-CG12)))</f>
        <v>20.965931153671175</v>
      </c>
      <c r="BZ13" s="14">
        <f>BY13*VLOOKUP('Données projet'!$B$12,Paramètres!$A$1:$I$88,3,0)*VLOOKUP('Données projet'!$B$12,Paramètres!$A$1:$I$88,5,0)</f>
        <v>8.449270254929484</v>
      </c>
      <c r="CA13" s="14">
        <f t="shared" si="39"/>
        <v>3.0373127366526087</v>
      </c>
      <c r="CB13" s="22">
        <f t="shared" si="10"/>
        <v>20.005798710338812</v>
      </c>
      <c r="CC13" s="62">
        <f t="shared" si="11"/>
        <v>211.9444606953837</v>
      </c>
      <c r="CD13" s="62">
        <f ca="1">AVERAGE(OFFSET($CC$3,0,0,'Données projet'!$E$12+1,1))-AVERAGE(OFFSET($H$3,0,0,'Données projet'!$E$12+1,1))</f>
        <v>432.59662347701629</v>
      </c>
      <c r="CE13" s="62">
        <f t="shared" si="40"/>
        <v>348.67401091099748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6.666666666666667</v>
      </c>
      <c r="CT13" s="13">
        <f>IF('Données projet'!$A$140&gt;35,CT12+CS13-DB12,IF(A13&lt;'Données projet'!$A$140,$CQ$205^A13,IF(A13='Données projet'!$A$140,'Données projet'!$B$140,CT12+CS13-DB12)))</f>
        <v>21.54434690031886</v>
      </c>
      <c r="CU13" s="18">
        <f>CT13*VLOOKUP('Données projet'!$B$13,Paramètres!$A$1:$I$88,3,0)*VLOOKUP('Données projet'!$B$13,Paramètres!$A$1:$I$88,5,0)</f>
        <v>9.5226013299409367</v>
      </c>
      <c r="CV13" s="14">
        <f t="shared" si="41"/>
        <v>3.3758295887306295</v>
      </c>
      <c r="CW13" s="22">
        <f t="shared" si="13"/>
        <v>22.464767183352976</v>
      </c>
      <c r="CX13" s="62">
        <f t="shared" si="14"/>
        <v>214.40342916839785</v>
      </c>
      <c r="CY13" s="62">
        <f ca="1">AVERAGE(OFFSET($CX$3,0,0,'Données projet'!$E$13+1,1))-AVERAGE(OFFSET($H$3,0,0,'Données projet'!$E$13+1,1))</f>
        <v>582.26951914082088</v>
      </c>
      <c r="CZ13" s="62">
        <f t="shared" si="42"/>
        <v>434.80429932654715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6.0588235294117645</v>
      </c>
      <c r="DO13" s="13">
        <f>IF('Données projet'!$A$166&gt;35,DO12+DN13-DW12,IF(A13&lt;'Données projet'!$A$166,$DL$205^A13,IF(A13='Données projet'!$A$166,'Données projet'!$B$166,DO12+DN13-DW12)))</f>
        <v>15.276430792078479</v>
      </c>
      <c r="DP13" s="18">
        <f>DO13*VLOOKUP('Données projet'!$B$14,Paramètres!$A$1:$I$88,3,0)*VLOOKUP('Données projet'!$B$14,Paramètres!$A$1:$I$88,5,0)</f>
        <v>7.3479632109897484</v>
      </c>
      <c r="DQ13" s="14">
        <f t="shared" si="43"/>
        <v>2.6847088995097108</v>
      </c>
      <c r="DR13" s="22">
        <f t="shared" si="16"/>
        <v>17.473570592453221</v>
      </c>
      <c r="DS13" s="62">
        <f t="shared" si="17"/>
        <v>209.41223257749812</v>
      </c>
      <c r="DT13" s="62">
        <f ca="1">AVERAGE(OFFSET($DS$3,0,0,'Données projet'!$E$14+1,1))-AVERAGE(OFFSET($H$3,0,0,'Données projet'!$E$14+1,1))</f>
        <v>273.24375559399846</v>
      </c>
      <c r="DU13" s="62">
        <f t="shared" si="44"/>
        <v>270.77718895097848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projet'!$B$14,Paramètres!$A$1:$I$88,3,0)*0.475*44/12</f>
        <v>0</v>
      </c>
      <c r="EB13" s="23">
        <f>EXP(-LN(2)/25)*EB12+(1-EXP(-LN(2)/25))/(LN(2)/25)*Calculateur!DW13*Calculateur!DY13*VLOOKUP('Données projet'!$B$14,Paramètres!$A$1:$I$88,3,0)*0.475*44/12</f>
        <v>0</v>
      </c>
      <c r="EC13" s="23">
        <f>EXP(-LN(2)/2)*EC12+(1-EXP(-LN(2)/2))/(LN(2)/2)*DW13*DZ13*VLOOKUP('Données projet'!$B$14,Paramètres!$A$1:$I$88,3,0)*0.475*44/12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6.0588235294117645</v>
      </c>
      <c r="EJ13" s="13">
        <f>IF('Données projet'!$A$192&gt;35,EJ12+EI13-ER12,IF(A13&lt;'Données projet'!$A$192,$EG$205^A13,IF(A13='Données projet'!$A$192,'Données projet'!$B$192,EJ12+EI13-ER12)))</f>
        <v>15.276430792078479</v>
      </c>
      <c r="EK13" s="18">
        <f>EJ13*VLOOKUP('Données projet'!$B$15,Paramètres!$A$1:$I$88,3,0)*VLOOKUP('Données projet'!$B$15,Paramètres!$A$1:$I$88,5,0)</f>
        <v>7.1493696106927276</v>
      </c>
      <c r="EL13" s="14">
        <f t="shared" si="45"/>
        <v>2.6204932703437986</v>
      </c>
      <c r="EM13" s="22">
        <f t="shared" si="19"/>
        <v>17.015844517805284</v>
      </c>
      <c r="EN13" s="62">
        <f t="shared" si="20"/>
        <v>208.95450650285017</v>
      </c>
      <c r="EO13" s="62">
        <f ca="1">AVERAGE(OFFSET($EN$3,0,0,'Données projet'!$E$15+1,1))-AVERAGE(OFFSET($H$3,0,0,'Données projet'!$E$15+1,1))</f>
        <v>267.26203506406682</v>
      </c>
      <c r="EP13" s="62">
        <f t="shared" si="46"/>
        <v>265.10857635664843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projet'!$B$15,Paramètres!$A$1:$I$88,3,0)*0.475*44/12</f>
        <v>0</v>
      </c>
      <c r="EW13" s="23">
        <f>EXP(-LN(2)/25)*EW12+(1-EXP(-LN(2)/25))/(LN(2)/25)*Calculateur!ER13*Calculateur!ET13*VLOOKUP('Données projet'!$B$15,Paramètres!$A$1:$I$88,3,0)*0.475*44/12</f>
        <v>0</v>
      </c>
      <c r="EX13" s="23">
        <f>EXP(-LN(2)/2)*EX12+(1-EXP(-LN(2)/2))/(LN(2)/2)*ER13*EU13*VLOOKUP('Données projet'!$B$15,Paramètres!$A$1:$I$88,3,0)*0.475*44/12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115</v>
      </c>
      <c r="FC13" s="13">
        <f>VLOOKUP(A13,'Données projet'!$A$217:$I$237,9,0)</f>
        <v>11.5</v>
      </c>
      <c r="FD13" s="13">
        <f t="array" ref="FD13">INDEX(FC:FC,MIN(IF(ISNUMBER(FC13:FC209),ROW(FC13:FC209),"")))</f>
        <v>11.5</v>
      </c>
      <c r="FE13" s="13">
        <f>IF('Données projet'!$A$218&gt;35,FE12+FD13-FM12,IF(A13&lt;'Données projet'!$A$218,$FB$205^A13,IF(A13='Données projet'!$A$218,'Données projet'!$B$218,FE12+FD13-FM12)))</f>
        <v>115</v>
      </c>
      <c r="FF13" s="18">
        <f>FE13*VLOOKUP('Données projet'!$B$16,Paramètres!$A$1:$I$88,3,0)*VLOOKUP('Données projet'!$B$16,Paramètres!$A$1:$I$88,5,0)</f>
        <v>84.317999999999998</v>
      </c>
      <c r="FG13" s="14">
        <f t="shared" si="47"/>
        <v>23.189705803157239</v>
      </c>
      <c r="FH13" s="22">
        <f t="shared" si="22"/>
        <v>187.24258760716552</v>
      </c>
      <c r="FI13" s="62">
        <f t="shared" si="23"/>
        <v>379.18124959221041</v>
      </c>
      <c r="FJ13" s="62">
        <f ca="1">AVERAGE(OFFSET($FI$3,0,0,'Données projet'!$E$16+1,1))-AVERAGE(OFFSET($H$3,0,0,'Données projet'!$E$16+1,1))</f>
        <v>207.66160354686221</v>
      </c>
      <c r="FK13" s="62">
        <f t="shared" si="48"/>
        <v>260.45879589483525</v>
      </c>
      <c r="FL13" s="16">
        <f>IF(ISNA(VLOOKUP(A13,'Données projet'!$A$217:$I$237,3,0)),0,VLOOKUP(A13,'Données projet'!$A$217:$I$237,3,0))</f>
        <v>1</v>
      </c>
      <c r="FM13" s="16">
        <f>IF(ISNA(VLOOKUP(A13,'Données projet'!$A$217:$I$237,4,0)),0,VLOOKUP(A13,'Données projet'!$A$217:$I$237,4,0))</f>
        <v>71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projet'!$B$16,Paramètres!$A$1:$I$88,3,0)*0.475*44/12</f>
        <v>0</v>
      </c>
      <c r="FR13" s="23">
        <f>EXP(-LN(2)/25)*FR12+(1-EXP(-LN(2)/25))/(LN(2)/25)*Calculateur!FM13*Calculateur!FO13*VLOOKUP('Données projet'!$B$16,Paramètres!$A$1:$I$88,3,0)*0.475*44/12</f>
        <v>0</v>
      </c>
      <c r="FS13" s="23">
        <f>EXP(-LN(2)/2)*FS12+(1-EXP(-LN(2)/2))/(LN(2)/2)*FM13*FP13*VLOOKUP('Données projet'!$B$16,Paramètres!$A$1:$I$88,3,0)*0.475*44/12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12.458333333333334</v>
      </c>
      <c r="N14" s="14">
        <f>IF('Données projet'!$A$36&gt;35,N13+M14-V13,IF(A14&lt;'Données projet'!$A$36,$K$205^A14,IF(A14='Données projet'!$A$36,'Données projet'!$B$36,N13+M14-V13)))</f>
        <v>13.635862961548652</v>
      </c>
      <c r="O14" s="14">
        <f>N14*VLOOKUP('Données projet'!$B$9,Paramètres!$A$1:$I$88,3,0)*VLOOKUP('Données projet'!$B$9,Paramètres!$A$1:$I$88,5,0)</f>
        <v>7.6224473955056968</v>
      </c>
      <c r="P14" s="14">
        <f t="shared" si="33"/>
        <v>2.7731330605169702</v>
      </c>
      <c r="Q14" s="22">
        <f t="shared" si="2"/>
        <v>18.105635960906145</v>
      </c>
      <c r="R14" s="62">
        <f t="shared" si="0"/>
        <v>212.60143457002027</v>
      </c>
      <c r="S14" s="62">
        <f ca="1">AVERAGE(OFFSET($R$3,0,0,'Données projet'!$E$9+1,1))-AVERAGE(OFFSET($H$3,0,0,'Données projet'!$E$9+1,1))</f>
        <v>378.13552372917843</v>
      </c>
      <c r="T14" s="62">
        <f t="shared" si="34"/>
        <v>528.97123645404952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3.2758620689655173</v>
      </c>
      <c r="AI14" s="14">
        <f>IF('Données projet'!$A$62&gt;35,AI13+AH14-AQ13,IF(A14&lt;'Données projet'!$A$62,$AF$205^A14,IF(A14='Données projet'!$A$62,'Données projet'!$B$62,AI13+AH14-AQ13)))</f>
        <v>5.6256281561236978</v>
      </c>
      <c r="AJ14" s="14">
        <f>AI14*VLOOKUP('Données projet'!$B$10,Paramètres!$A$1:$I$88,3,0)*VLOOKUP('Données projet'!$B$10,Paramètres!$A$1:$I$88,5,0)</f>
        <v>5.0900683556607218</v>
      </c>
      <c r="AK14" s="14">
        <f t="shared" si="35"/>
        <v>1.9409442029503312</v>
      </c>
      <c r="AL14" s="22">
        <f t="shared" si="4"/>
        <v>12.245680206247583</v>
      </c>
      <c r="AM14" s="62">
        <f t="shared" si="5"/>
        <v>206.74147881536172</v>
      </c>
      <c r="AN14" s="62">
        <f ca="1">AVERAGE(OFFSET($AM$3,0,0,'Données projet'!$E$10+1,1))-AVERAGE(OFFSET($H$3,0,0,'Données projet'!$E$10+1,1))</f>
        <v>536.3707066106856</v>
      </c>
      <c r="AO14" s="62">
        <f t="shared" si="36"/>
        <v>217.6280015974086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2.9666666666666668</v>
      </c>
      <c r="BD14" s="13">
        <f>IF('Données projet'!$A$88&gt;35,BD13+BC14-BL13,IF(A14&lt;'Données projet'!$A$88,$BA$205^A14,IF(A14='Données projet'!$A$88,'Données projet'!$B$88,BD13+BC14-BL13)))</f>
        <v>26.433976412975348</v>
      </c>
      <c r="BE14" s="14">
        <f>BD14*VLOOKUP('Données projet'!$B$11,Paramètres!$A$1:$I$88,3,0)*VLOOKUP('Données projet'!$B$11,Paramètres!$A$1:$I$88,5,0)</f>
        <v>15.807517894959259</v>
      </c>
      <c r="BF14" s="14">
        <f t="shared" si="37"/>
        <v>5.2828467739687062</v>
      </c>
      <c r="BG14" s="22">
        <f t="shared" si="7"/>
        <v>36.732385131716207</v>
      </c>
      <c r="BH14" s="62">
        <f t="shared" si="8"/>
        <v>231.22818374083033</v>
      </c>
      <c r="BI14" s="62">
        <f ca="1">AVERAGE(OFFSET($BH$3,0,0,'Données projet'!$E$11+1,1))-AVERAGE(OFFSET($H$3,0,0,'Données projet'!$E$11+1,1))</f>
        <v>248.66193174773525</v>
      </c>
      <c r="BJ14" s="62">
        <f t="shared" si="38"/>
        <v>249.61655682981151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6.4</v>
      </c>
      <c r="BY14" s="13">
        <f>IF('Données projet'!$A$114&gt;35,BY13+BX14-CG13,IF(A14&lt;'Données projet'!$A$114,$BV$205^A14,IF(A14='Données projet'!$A$114,'Données projet'!$B$114,BY13+BX14-CG13)))</f>
        <v>28.422715691268188</v>
      </c>
      <c r="BZ14" s="14">
        <f>BY14*VLOOKUP('Données projet'!$B$12,Paramètres!$A$1:$I$88,3,0)*VLOOKUP('Données projet'!$B$12,Paramètres!$A$1:$I$88,5,0)</f>
        <v>11.45435442358108</v>
      </c>
      <c r="CA14" s="14">
        <f t="shared" si="39"/>
        <v>3.9742803740689112</v>
      </c>
      <c r="CB14" s="22">
        <f t="shared" si="10"/>
        <v>26.871538939240398</v>
      </c>
      <c r="CC14" s="62">
        <f t="shared" si="11"/>
        <v>221.36733754835453</v>
      </c>
      <c r="CD14" s="62">
        <f ca="1">AVERAGE(OFFSET($CC$3,0,0,'Données projet'!$E$12+1,1))-AVERAGE(OFFSET($H$3,0,0,'Données projet'!$E$12+1,1))</f>
        <v>432.59662347701629</v>
      </c>
      <c r="CE14" s="62">
        <f t="shared" si="40"/>
        <v>348.67401091099748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6.666666666666667</v>
      </c>
      <c r="CT14" s="13">
        <f>IF('Données projet'!$A$140&gt;35,CT13+CS14-DB13,IF(A14&lt;'Données projet'!$A$140,$CQ$205^A14,IF(A14='Données projet'!$A$140,'Données projet'!$B$140,CT13+CS14-DB13)))</f>
        <v>29.2864456462524</v>
      </c>
      <c r="CU14" s="18">
        <f>CT14*VLOOKUP('Données projet'!$B$13,Paramètres!$A$1:$I$88,3,0)*VLOOKUP('Données projet'!$B$13,Paramètres!$A$1:$I$88,5,0)</f>
        <v>12.944608975643563</v>
      </c>
      <c r="CV14" s="14">
        <f t="shared" si="41"/>
        <v>4.4278596719553747</v>
      </c>
      <c r="CW14" s="22">
        <f t="shared" si="13"/>
        <v>30.257049561234812</v>
      </c>
      <c r="CX14" s="62">
        <f t="shared" si="14"/>
        <v>224.75284817034895</v>
      </c>
      <c r="CY14" s="62">
        <f ca="1">AVERAGE(OFFSET($CX$3,0,0,'Données projet'!$E$13+1,1))-AVERAGE(OFFSET($H$3,0,0,'Données projet'!$E$13+1,1))</f>
        <v>582.26951914082088</v>
      </c>
      <c r="CZ14" s="62">
        <f t="shared" si="42"/>
        <v>434.80429932654715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6.0588235294117645</v>
      </c>
      <c r="DO14" s="13">
        <f>IF('Données projet'!$A$166&gt;35,DO13+DN14-DW13,IF(A14&lt;'Données projet'!$A$166,$DL$205^A14,IF(A14='Données projet'!$A$166,'Données projet'!$B$166,DO13+DN14-DW13)))</f>
        <v>20.064303411125749</v>
      </c>
      <c r="DP14" s="18">
        <f>DO14*VLOOKUP('Données projet'!$B$14,Paramètres!$A$1:$I$88,3,0)*VLOOKUP('Données projet'!$B$14,Paramètres!$A$1:$I$88,5,0)</f>
        <v>9.6509299407514852</v>
      </c>
      <c r="DQ14" s="14">
        <f t="shared" si="43"/>
        <v>3.4159961870057538</v>
      </c>
      <c r="DR14" s="22">
        <f t="shared" si="16"/>
        <v>22.758229672510524</v>
      </c>
      <c r="DS14" s="62">
        <f t="shared" si="17"/>
        <v>217.25402828162464</v>
      </c>
      <c r="DT14" s="62">
        <f ca="1">AVERAGE(OFFSET($DS$3,0,0,'Données projet'!$E$14+1,1))-AVERAGE(OFFSET($H$3,0,0,'Données projet'!$E$14+1,1))</f>
        <v>273.24375559399846</v>
      </c>
      <c r="DU14" s="62">
        <f t="shared" si="44"/>
        <v>270.77718895097848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projet'!$B$14,Paramètres!$A$1:$I$88,3,0)*0.475*44/12</f>
        <v>0</v>
      </c>
      <c r="EB14" s="23">
        <f>EXP(-LN(2)/25)*EB13+(1-EXP(-LN(2)/25))/(LN(2)/25)*Calculateur!DW14*Calculateur!DY14*VLOOKUP('Données projet'!$B$14,Paramètres!$A$1:$I$88,3,0)*0.475*44/12</f>
        <v>0</v>
      </c>
      <c r="EC14" s="23">
        <f>EXP(-LN(2)/2)*EC13+(1-EXP(-LN(2)/2))/(LN(2)/2)*DW14*DZ14*VLOOKUP('Données projet'!$B$14,Paramètres!$A$1:$I$88,3,0)*0.475*44/12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6.0588235294117645</v>
      </c>
      <c r="EJ14" s="13">
        <f>IF('Données projet'!$A$192&gt;35,EJ13+EI14-ER13,IF(A14&lt;'Données projet'!$A$192,$EG$205^A14,IF(A14='Données projet'!$A$192,'Données projet'!$B$192,EJ13+EI14-ER13)))</f>
        <v>20.064303411125749</v>
      </c>
      <c r="EK14" s="18">
        <f>EJ14*VLOOKUP('Données projet'!$B$15,Paramètres!$A$1:$I$88,3,0)*VLOOKUP('Données projet'!$B$15,Paramètres!$A$1:$I$88,5,0)</f>
        <v>9.3900939964068506</v>
      </c>
      <c r="EL14" s="14">
        <f t="shared" si="45"/>
        <v>3.3342888762366081</v>
      </c>
      <c r="EM14" s="22">
        <f t="shared" si="19"/>
        <v>22.161633503187357</v>
      </c>
      <c r="EN14" s="62">
        <f t="shared" si="20"/>
        <v>216.65743211230148</v>
      </c>
      <c r="EO14" s="62">
        <f ca="1">AVERAGE(OFFSET($EN$3,0,0,'Données projet'!$E$15+1,1))-AVERAGE(OFFSET($H$3,0,0,'Données projet'!$E$15+1,1))</f>
        <v>267.26203506406682</v>
      </c>
      <c r="EP14" s="62">
        <f t="shared" si="46"/>
        <v>265.10857635664843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projet'!$B$15,Paramètres!$A$1:$I$88,3,0)*0.475*44/12</f>
        <v>0</v>
      </c>
      <c r="EW14" s="23">
        <f>EXP(-LN(2)/25)*EW13+(1-EXP(-LN(2)/25))/(LN(2)/25)*Calculateur!ER14*Calculateur!ET14*VLOOKUP('Données projet'!$B$15,Paramètres!$A$1:$I$88,3,0)*0.475*44/12</f>
        <v>0</v>
      </c>
      <c r="EX14" s="23">
        <f>EXP(-LN(2)/2)*EX13+(1-EXP(-LN(2)/2))/(LN(2)/2)*ER14*EU14*VLOOKUP('Données projet'!$B$15,Paramètres!$A$1:$I$88,3,0)*0.475*44/12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7.8</v>
      </c>
      <c r="FE14" s="13">
        <f>IF('Données projet'!$A$218&gt;35,FE13+FD14-FM13,IF(A14&lt;'Données projet'!$A$218,$FB$205^A14,IF(A14='Données projet'!$A$218,'Données projet'!$B$218,FE13+FD14-FM13)))</f>
        <v>51.8</v>
      </c>
      <c r="FF14" s="18">
        <f>FE14*VLOOKUP('Données projet'!$B$16,Paramètres!$A$1:$I$88,3,0)*VLOOKUP('Données projet'!$B$16,Paramètres!$A$1:$I$88,5,0)</f>
        <v>37.979759999999999</v>
      </c>
      <c r="FG14" s="14">
        <f t="shared" si="47"/>
        <v>11.461577701392455</v>
      </c>
      <c r="FH14" s="22">
        <f t="shared" si="22"/>
        <v>86.110329829925192</v>
      </c>
      <c r="FI14" s="62">
        <f t="shared" si="23"/>
        <v>280.60612843903931</v>
      </c>
      <c r="FJ14" s="62">
        <f ca="1">AVERAGE(OFFSET($FI$3,0,0,'Données projet'!$E$16+1,1))-AVERAGE(OFFSET($H$3,0,0,'Données projet'!$E$16+1,1))</f>
        <v>207.66160354686221</v>
      </c>
      <c r="FK14" s="62">
        <f t="shared" si="48"/>
        <v>260.45879589483525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projet'!$B$16,Paramètres!$A$1:$I$88,3,0)*0.475*44/12</f>
        <v>0</v>
      </c>
      <c r="FR14" s="23">
        <f>EXP(-LN(2)/25)*FR13+(1-EXP(-LN(2)/25))/(LN(2)/25)*Calculateur!FM14*Calculateur!FO14*VLOOKUP('Données projet'!$B$16,Paramètres!$A$1:$I$88,3,0)*0.475*44/12</f>
        <v>0</v>
      </c>
      <c r="FS14" s="23">
        <f>EXP(-LN(2)/2)*FS13+(1-EXP(-LN(2)/2))/(LN(2)/2)*FM14*FP14*VLOOKUP('Données projet'!$B$16,Paramètres!$A$1:$I$88,3,0)*0.475*44/12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12.458333333333334</v>
      </c>
      <c r="N15" s="14">
        <f>IF('Données projet'!$A$36&gt;35,N14+M15-V14,IF(A15&lt;'Données projet'!$A$36,$K$205^A15,IF(A15='Données projet'!$A$36,'Données projet'!$B$36,N14+M15-V14)))</f>
        <v>17.291616465790593</v>
      </c>
      <c r="O15" s="14">
        <f>N15*VLOOKUP('Données projet'!$B$9,Paramètres!$A$1:$I$88,3,0)*VLOOKUP('Données projet'!$B$9,Paramètres!$A$1:$I$88,5,0)</f>
        <v>9.6660136043769409</v>
      </c>
      <c r="P15" s="14">
        <f t="shared" si="33"/>
        <v>3.4207132456667058</v>
      </c>
      <c r="Q15" s="22">
        <f t="shared" si="2"/>
        <v>22.79271593049268</v>
      </c>
      <c r="R15" s="62">
        <f t="shared" si="0"/>
        <v>219.82249338322555</v>
      </c>
      <c r="S15" s="62">
        <f ca="1">AVERAGE(OFFSET($R$3,0,0,'Données projet'!$E$9+1,1))-AVERAGE(OFFSET($H$3,0,0,'Données projet'!$E$9+1,1))</f>
        <v>378.13552372917843</v>
      </c>
      <c r="T15" s="62">
        <f t="shared" si="34"/>
        <v>528.97123645404952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3.2758620689655173</v>
      </c>
      <c r="AI15" s="14">
        <f>IF('Données projet'!$A$62&gt;35,AI14+AH15-AQ14,IF(A15&lt;'Données projet'!$A$62,$AF$205^A15,IF(A15='Données projet'!$A$62,'Données projet'!$B$62,AI14+AH15-AQ14)))</f>
        <v>6.5821592940655149</v>
      </c>
      <c r="AJ15" s="14">
        <f>AI15*VLOOKUP('Données projet'!$B$10,Paramètres!$A$1:$I$88,3,0)*VLOOKUP('Données projet'!$B$10,Paramètres!$A$1:$I$88,5,0)</f>
        <v>5.9555377292704774</v>
      </c>
      <c r="AK15" s="14">
        <f t="shared" si="35"/>
        <v>2.229832510396089</v>
      </c>
      <c r="AL15" s="22">
        <f t="shared" si="4"/>
        <v>14.256186500752603</v>
      </c>
      <c r="AM15" s="62">
        <f t="shared" si="5"/>
        <v>211.28596395348546</v>
      </c>
      <c r="AN15" s="62">
        <f ca="1">AVERAGE(OFFSET($AM$3,0,0,'Données projet'!$E$10+1,1))-AVERAGE(OFFSET($H$3,0,0,'Données projet'!$E$10+1,1))</f>
        <v>536.3707066106856</v>
      </c>
      <c r="AO15" s="62">
        <f t="shared" si="36"/>
        <v>217.6280015974086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35.6</v>
      </c>
      <c r="BB15" s="13">
        <f>VLOOKUP(A15,'Données projet'!$A$87:$I$107,9,0)</f>
        <v>2.9666666666666668</v>
      </c>
      <c r="BC15" s="13">
        <f t="array" ref="BC15">INDEX(BB:BB,MIN(IF(ISNUMBER(BB15:BB211),ROW(BB15:BB211),"")))</f>
        <v>2.9666666666666668</v>
      </c>
      <c r="BD15" s="13">
        <f>IF('Données projet'!$A$88&gt;35,BD14+BC15-BL14,IF(A15&lt;'Données projet'!$A$88,$BA$205^A15,IF(A15='Données projet'!$A$88,'Données projet'!$B$88,BD14+BC15-BL14)))</f>
        <v>35.6</v>
      </c>
      <c r="BE15" s="14">
        <f>BD15*VLOOKUP('Données projet'!$B$11,Paramètres!$A$1:$I$88,3,0)*VLOOKUP('Données projet'!$B$11,Paramètres!$A$1:$I$88,5,0)</f>
        <v>21.288800000000002</v>
      </c>
      <c r="BF15" s="14">
        <f t="shared" si="37"/>
        <v>6.8723686694032304</v>
      </c>
      <c r="BG15" s="22">
        <f t="shared" si="7"/>
        <v>49.047368765877287</v>
      </c>
      <c r="BH15" s="62">
        <f t="shared" si="8"/>
        <v>246.07714621861015</v>
      </c>
      <c r="BI15" s="62">
        <f ca="1">AVERAGE(OFFSET($BH$3,0,0,'Données projet'!$E$11+1,1))-AVERAGE(OFFSET($H$3,0,0,'Données projet'!$E$11+1,1))</f>
        <v>248.66193174773525</v>
      </c>
      <c r="BJ15" s="62">
        <f t="shared" si="38"/>
        <v>249.61655682981151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6.4</v>
      </c>
      <c r="BY15" s="13">
        <f>IF('Données projet'!$A$114&gt;35,BY14+BX15-CG14,IF(A15&lt;'Données projet'!$A$114,$BV$205^A15,IF(A15='Données projet'!$A$114,'Données projet'!$B$114,BY14+BX15-CG14)))</f>
        <v>38.531594964491077</v>
      </c>
      <c r="BZ15" s="14">
        <f>BY15*VLOOKUP('Données projet'!$B$12,Paramètres!$A$1:$I$88,3,0)*VLOOKUP('Données projet'!$B$12,Paramètres!$A$1:$I$88,5,0)</f>
        <v>15.528232770689906</v>
      </c>
      <c r="CA15" s="14">
        <f t="shared" si="39"/>
        <v>5.2002891572886663</v>
      </c>
      <c r="CB15" s="22">
        <f t="shared" si="10"/>
        <v>36.102175691229341</v>
      </c>
      <c r="CC15" s="62">
        <f t="shared" si="11"/>
        <v>233.13195314396222</v>
      </c>
      <c r="CD15" s="62">
        <f ca="1">AVERAGE(OFFSET($CC$3,0,0,'Données projet'!$E$12+1,1))-AVERAGE(OFFSET($H$3,0,0,'Données projet'!$E$12+1,1))</f>
        <v>432.59662347701629</v>
      </c>
      <c r="CE15" s="62">
        <f t="shared" si="40"/>
        <v>348.67401091099748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6.666666666666667</v>
      </c>
      <c r="CT15" s="13">
        <f>IF('Données projet'!$A$140&gt;35,CT14+CS15-DB14,IF(A15&lt;'Données projet'!$A$140,$CQ$205^A15,IF(A15='Données projet'!$A$140,'Données projet'!$B$140,CT14+CS15-DB14)))</f>
        <v>39.810717055349777</v>
      </c>
      <c r="CU15" s="18">
        <f>CT15*VLOOKUP('Données projet'!$B$13,Paramètres!$A$1:$I$88,3,0)*VLOOKUP('Données projet'!$B$13,Paramètres!$A$1:$I$88,5,0)</f>
        <v>17.596336938464603</v>
      </c>
      <c r="CV15" s="14">
        <f t="shared" si="41"/>
        <v>5.8077402188719276</v>
      </c>
      <c r="CW15" s="22">
        <f t="shared" si="13"/>
        <v>40.762101049027791</v>
      </c>
      <c r="CX15" s="62">
        <f t="shared" si="14"/>
        <v>237.79187850176066</v>
      </c>
      <c r="CY15" s="62">
        <f ca="1">AVERAGE(OFFSET($CX$3,0,0,'Données projet'!$E$13+1,1))-AVERAGE(OFFSET($H$3,0,0,'Données projet'!$E$13+1,1))</f>
        <v>582.26951914082088</v>
      </c>
      <c r="CZ15" s="62">
        <f t="shared" si="42"/>
        <v>434.80429932654715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6.0588235294117645</v>
      </c>
      <c r="DO15" s="13">
        <f>IF('Données projet'!$A$166&gt;35,DO14+DN15-DW14,IF(A15&lt;'Données projet'!$A$166,$DL$205^A15,IF(A15='Données projet'!$A$166,'Données projet'!$B$166,DO14+DN15-DW14)))</f>
        <v>26.35277028076915</v>
      </c>
      <c r="DP15" s="18">
        <f>DO15*VLOOKUP('Données projet'!$B$14,Paramètres!$A$1:$I$88,3,0)*VLOOKUP('Données projet'!$B$14,Paramètres!$A$1:$I$88,5,0)</f>
        <v>12.675682505049961</v>
      </c>
      <c r="DQ15" s="14">
        <f t="shared" si="43"/>
        <v>4.3464786635783428</v>
      </c>
      <c r="DR15" s="22">
        <f t="shared" si="16"/>
        <v>29.646930702027632</v>
      </c>
      <c r="DS15" s="62">
        <f t="shared" si="17"/>
        <v>226.67670815476049</v>
      </c>
      <c r="DT15" s="62">
        <f ca="1">AVERAGE(OFFSET($DS$3,0,0,'Données projet'!$E$14+1,1))-AVERAGE(OFFSET($H$3,0,0,'Données projet'!$E$14+1,1))</f>
        <v>273.24375559399846</v>
      </c>
      <c r="DU15" s="62">
        <f t="shared" si="44"/>
        <v>270.77718895097848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projet'!$B$14,Paramètres!$A$1:$I$88,3,0)*0.475*44/12</f>
        <v>0</v>
      </c>
      <c r="EB15" s="23">
        <f>EXP(-LN(2)/25)*EB14+(1-EXP(-LN(2)/25))/(LN(2)/25)*Calculateur!DW15*Calculateur!DY15*VLOOKUP('Données projet'!$B$14,Paramètres!$A$1:$I$88,3,0)*0.475*44/12</f>
        <v>0</v>
      </c>
      <c r="EC15" s="23">
        <f>EXP(-LN(2)/2)*EC14+(1-EXP(-LN(2)/2))/(LN(2)/2)*DW15*DZ15*VLOOKUP('Données projet'!$B$14,Paramètres!$A$1:$I$88,3,0)*0.475*44/12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6.0588235294117645</v>
      </c>
      <c r="EJ15" s="13">
        <f>IF('Données projet'!$A$192&gt;35,EJ14+EI15-ER14,IF(A15&lt;'Données projet'!$A$192,$EG$205^A15,IF(A15='Données projet'!$A$192,'Données projet'!$B$192,EJ14+EI15-ER14)))</f>
        <v>26.35277028076915</v>
      </c>
      <c r="EK15" s="18">
        <f>EJ15*VLOOKUP('Données projet'!$B$15,Paramètres!$A$1:$I$88,3,0)*VLOOKUP('Données projet'!$B$15,Paramètres!$A$1:$I$88,5,0)</f>
        <v>12.333096491399962</v>
      </c>
      <c r="EL15" s="14">
        <f t="shared" si="45"/>
        <v>4.2425151157654426</v>
      </c>
      <c r="EM15" s="22">
        <f t="shared" si="19"/>
        <v>28.869190215813081</v>
      </c>
      <c r="EN15" s="62">
        <f t="shared" si="20"/>
        <v>225.89896766854596</v>
      </c>
      <c r="EO15" s="62">
        <f ca="1">AVERAGE(OFFSET($EN$3,0,0,'Données projet'!$E$15+1,1))-AVERAGE(OFFSET($H$3,0,0,'Données projet'!$E$15+1,1))</f>
        <v>267.26203506406682</v>
      </c>
      <c r="EP15" s="62">
        <f t="shared" si="46"/>
        <v>265.10857635664843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projet'!$B$15,Paramètres!$A$1:$I$88,3,0)*0.475*44/12</f>
        <v>0</v>
      </c>
      <c r="EW15" s="23">
        <f>EXP(-LN(2)/25)*EW14+(1-EXP(-LN(2)/25))/(LN(2)/25)*Calculateur!ER15*Calculateur!ET15*VLOOKUP('Données projet'!$B$15,Paramètres!$A$1:$I$88,3,0)*0.475*44/12</f>
        <v>0</v>
      </c>
      <c r="EX15" s="23">
        <f>EXP(-LN(2)/2)*EX14+(1-EXP(-LN(2)/2))/(LN(2)/2)*ER15*EU15*VLOOKUP('Données projet'!$B$15,Paramètres!$A$1:$I$88,3,0)*0.475*44/12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7.8</v>
      </c>
      <c r="FE15" s="13">
        <f>IF('Données projet'!$A$218&gt;35,FE14+FD15-FM14,IF(A15&lt;'Données projet'!$A$218,$FB$205^A15,IF(A15='Données projet'!$A$218,'Données projet'!$B$218,FE14+FD15-FM14)))</f>
        <v>59.599999999999994</v>
      </c>
      <c r="FF15" s="18">
        <f>FE15*VLOOKUP('Données projet'!$B$16,Paramètres!$A$1:$I$88,3,0)*VLOOKUP('Données projet'!$B$16,Paramètres!$A$1:$I$88,5,0)</f>
        <v>43.698719999999994</v>
      </c>
      <c r="FG15" s="14">
        <f t="shared" si="47"/>
        <v>12.973890326792562</v>
      </c>
      <c r="FH15" s="22">
        <f t="shared" si="22"/>
        <v>98.704796319163691</v>
      </c>
      <c r="FI15" s="62">
        <f t="shared" si="23"/>
        <v>295.73457377189658</v>
      </c>
      <c r="FJ15" s="62">
        <f ca="1">AVERAGE(OFFSET($FI$3,0,0,'Données projet'!$E$16+1,1))-AVERAGE(OFFSET($H$3,0,0,'Données projet'!$E$16+1,1))</f>
        <v>207.66160354686221</v>
      </c>
      <c r="FK15" s="62">
        <f t="shared" si="48"/>
        <v>260.45879589483525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projet'!$B$16,Paramètres!$A$1:$I$88,3,0)*0.475*44/12</f>
        <v>0</v>
      </c>
      <c r="FR15" s="23">
        <f>EXP(-LN(2)/25)*FR14+(1-EXP(-LN(2)/25))/(LN(2)/25)*Calculateur!FM15*Calculateur!FO15*VLOOKUP('Données projet'!$B$16,Paramètres!$A$1:$I$88,3,0)*0.475*44/12</f>
        <v>0</v>
      </c>
      <c r="FS15" s="23">
        <f>EXP(-LN(2)/2)*FS14+(1-EXP(-LN(2)/2))/(LN(2)/2)*FM15*FP15*VLOOKUP('Données projet'!$B$16,Paramètres!$A$1:$I$88,3,0)*0.475*44/12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12.458333333333334</v>
      </c>
      <c r="N16" s="14">
        <f>IF('Données projet'!$A$36&gt;35,N15+M16-V15,IF(A16&lt;'Données projet'!$A$36,$K$205^A16,IF(A16='Données projet'!$A$36,'Données projet'!$B$36,N15+M16-V15)))</f>
        <v>21.927471759076873</v>
      </c>
      <c r="O16" s="14">
        <f>N16*VLOOKUP('Données projet'!$B$9,Paramètres!$A$1:$I$88,3,0)*VLOOKUP('Données projet'!$B$9,Paramètres!$A$1:$I$88,5,0)</f>
        <v>12.257456713323974</v>
      </c>
      <c r="P16" s="14">
        <f t="shared" si="33"/>
        <v>4.2195159243092002</v>
      </c>
      <c r="Q16" s="22">
        <f t="shared" si="2"/>
        <v>28.697394010544443</v>
      </c>
      <c r="R16" s="62">
        <f t="shared" si="0"/>
        <v>228.23839426216324</v>
      </c>
      <c r="S16" s="62">
        <f ca="1">AVERAGE(OFFSET($R$3,0,0,'Données projet'!$E$9+1,1))-AVERAGE(OFFSET($H$3,0,0,'Données projet'!$E$9+1,1))</f>
        <v>378.13552372917843</v>
      </c>
      <c r="T16" s="62">
        <f t="shared" si="34"/>
        <v>528.97123645404952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3.2758620689655173</v>
      </c>
      <c r="AI16" s="14">
        <f>IF('Données projet'!$A$62&gt;35,AI15+AH16-AQ15,IF(A16&lt;'Données projet'!$A$62,$AF$205^A16,IF(A16='Données projet'!$A$62,'Données projet'!$B$62,AI15+AH16-AQ15)))</f>
        <v>7.7013303705991332</v>
      </c>
      <c r="AJ16" s="14">
        <f>AI16*VLOOKUP('Données projet'!$B$10,Paramètres!$A$1:$I$88,3,0)*VLOOKUP('Données projet'!$B$10,Paramètres!$A$1:$I$88,5,0)</f>
        <v>6.9681637193180954</v>
      </c>
      <c r="AK16" s="14">
        <f t="shared" si="35"/>
        <v>2.5617186814857456</v>
      </c>
      <c r="AL16" s="22">
        <f t="shared" si="4"/>
        <v>16.597878514733356</v>
      </c>
      <c r="AM16" s="62">
        <f t="shared" si="5"/>
        <v>216.13887876635218</v>
      </c>
      <c r="AN16" s="62">
        <f ca="1">AVERAGE(OFFSET($AM$3,0,0,'Données projet'!$E$10+1,1))-AVERAGE(OFFSET($H$3,0,0,'Données projet'!$E$10+1,1))</f>
        <v>536.3707066106856</v>
      </c>
      <c r="AO16" s="62">
        <f t="shared" si="36"/>
        <v>217.6280015974086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7.6749999999999989</v>
      </c>
      <c r="BD16" s="13">
        <f>IF('Données projet'!$A$88&gt;35,BD15+BC16-BL15,IF(A16&lt;'Données projet'!$A$88,$BA$205^A16,IF(A16='Données projet'!$A$88,'Données projet'!$B$88,BD15+BC16-BL15)))</f>
        <v>43.274999999999999</v>
      </c>
      <c r="BE16" s="14">
        <f>BD16*VLOOKUP('Données projet'!$B$11,Paramètres!$A$1:$I$88,3,0)*VLOOKUP('Données projet'!$B$11,Paramètres!$A$1:$I$88,5,0)</f>
        <v>25.878450000000001</v>
      </c>
      <c r="BF16" s="14">
        <f t="shared" si="37"/>
        <v>8.1662808505825524</v>
      </c>
      <c r="BG16" s="22">
        <f t="shared" si="7"/>
        <v>59.294572898097947</v>
      </c>
      <c r="BH16" s="62">
        <f t="shared" si="8"/>
        <v>258.83557314971677</v>
      </c>
      <c r="BI16" s="62">
        <f ca="1">AVERAGE(OFFSET($BH$3,0,0,'Données projet'!$E$11+1,1))-AVERAGE(OFFSET($H$3,0,0,'Données projet'!$E$11+1,1))</f>
        <v>248.66193174773525</v>
      </c>
      <c r="BJ16" s="62">
        <f t="shared" si="38"/>
        <v>249.61655682981151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6.4</v>
      </c>
      <c r="BY16" s="13">
        <f>IF('Données projet'!$A$114&gt;35,BY15+BX16-CG15,IF(A16&lt;'Données projet'!$A$114,$BV$205^A16,IF(A16='Données projet'!$A$114,'Données projet'!$B$114,BY15+BX16-CG15)))</f>
        <v>52.235818231954077</v>
      </c>
      <c r="BZ16" s="14">
        <f>BY16*VLOOKUP('Données projet'!$B$12,Paramètres!$A$1:$I$88,3,0)*VLOOKUP('Données projet'!$B$12,Paramètres!$A$1:$I$88,5,0)</f>
        <v>21.051034747477495</v>
      </c>
      <c r="CA16" s="14">
        <f t="shared" si="39"/>
        <v>6.8045041552332988</v>
      </c>
      <c r="CB16" s="22">
        <f t="shared" si="10"/>
        <v>48.515063588887962</v>
      </c>
      <c r="CC16" s="62">
        <f t="shared" si="11"/>
        <v>248.05606384050677</v>
      </c>
      <c r="CD16" s="62">
        <f ca="1">AVERAGE(OFFSET($CC$3,0,0,'Données projet'!$E$12+1,1))-AVERAGE(OFFSET($H$3,0,0,'Données projet'!$E$12+1,1))</f>
        <v>432.59662347701629</v>
      </c>
      <c r="CE16" s="62">
        <f t="shared" si="40"/>
        <v>348.67401091099748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6.666666666666667</v>
      </c>
      <c r="CT16" s="13">
        <f>IF('Données projet'!$A$140&gt;35,CT15+CS16-DB15,IF(A16&lt;'Données projet'!$A$140,$CQ$205^A16,IF(A16='Données projet'!$A$140,'Données projet'!$B$140,CT15+CS16-DB15)))</f>
        <v>54.11695265464644</v>
      </c>
      <c r="CU16" s="18">
        <f>CT16*VLOOKUP('Données projet'!$B$13,Paramètres!$A$1:$I$88,3,0)*VLOOKUP('Données projet'!$B$13,Paramètres!$A$1:$I$88,5,0)</f>
        <v>23.919693073353731</v>
      </c>
      <c r="CV16" s="14">
        <f t="shared" si="41"/>
        <v>7.6176412417801824</v>
      </c>
      <c r="CW16" s="22">
        <f t="shared" si="13"/>
        <v>54.927523932191555</v>
      </c>
      <c r="CX16" s="62">
        <f t="shared" si="14"/>
        <v>254.46852418381036</v>
      </c>
      <c r="CY16" s="62">
        <f ca="1">AVERAGE(OFFSET($CX$3,0,0,'Données projet'!$E$13+1,1))-AVERAGE(OFFSET($H$3,0,0,'Données projet'!$E$13+1,1))</f>
        <v>582.26951914082088</v>
      </c>
      <c r="CZ16" s="62">
        <f t="shared" si="42"/>
        <v>434.80429932654715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6.0588235294117645</v>
      </c>
      <c r="DO16" s="13">
        <f>IF('Données projet'!$A$166&gt;35,DO15+DN16-DW15,IF(A16&lt;'Données projet'!$A$166,$DL$205^A16,IF(A16='Données projet'!$A$166,'Données projet'!$B$166,DO15+DN16-DW15)))</f>
        <v>34.612141136477412</v>
      </c>
      <c r="DP16" s="18">
        <f>DO16*VLOOKUP('Données projet'!$B$14,Paramètres!$A$1:$I$88,3,0)*VLOOKUP('Données projet'!$B$14,Paramètres!$A$1:$I$88,5,0)</f>
        <v>16.648439886645637</v>
      </c>
      <c r="DQ16" s="14">
        <f t="shared" si="43"/>
        <v>5.5304150645148118</v>
      </c>
      <c r="DR16" s="22">
        <f t="shared" si="16"/>
        <v>38.628172373271113</v>
      </c>
      <c r="DS16" s="62">
        <f t="shared" si="17"/>
        <v>238.16917262488994</v>
      </c>
      <c r="DT16" s="62">
        <f ca="1">AVERAGE(OFFSET($DS$3,0,0,'Données projet'!$E$14+1,1))-AVERAGE(OFFSET($H$3,0,0,'Données projet'!$E$14+1,1))</f>
        <v>273.24375559399846</v>
      </c>
      <c r="DU16" s="62">
        <f t="shared" si="44"/>
        <v>270.77718895097848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projet'!$B$14,Paramètres!$A$1:$I$88,3,0)*0.475*44/12</f>
        <v>0</v>
      </c>
      <c r="EB16" s="23">
        <f>EXP(-LN(2)/25)*EB15+(1-EXP(-LN(2)/25))/(LN(2)/25)*Calculateur!DW16*Calculateur!DY16*VLOOKUP('Données projet'!$B$14,Paramètres!$A$1:$I$88,3,0)*0.475*44/12</f>
        <v>0</v>
      </c>
      <c r="EC16" s="23">
        <f>EXP(-LN(2)/2)*EC15+(1-EXP(-LN(2)/2))/(LN(2)/2)*DW16*DZ16*VLOOKUP('Données projet'!$B$14,Paramètres!$A$1:$I$88,3,0)*0.475*44/12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6.0588235294117645</v>
      </c>
      <c r="EJ16" s="13">
        <f>IF('Données projet'!$A$192&gt;35,EJ15+EI16-ER15,IF(A16&lt;'Données projet'!$A$192,$EG$205^A16,IF(A16='Données projet'!$A$192,'Données projet'!$B$192,EJ15+EI16-ER15)))</f>
        <v>34.612141136477412</v>
      </c>
      <c r="EK16" s="18">
        <f>EJ16*VLOOKUP('Données projet'!$B$15,Paramètres!$A$1:$I$88,3,0)*VLOOKUP('Données projet'!$B$15,Paramètres!$A$1:$I$88,5,0)</f>
        <v>16.19848205187143</v>
      </c>
      <c r="EL16" s="14">
        <f t="shared" si="45"/>
        <v>5.3981329079721343</v>
      </c>
      <c r="EM16" s="22">
        <f t="shared" si="19"/>
        <v>37.614104388394203</v>
      </c>
      <c r="EN16" s="62">
        <f t="shared" si="20"/>
        <v>237.15510464001301</v>
      </c>
      <c r="EO16" s="62">
        <f ca="1">AVERAGE(OFFSET($EN$3,0,0,'Données projet'!$E$15+1,1))-AVERAGE(OFFSET($H$3,0,0,'Données projet'!$E$15+1,1))</f>
        <v>267.26203506406682</v>
      </c>
      <c r="EP16" s="62">
        <f t="shared" si="46"/>
        <v>265.10857635664843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projet'!$B$15,Paramètres!$A$1:$I$88,3,0)*0.475*44/12</f>
        <v>0</v>
      </c>
      <c r="EW16" s="23">
        <f>EXP(-LN(2)/25)*EW15+(1-EXP(-LN(2)/25))/(LN(2)/25)*Calculateur!ER16*Calculateur!ET16*VLOOKUP('Données projet'!$B$15,Paramètres!$A$1:$I$88,3,0)*0.475*44/12</f>
        <v>0</v>
      </c>
      <c r="EX16" s="23">
        <f>EXP(-LN(2)/2)*EX15+(1-EXP(-LN(2)/2))/(LN(2)/2)*ER16*EU16*VLOOKUP('Données projet'!$B$15,Paramètres!$A$1:$I$88,3,0)*0.475*44/12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7.8</v>
      </c>
      <c r="FE16" s="13">
        <f>IF('Données projet'!$A$218&gt;35,FE15+FD16-FM15,IF(A16&lt;'Données projet'!$A$218,$FB$205^A16,IF(A16='Données projet'!$A$218,'Données projet'!$B$218,FE15+FD16-FM15)))</f>
        <v>67.399999999999991</v>
      </c>
      <c r="FF16" s="18">
        <f>FE16*VLOOKUP('Données projet'!$B$16,Paramètres!$A$1:$I$88,3,0)*VLOOKUP('Données projet'!$B$16,Paramètres!$A$1:$I$88,5,0)</f>
        <v>49.41767999999999</v>
      </c>
      <c r="FG16" s="14">
        <f t="shared" si="47"/>
        <v>14.463270604386826</v>
      </c>
      <c r="FH16" s="22">
        <f t="shared" si="22"/>
        <v>111.25932230264037</v>
      </c>
      <c r="FI16" s="62">
        <f t="shared" si="23"/>
        <v>310.8003225542592</v>
      </c>
      <c r="FJ16" s="62">
        <f ca="1">AVERAGE(OFFSET($FI$3,0,0,'Données projet'!$E$16+1,1))-AVERAGE(OFFSET($H$3,0,0,'Données projet'!$E$16+1,1))</f>
        <v>207.66160354686221</v>
      </c>
      <c r="FK16" s="62">
        <f t="shared" si="48"/>
        <v>260.45879589483525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projet'!$B$16,Paramètres!$A$1:$I$88,3,0)*0.475*44/12</f>
        <v>0</v>
      </c>
      <c r="FR16" s="23">
        <f>EXP(-LN(2)/25)*FR15+(1-EXP(-LN(2)/25))/(LN(2)/25)*Calculateur!FM16*Calculateur!FO16*VLOOKUP('Données projet'!$B$16,Paramètres!$A$1:$I$88,3,0)*0.475*44/12</f>
        <v>0</v>
      </c>
      <c r="FS16" s="23">
        <f>EXP(-LN(2)/2)*FS15+(1-EXP(-LN(2)/2))/(LN(2)/2)*FM16*FP16*VLOOKUP('Données projet'!$B$16,Paramètres!$A$1:$I$88,3,0)*0.475*44/12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12.458333333333334</v>
      </c>
      <c r="N17" s="14">
        <f>IF('Données projet'!$A$36&gt;35,N16+M17-V16,IF(A17&lt;'Données projet'!$A$36,$K$205^A17,IF(A17='Données projet'!$A$36,'Données projet'!$B$36,N16+M17-V16)))</f>
        <v>27.806192596067994</v>
      </c>
      <c r="O17" s="14">
        <f>N17*VLOOKUP('Données projet'!$B$9,Paramètres!$A$1:$I$88,3,0)*VLOOKUP('Données projet'!$B$9,Paramètres!$A$1:$I$88,5,0)</f>
        <v>15.543661661202009</v>
      </c>
      <c r="P17" s="14">
        <f t="shared" si="33"/>
        <v>5.2048544723978489</v>
      </c>
      <c r="Q17" s="22">
        <f t="shared" si="2"/>
        <v>36.136998932686417</v>
      </c>
      <c r="R17" s="62">
        <f t="shared" si="0"/>
        <v>238.16686070495962</v>
      </c>
      <c r="S17" s="62">
        <f ca="1">AVERAGE(OFFSET($R$3,0,0,'Données projet'!$E$9+1,1))-AVERAGE(OFFSET($H$3,0,0,'Données projet'!$E$9+1,1))</f>
        <v>378.13552372917843</v>
      </c>
      <c r="T17" s="62">
        <f t="shared" si="34"/>
        <v>528.97123645404952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3.2758620689655173</v>
      </c>
      <c r="AI17" s="14">
        <f>IF('Données projet'!$A$62&gt;35,AI16+AH17-AQ16,IF(A17&lt;'Données projet'!$A$62,$AF$205^A17,IF(A17='Données projet'!$A$62,'Données projet'!$B$62,AI16+AH17-AQ16)))</f>
        <v>9.0107952158780193</v>
      </c>
      <c r="AJ17" s="14">
        <f>AI17*VLOOKUP('Données projet'!$B$10,Paramètres!$A$1:$I$88,3,0)*VLOOKUP('Données projet'!$B$10,Paramètres!$A$1:$I$88,5,0)</f>
        <v>8.1529675113264322</v>
      </c>
      <c r="AK17" s="14">
        <f t="shared" si="35"/>
        <v>2.9430024777544288</v>
      </c>
      <c r="AL17" s="22">
        <f t="shared" si="4"/>
        <v>19.325481064315827</v>
      </c>
      <c r="AM17" s="62">
        <f t="shared" si="5"/>
        <v>221.35534283658902</v>
      </c>
      <c r="AN17" s="62">
        <f ca="1">AVERAGE(OFFSET($AM$3,0,0,'Données projet'!$E$10+1,1))-AVERAGE(OFFSET($H$3,0,0,'Données projet'!$E$10+1,1))</f>
        <v>536.3707066106856</v>
      </c>
      <c r="AO17" s="62">
        <f t="shared" si="36"/>
        <v>217.6280015974086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7.6749999999999989</v>
      </c>
      <c r="BD17" s="13">
        <f>IF('Données projet'!$A$88&gt;35,BD16+BC17-BL16,IF(A17&lt;'Données projet'!$A$88,$BA$205^A17,IF(A17='Données projet'!$A$88,'Données projet'!$B$88,BD16+BC17-BL16)))</f>
        <v>50.949999999999996</v>
      </c>
      <c r="BE17" s="14">
        <f>BD17*VLOOKUP('Données projet'!$B$11,Paramètres!$A$1:$I$88,3,0)*VLOOKUP('Données projet'!$B$11,Paramètres!$A$1:$I$88,5,0)</f>
        <v>30.468099999999996</v>
      </c>
      <c r="BF17" s="14">
        <f t="shared" si="37"/>
        <v>9.4336082184868815</v>
      </c>
      <c r="BG17" s="22">
        <f t="shared" si="7"/>
        <v>69.495475147197965</v>
      </c>
      <c r="BH17" s="62">
        <f t="shared" si="8"/>
        <v>271.52533691947116</v>
      </c>
      <c r="BI17" s="62">
        <f ca="1">AVERAGE(OFFSET($BH$3,0,0,'Données projet'!$E$11+1,1))-AVERAGE(OFFSET($H$3,0,0,'Données projet'!$E$11+1,1))</f>
        <v>248.66193174773525</v>
      </c>
      <c r="BJ17" s="62">
        <f t="shared" si="38"/>
        <v>249.61655682981151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6.4</v>
      </c>
      <c r="BY17" s="13">
        <f>IF('Données projet'!$A$114&gt;35,BY16+BX17-CG16,IF(A17&lt;'Données projet'!$A$114,$BV$205^A17,IF(A17='Données projet'!$A$114,'Données projet'!$B$114,BY16+BX17-CG16)))</f>
        <v>70.814112649016465</v>
      </c>
      <c r="BZ17" s="14">
        <f>BY17*VLOOKUP('Données projet'!$B$12,Paramètres!$A$1:$I$88,3,0)*VLOOKUP('Données projet'!$B$12,Paramètres!$A$1:$I$88,5,0)</f>
        <v>28.538087397553639</v>
      </c>
      <c r="CA17" s="14">
        <f t="shared" si="39"/>
        <v>8.903596588218921</v>
      </c>
      <c r="CB17" s="22">
        <f t="shared" si="10"/>
        <v>65.210932941887208</v>
      </c>
      <c r="CC17" s="62">
        <f t="shared" si="11"/>
        <v>267.24079471416042</v>
      </c>
      <c r="CD17" s="62">
        <f ca="1">AVERAGE(OFFSET($CC$3,0,0,'Données projet'!$E$12+1,1))-AVERAGE(OFFSET($H$3,0,0,'Données projet'!$E$12+1,1))</f>
        <v>432.59662347701629</v>
      </c>
      <c r="CE17" s="62">
        <f t="shared" si="40"/>
        <v>348.67401091099748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6.666666666666667</v>
      </c>
      <c r="CT17" s="13">
        <f>IF('Données projet'!$A$140&gt;35,CT16+CS17-DB16,IF(A17&lt;'Données projet'!$A$140,$CQ$205^A17,IF(A17='Données projet'!$A$140,'Données projet'!$B$140,CT16+CS17-DB16)))</f>
        <v>73.56422544596424</v>
      </c>
      <c r="CU17" s="18">
        <f>CT17*VLOOKUP('Données projet'!$B$13,Paramètres!$A$1:$I$88,3,0)*VLOOKUP('Données projet'!$B$13,Paramètres!$A$1:$I$88,5,0)</f>
        <v>32.515387647116199</v>
      </c>
      <c r="CV17" s="14">
        <f t="shared" si="41"/>
        <v>9.9915726085526533</v>
      </c>
      <c r="CW17" s="22">
        <f t="shared" si="13"/>
        <v>74.032955778623247</v>
      </c>
      <c r="CX17" s="62">
        <f t="shared" si="14"/>
        <v>276.06281755089645</v>
      </c>
      <c r="CY17" s="62">
        <f ca="1">AVERAGE(OFFSET($CX$3,0,0,'Données projet'!$E$13+1,1))-AVERAGE(OFFSET($H$3,0,0,'Données projet'!$E$13+1,1))</f>
        <v>582.26951914082088</v>
      </c>
      <c r="CZ17" s="62">
        <f t="shared" si="42"/>
        <v>434.80429932654715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6.0588235294117645</v>
      </c>
      <c r="DO17" s="13">
        <f>IF('Données projet'!$A$166&gt;35,DO16+DN17-DW16,IF(A17&lt;'Données projet'!$A$166,$DL$205^A17,IF(A17='Données projet'!$A$166,'Données projet'!$B$166,DO16+DN17-DW16)))</f>
        <v>45.460128149246948</v>
      </c>
      <c r="DP17" s="18">
        <f>DO17*VLOOKUP('Données projet'!$B$14,Paramètres!$A$1:$I$88,3,0)*VLOOKUP('Données projet'!$B$14,Paramètres!$A$1:$I$88,5,0)</f>
        <v>21.866321639787781</v>
      </c>
      <c r="DQ17" s="14">
        <f t="shared" si="43"/>
        <v>7.0368436504947942</v>
      </c>
      <c r="DR17" s="22">
        <f t="shared" si="16"/>
        <v>50.339679547242149</v>
      </c>
      <c r="DS17" s="62">
        <f t="shared" si="17"/>
        <v>252.36954131951535</v>
      </c>
      <c r="DT17" s="62">
        <f ca="1">AVERAGE(OFFSET($DS$3,0,0,'Données projet'!$E$14+1,1))-AVERAGE(OFFSET($H$3,0,0,'Données projet'!$E$14+1,1))</f>
        <v>273.24375559399846</v>
      </c>
      <c r="DU17" s="62">
        <f t="shared" si="44"/>
        <v>270.77718895097848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projet'!$B$14,Paramètres!$A$1:$I$88,3,0)*0.475*44/12</f>
        <v>0</v>
      </c>
      <c r="EB17" s="23">
        <f>EXP(-LN(2)/25)*EB16+(1-EXP(-LN(2)/25))/(LN(2)/25)*Calculateur!DW17*Calculateur!DY17*VLOOKUP('Données projet'!$B$14,Paramètres!$A$1:$I$88,3,0)*0.475*44/12</f>
        <v>0</v>
      </c>
      <c r="EC17" s="23">
        <f>EXP(-LN(2)/2)*EC16+(1-EXP(-LN(2)/2))/(LN(2)/2)*DW17*DZ17*VLOOKUP('Données projet'!$B$14,Paramètres!$A$1:$I$88,3,0)*0.475*44/12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6.0588235294117645</v>
      </c>
      <c r="EJ17" s="13">
        <f>IF('Données projet'!$A$192&gt;35,EJ16+EI17-ER16,IF(A17&lt;'Données projet'!$A$192,$EG$205^A17,IF(A17='Données projet'!$A$192,'Données projet'!$B$192,EJ16+EI17-ER16)))</f>
        <v>45.460128149246948</v>
      </c>
      <c r="EK17" s="18">
        <f>EJ17*VLOOKUP('Données projet'!$B$15,Paramètres!$A$1:$I$88,3,0)*VLOOKUP('Données projet'!$B$15,Paramètres!$A$1:$I$88,5,0)</f>
        <v>21.275339973847572</v>
      </c>
      <c r="EL17" s="14">
        <f t="shared" si="45"/>
        <v>6.8685291853990806</v>
      </c>
      <c r="EM17" s="22">
        <f t="shared" si="19"/>
        <v>49.017238785687915</v>
      </c>
      <c r="EN17" s="62">
        <f t="shared" si="20"/>
        <v>251.0471005579611</v>
      </c>
      <c r="EO17" s="62">
        <f ca="1">AVERAGE(OFFSET($EN$3,0,0,'Données projet'!$E$15+1,1))-AVERAGE(OFFSET($H$3,0,0,'Données projet'!$E$15+1,1))</f>
        <v>267.26203506406682</v>
      </c>
      <c r="EP17" s="62">
        <f t="shared" si="46"/>
        <v>265.10857635664843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projet'!$B$15,Paramètres!$A$1:$I$88,3,0)*0.475*44/12</f>
        <v>0</v>
      </c>
      <c r="EW17" s="23">
        <f>EXP(-LN(2)/25)*EW16+(1-EXP(-LN(2)/25))/(LN(2)/25)*Calculateur!ER17*Calculateur!ET17*VLOOKUP('Données projet'!$B$15,Paramètres!$A$1:$I$88,3,0)*0.475*44/12</f>
        <v>0</v>
      </c>
      <c r="EX17" s="23">
        <f>EXP(-LN(2)/2)*EX16+(1-EXP(-LN(2)/2))/(LN(2)/2)*ER17*EU17*VLOOKUP('Données projet'!$B$15,Paramètres!$A$1:$I$88,3,0)*0.475*44/12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7.8</v>
      </c>
      <c r="FE17" s="13">
        <f>IF('Données projet'!$A$218&gt;35,FE16+FD17-FM16,IF(A17&lt;'Données projet'!$A$218,$FB$205^A17,IF(A17='Données projet'!$A$218,'Données projet'!$B$218,FE16+FD17-FM16)))</f>
        <v>75.199999999999989</v>
      </c>
      <c r="FF17" s="18">
        <f>FE17*VLOOKUP('Données projet'!$B$16,Paramètres!$A$1:$I$88,3,0)*VLOOKUP('Données projet'!$B$16,Paramètres!$A$1:$I$88,5,0)</f>
        <v>55.136639999999993</v>
      </c>
      <c r="FG17" s="14">
        <f t="shared" si="47"/>
        <v>15.932675508045635</v>
      </c>
      <c r="FH17" s="22">
        <f t="shared" si="22"/>
        <v>123.77905784317947</v>
      </c>
      <c r="FI17" s="62">
        <f t="shared" si="23"/>
        <v>325.80891961545268</v>
      </c>
      <c r="FJ17" s="62">
        <f ca="1">AVERAGE(OFFSET($FI$3,0,0,'Données projet'!$E$16+1,1))-AVERAGE(OFFSET($H$3,0,0,'Données projet'!$E$16+1,1))</f>
        <v>207.66160354686221</v>
      </c>
      <c r="FK17" s="62">
        <f t="shared" si="48"/>
        <v>260.45879589483525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projet'!$B$16,Paramètres!$A$1:$I$88,3,0)*0.475*44/12</f>
        <v>0</v>
      </c>
      <c r="FR17" s="23">
        <f>EXP(-LN(2)/25)*FR16+(1-EXP(-LN(2)/25))/(LN(2)/25)*Calculateur!FM17*Calculateur!FO17*VLOOKUP('Données projet'!$B$16,Paramètres!$A$1:$I$88,3,0)*0.475*44/12</f>
        <v>0</v>
      </c>
      <c r="FS17" s="23">
        <f>EXP(-LN(2)/2)*FS16+(1-EXP(-LN(2)/2))/(LN(2)/2)*FM17*FP17*VLOOKUP('Données projet'!$B$16,Paramètres!$A$1:$I$88,3,0)*0.475*44/12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12.458333333333334</v>
      </c>
      <c r="N18" s="14">
        <f>IF('Données projet'!$A$36&gt;35,N17+M18-V17,IF(A18&lt;'Données projet'!$A$36,$K$205^A18,IF(A18='Données projet'!$A$36,'Données projet'!$B$36,N17+M18-V17)))</f>
        <v>35.260989282522594</v>
      </c>
      <c r="O18" s="14">
        <f>N18*VLOOKUP('Données projet'!$B$9,Paramètres!$A$1:$I$88,3,0)*VLOOKUP('Données projet'!$B$9,Paramètres!$A$1:$I$88,5,0)</f>
        <v>19.710893008930132</v>
      </c>
      <c r="P18" s="14">
        <f t="shared" si="33"/>
        <v>6.4202886219169839</v>
      </c>
      <c r="Q18" s="22">
        <f t="shared" si="2"/>
        <v>45.511808007058725</v>
      </c>
      <c r="R18" s="62">
        <f t="shared" si="0"/>
        <v>250.00855793993978</v>
      </c>
      <c r="S18" s="62">
        <f ca="1">AVERAGE(OFFSET($R$3,0,0,'Données projet'!$E$9+1,1))-AVERAGE(OFFSET($H$3,0,0,'Données projet'!$E$9+1,1))</f>
        <v>378.13552372917843</v>
      </c>
      <c r="T18" s="62">
        <f t="shared" si="34"/>
        <v>528.97123645404952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3.2758620689655173</v>
      </c>
      <c r="AI18" s="14">
        <f>IF('Données projet'!$A$62&gt;35,AI17+AH18-AQ17,IF(A18&lt;'Données projet'!$A$62,$AF$205^A18,IF(A18='Données projet'!$A$62,'Données projet'!$B$62,AI17+AH18-AQ17)))</f>
        <v>10.542909668238735</v>
      </c>
      <c r="AJ18" s="14">
        <f>AI18*VLOOKUP('Données projet'!$B$10,Paramètres!$A$1:$I$88,3,0)*VLOOKUP('Données projet'!$B$10,Paramètres!$A$1:$I$88,5,0)</f>
        <v>9.539224667822408</v>
      </c>
      <c r="AK18" s="14">
        <f t="shared" si="35"/>
        <v>3.3810361952177157</v>
      </c>
      <c r="AL18" s="22">
        <f t="shared" si="4"/>
        <v>22.502787669794884</v>
      </c>
      <c r="AM18" s="62">
        <f t="shared" si="5"/>
        <v>226.99953760267593</v>
      </c>
      <c r="AN18" s="62">
        <f ca="1">AVERAGE(OFFSET($AM$3,0,0,'Données projet'!$E$10+1,1))-AVERAGE(OFFSET($H$3,0,0,'Données projet'!$E$10+1,1))</f>
        <v>536.3707066106856</v>
      </c>
      <c r="AO18" s="62">
        <f t="shared" si="36"/>
        <v>217.6280015974086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7.6749999999999989</v>
      </c>
      <c r="BD18" s="13">
        <f>IF('Données projet'!$A$88&gt;35,BD17+BC18-BL17,IF(A18&lt;'Données projet'!$A$88,$BA$205^A18,IF(A18='Données projet'!$A$88,'Données projet'!$B$88,BD17+BC18-BL17)))</f>
        <v>58.624999999999993</v>
      </c>
      <c r="BE18" s="14">
        <f>BD18*VLOOKUP('Données projet'!$B$11,Paramètres!$A$1:$I$88,3,0)*VLOOKUP('Données projet'!$B$11,Paramètres!$A$1:$I$88,5,0)</f>
        <v>35.057749999999999</v>
      </c>
      <c r="BF18" s="14">
        <f t="shared" si="37"/>
        <v>10.67881941390851</v>
      </c>
      <c r="BG18" s="22">
        <f t="shared" si="7"/>
        <v>79.657858395890656</v>
      </c>
      <c r="BH18" s="62">
        <f t="shared" si="8"/>
        <v>284.1546083287717</v>
      </c>
      <c r="BI18" s="62">
        <f ca="1">AVERAGE(OFFSET($BH$3,0,0,'Données projet'!$E$11+1,1))-AVERAGE(OFFSET($H$3,0,0,'Données projet'!$E$11+1,1))</f>
        <v>248.66193174773525</v>
      </c>
      <c r="BJ18" s="62">
        <f t="shared" si="38"/>
        <v>249.61655682981151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96</v>
      </c>
      <c r="BW18" s="13">
        <f>VLOOKUP(A18,'Données projet'!$A$113:$I$133,9,0)</f>
        <v>6.4</v>
      </c>
      <c r="BX18" s="13">
        <f t="array" ref="BX18">INDEX(BW:BW,MIN(IF(ISNUMBER(BW18:BW214),ROW(BW18:BW214),"")))</f>
        <v>6.4</v>
      </c>
      <c r="BY18" s="13">
        <f>IF('Données projet'!$A$114&gt;35,BY17+BX18-CG17,IF(A18&lt;'Données projet'!$A$114,$BV$205^A18,IF(A18='Données projet'!$A$114,'Données projet'!$B$114,BY17+BX18-CG17)))</f>
        <v>96</v>
      </c>
      <c r="BZ18" s="14">
        <f>BY18*VLOOKUP('Données projet'!$B$12,Paramètres!$A$1:$I$88,3,0)*VLOOKUP('Données projet'!$B$12,Paramètres!$A$1:$I$88,5,0)</f>
        <v>38.687999999999995</v>
      </c>
      <c r="CA18" s="14">
        <f t="shared" si="39"/>
        <v>11.650229083154349</v>
      </c>
      <c r="CB18" s="22">
        <f t="shared" si="10"/>
        <v>87.672415653160485</v>
      </c>
      <c r="CC18" s="62">
        <f t="shared" si="11"/>
        <v>292.16916558604152</v>
      </c>
      <c r="CD18" s="62">
        <f ca="1">AVERAGE(OFFSET($CC$3,0,0,'Données projet'!$E$12+1,1))-AVERAGE(OFFSET($H$3,0,0,'Données projet'!$E$12+1,1))</f>
        <v>432.59662347701629</v>
      </c>
      <c r="CE18" s="62">
        <f t="shared" si="40"/>
        <v>348.67401091099748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100</v>
      </c>
      <c r="CR18" s="13">
        <f>VLOOKUP(A18,'Données projet'!$A$139:$I$159,9,0)</f>
        <v>6.666666666666667</v>
      </c>
      <c r="CS18" s="13">
        <f t="array" ref="CS18">INDEX(CR:CR,MIN(IF(ISNUMBER(CR18:CR214),ROW(CR18:CR214),"")))</f>
        <v>6.666666666666667</v>
      </c>
      <c r="CT18" s="13">
        <f>IF('Données projet'!$A$140&gt;35,CT17+CS18-DB17,IF(A18&lt;'Données projet'!$A$140,$CQ$205^A18,IF(A18='Données projet'!$A$140,'Données projet'!$B$140,CT17+CS18-DB17)))</f>
        <v>100</v>
      </c>
      <c r="CU18" s="18">
        <f>CT18*VLOOKUP('Données projet'!$B$13,Paramètres!$A$1:$I$88,3,0)*VLOOKUP('Données projet'!$B$13,Paramètres!$A$1:$I$88,5,0)</f>
        <v>44.2</v>
      </c>
      <c r="CV18" s="14">
        <f t="shared" si="41"/>
        <v>13.105306488370367</v>
      </c>
      <c r="CW18" s="22">
        <f t="shared" si="13"/>
        <v>99.806742133911712</v>
      </c>
      <c r="CX18" s="62">
        <f t="shared" si="14"/>
        <v>304.30349206679273</v>
      </c>
      <c r="CY18" s="62">
        <f ca="1">AVERAGE(OFFSET($CX$3,0,0,'Données projet'!$E$13+1,1))-AVERAGE(OFFSET($H$3,0,0,'Données projet'!$E$13+1,1))</f>
        <v>582.26951914082088</v>
      </c>
      <c r="CZ18" s="62">
        <f t="shared" si="42"/>
        <v>434.80429932654715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13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0.55000000000000004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4.1758348020479312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4.1758348020479312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6.0588235294117645</v>
      </c>
      <c r="DO18" s="13">
        <f>IF('Données projet'!$A$166&gt;35,DO17+DN18-DW17,IF(A18&lt;'Données projet'!$A$166,$DL$205^A18,IF(A18='Données projet'!$A$166,'Données projet'!$B$166,DO17+DN18-DW17)))</f>
        <v>59.708044157024418</v>
      </c>
      <c r="DP18" s="18">
        <f>DO18*VLOOKUP('Données projet'!$B$14,Paramètres!$A$1:$I$88,3,0)*VLOOKUP('Données projet'!$B$14,Paramètres!$A$1:$I$88,5,0)</f>
        <v>28.719569239528745</v>
      </c>
      <c r="DQ18" s="14">
        <f t="shared" si="43"/>
        <v>8.9536079993759188</v>
      </c>
      <c r="DR18" s="22">
        <f t="shared" si="16"/>
        <v>65.614117024425624</v>
      </c>
      <c r="DS18" s="62">
        <f t="shared" si="17"/>
        <v>270.11086695730665</v>
      </c>
      <c r="DT18" s="62">
        <f ca="1">AVERAGE(OFFSET($DS$3,0,0,'Données projet'!$E$14+1,1))-AVERAGE(OFFSET($H$3,0,0,'Données projet'!$E$14+1,1))</f>
        <v>273.24375559399846</v>
      </c>
      <c r="DU18" s="62">
        <f t="shared" si="44"/>
        <v>270.77718895097848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projet'!$B$14,Paramètres!$A$1:$I$88,3,0)*0.475*44/12</f>
        <v>0</v>
      </c>
      <c r="EB18" s="23">
        <f>EXP(-LN(2)/25)*EB17+(1-EXP(-LN(2)/25))/(LN(2)/25)*Calculateur!DW18*Calculateur!DY18*VLOOKUP('Données projet'!$B$14,Paramètres!$A$1:$I$88,3,0)*0.475*44/12</f>
        <v>0</v>
      </c>
      <c r="EC18" s="23">
        <f>EXP(-LN(2)/2)*EC17+(1-EXP(-LN(2)/2))/(LN(2)/2)*DW18*DZ18*VLOOKUP('Données projet'!$B$14,Paramètres!$A$1:$I$88,3,0)*0.475*44/12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6.0588235294117645</v>
      </c>
      <c r="EJ18" s="13">
        <f>IF('Données projet'!$A$192&gt;35,EJ17+EI18-ER17,IF(A18&lt;'Données projet'!$A$192,$EG$205^A18,IF(A18='Données projet'!$A$192,'Données projet'!$B$192,EJ17+EI18-ER17)))</f>
        <v>59.708044157024418</v>
      </c>
      <c r="EK18" s="18">
        <f>EJ18*VLOOKUP('Données projet'!$B$15,Paramètres!$A$1:$I$88,3,0)*VLOOKUP('Données projet'!$B$15,Paramètres!$A$1:$I$88,5,0)</f>
        <v>27.943364665487426</v>
      </c>
      <c r="EL18" s="14">
        <f t="shared" si="45"/>
        <v>8.7394463928457391</v>
      </c>
      <c r="EM18" s="22">
        <f t="shared" si="19"/>
        <v>63.889229259930261</v>
      </c>
      <c r="EN18" s="62">
        <f t="shared" si="20"/>
        <v>268.38597919281131</v>
      </c>
      <c r="EO18" s="62">
        <f ca="1">AVERAGE(OFFSET($EN$3,0,0,'Données projet'!$E$15+1,1))-AVERAGE(OFFSET($H$3,0,0,'Données projet'!$E$15+1,1))</f>
        <v>267.26203506406682</v>
      </c>
      <c r="EP18" s="62">
        <f t="shared" si="46"/>
        <v>265.10857635664843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projet'!$B$15,Paramètres!$A$1:$I$88,3,0)*0.475*44/12</f>
        <v>0</v>
      </c>
      <c r="EW18" s="23">
        <f>EXP(-LN(2)/25)*EW17+(1-EXP(-LN(2)/25))/(LN(2)/25)*Calculateur!ER18*Calculateur!ET18*VLOOKUP('Données projet'!$B$15,Paramètres!$A$1:$I$88,3,0)*0.475*44/12</f>
        <v>0</v>
      </c>
      <c r="EX18" s="23">
        <f>EXP(-LN(2)/2)*EX17+(1-EXP(-LN(2)/2))/(LN(2)/2)*ER18*EU18*VLOOKUP('Données projet'!$B$15,Paramètres!$A$1:$I$88,3,0)*0.475*44/12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83</v>
      </c>
      <c r="FC18" s="13">
        <f>VLOOKUP(A18,'Données projet'!$A$217:$I$237,9,0)</f>
        <v>7.8</v>
      </c>
      <c r="FD18" s="13">
        <f t="array" ref="FD18">INDEX(FC:FC,MIN(IF(ISNUMBER(FC18:FC214),ROW(FC18:FC214),"")))</f>
        <v>7.8</v>
      </c>
      <c r="FE18" s="13">
        <f>IF('Données projet'!$A$218&gt;35,FE17+FD18-FM17,IF(A18&lt;'Données projet'!$A$218,$FB$205^A18,IF(A18='Données projet'!$A$218,'Données projet'!$B$218,FE17+FD18-FM17)))</f>
        <v>82.999999999999986</v>
      </c>
      <c r="FF18" s="18">
        <f>FE18*VLOOKUP('Données projet'!$B$16,Paramètres!$A$1:$I$88,3,0)*VLOOKUP('Données projet'!$B$16,Paramètres!$A$1:$I$88,5,0)</f>
        <v>60.855599999999988</v>
      </c>
      <c r="FG18" s="14">
        <f t="shared" si="47"/>
        <v>17.384412949542664</v>
      </c>
      <c r="FH18" s="22">
        <f t="shared" si="22"/>
        <v>136.26802255378678</v>
      </c>
      <c r="FI18" s="62">
        <f t="shared" si="23"/>
        <v>340.76477248666782</v>
      </c>
      <c r="FJ18" s="62">
        <f ca="1">AVERAGE(OFFSET($FI$3,0,0,'Données projet'!$E$16+1,1))-AVERAGE(OFFSET($H$3,0,0,'Données projet'!$E$16+1,1))</f>
        <v>207.66160354686221</v>
      </c>
      <c r="FK18" s="62">
        <f t="shared" si="48"/>
        <v>260.45879589483525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projet'!$B$16,Paramètres!$A$1:$I$88,3,0)*0.475*44/12</f>
        <v>0</v>
      </c>
      <c r="FR18" s="23">
        <f>EXP(-LN(2)/25)*FR17+(1-EXP(-LN(2)/25))/(LN(2)/25)*Calculateur!FM18*Calculateur!FO18*VLOOKUP('Données projet'!$B$16,Paramètres!$A$1:$I$88,3,0)*0.475*44/12</f>
        <v>0</v>
      </c>
      <c r="FS18" s="23">
        <f>EXP(-LN(2)/2)*FS17+(1-EXP(-LN(2)/2))/(LN(2)/2)*FM18*FP18*VLOOKUP('Données projet'!$B$16,Paramètres!$A$1:$I$88,3,0)*0.475*44/12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12.458333333333334</v>
      </c>
      <c r="N19" s="14">
        <f>IF('Données projet'!$A$36&gt;35,N18+M19-V18,IF(A19&lt;'Données projet'!$A$36,$K$205^A19,IF(A19='Données projet'!$A$36,'Données projet'!$B$36,N18+M19-V18)))</f>
        <v>44.714405285317291</v>
      </c>
      <c r="O19" s="14">
        <f>N19*VLOOKUP('Données projet'!$B$9,Paramètres!$A$1:$I$88,3,0)*VLOOKUP('Données projet'!$B$9,Paramètres!$A$1:$I$88,5,0)</f>
        <v>24.995352554492367</v>
      </c>
      <c r="P19" s="14">
        <f t="shared" si="33"/>
        <v>7.9195501444494374</v>
      </c>
      <c r="Q19" s="22">
        <f t="shared" si="2"/>
        <v>57.326788867323636</v>
      </c>
      <c r="R19" s="62">
        <f t="shared" si="0"/>
        <v>264.26883478943768</v>
      </c>
      <c r="S19" s="62">
        <f ca="1">AVERAGE(OFFSET($R$3,0,0,'Données projet'!$E$9+1,1))-AVERAGE(OFFSET($H$3,0,0,'Données projet'!$E$9+1,1))</f>
        <v>378.13552372917843</v>
      </c>
      <c r="T19" s="62">
        <f t="shared" si="34"/>
        <v>528.97123645404952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3.2758620689655173</v>
      </c>
      <c r="AI19" s="14">
        <f>IF('Données projet'!$A$62&gt;35,AI18+AH19-AQ18,IF(A19&lt;'Données projet'!$A$62,$AF$205^A19,IF(A19='Données projet'!$A$62,'Données projet'!$B$62,AI18+AH19-AQ18)))</f>
        <v>12.335531061318317</v>
      </c>
      <c r="AJ19" s="14">
        <f>AI19*VLOOKUP('Données projet'!$B$10,Paramètres!$A$1:$I$88,3,0)*VLOOKUP('Données projet'!$B$10,Paramètres!$A$1:$I$88,5,0)</f>
        <v>11.161188504280812</v>
      </c>
      <c r="AK19" s="14">
        <f t="shared" si="35"/>
        <v>3.8842664387067329</v>
      </c>
      <c r="AL19" s="22">
        <f t="shared" si="4"/>
        <v>26.204167359036642</v>
      </c>
      <c r="AM19" s="62">
        <f t="shared" si="5"/>
        <v>233.14621328115069</v>
      </c>
      <c r="AN19" s="62">
        <f ca="1">AVERAGE(OFFSET($AM$3,0,0,'Données projet'!$E$10+1,1))-AVERAGE(OFFSET($H$3,0,0,'Données projet'!$E$10+1,1))</f>
        <v>536.3707066106856</v>
      </c>
      <c r="AO19" s="62">
        <f t="shared" si="36"/>
        <v>217.6280015974086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66.3</v>
      </c>
      <c r="BB19" s="13">
        <f>VLOOKUP(A19,'Données projet'!$A$87:$I$107,9,0)</f>
        <v>7.6749999999999989</v>
      </c>
      <c r="BC19" s="13">
        <f t="array" ref="BC19">INDEX(BB:BB,MIN(IF(ISNUMBER(BB19:BB215),ROW(BB19:BB215),"")))</f>
        <v>7.6749999999999989</v>
      </c>
      <c r="BD19" s="13">
        <f>IF('Données projet'!$A$88&gt;35,BD18+BC19-BL18,IF(A19&lt;'Données projet'!$A$88,$BA$205^A19,IF(A19='Données projet'!$A$88,'Données projet'!$B$88,BD18+BC19-BL18)))</f>
        <v>66.3</v>
      </c>
      <c r="BE19" s="14">
        <f>BD19*VLOOKUP('Données projet'!$B$11,Paramètres!$A$1:$I$88,3,0)*VLOOKUP('Données projet'!$B$11,Paramètres!$A$1:$I$88,5,0)</f>
        <v>39.647400000000005</v>
      </c>
      <c r="BF19" s="14">
        <f t="shared" si="37"/>
        <v>11.905142133477069</v>
      </c>
      <c r="BG19" s="22">
        <f t="shared" si="7"/>
        <v>89.787344215805888</v>
      </c>
      <c r="BH19" s="62">
        <f t="shared" si="8"/>
        <v>296.72939013791995</v>
      </c>
      <c r="BI19" s="62">
        <f ca="1">AVERAGE(OFFSET($BH$3,0,0,'Données projet'!$E$11+1,1))-AVERAGE(OFFSET($H$3,0,0,'Données projet'!$E$11+1,1))</f>
        <v>248.66193174773525</v>
      </c>
      <c r="BJ19" s="62">
        <f t="shared" si="38"/>
        <v>249.61655682981151</v>
      </c>
      <c r="BK19" s="16">
        <f>IF(ISNA(VLOOKUP(A19,'Données projet'!$A$87:$I$107,3,0)),0,VLOOKUP(A19,'Données projet'!$A$87:$I$107,3,0))</f>
        <v>1</v>
      </c>
      <c r="BL19" s="16">
        <f>IF(ISNA(VLOOKUP(A19,'Données projet'!$A$87:$I$107,4,0)),0,VLOOKUP(A19,'Données projet'!$A$87:$I$107,4,0))</f>
        <v>14.8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1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10.020708726028236</v>
      </c>
      <c r="BS19" s="24">
        <f t="shared" si="9"/>
        <v>10.020708726028236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12.6</v>
      </c>
      <c r="BY19" s="13">
        <f>IF('Données projet'!$A$114&gt;35,BY18+BX19-CG18,IF(A19&lt;'Données projet'!$A$114,$BV$205^A19,IF(A19='Données projet'!$A$114,'Données projet'!$B$114,BY18+BX19-CG18)))</f>
        <v>108.6</v>
      </c>
      <c r="BZ19" s="14">
        <f>BY19*VLOOKUP('Données projet'!$B$12,Paramètres!$A$1:$I$88,3,0)*VLOOKUP('Données projet'!$B$12,Paramètres!$A$1:$I$88,5,0)</f>
        <v>43.765799999999999</v>
      </c>
      <c r="CA19" s="14">
        <f t="shared" si="39"/>
        <v>12.991486226903</v>
      </c>
      <c r="CB19" s="22">
        <f t="shared" si="10"/>
        <v>98.85227351185604</v>
      </c>
      <c r="CC19" s="62">
        <f t="shared" si="11"/>
        <v>305.79431943397009</v>
      </c>
      <c r="CD19" s="62">
        <f ca="1">AVERAGE(OFFSET($CC$3,0,0,'Données projet'!$E$12+1,1))-AVERAGE(OFFSET($H$3,0,0,'Données projet'!$E$12+1,1))</f>
        <v>432.59662347701629</v>
      </c>
      <c r="CE19" s="62">
        <f t="shared" si="40"/>
        <v>348.67401091099748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13.6</v>
      </c>
      <c r="CT19" s="13">
        <f>IF('Données projet'!$A$140&gt;35,CT18+CS19-DB18,IF(A19&lt;'Données projet'!$A$140,$CQ$205^A19,IF(A19='Données projet'!$A$140,'Données projet'!$B$140,CT18+CS19-DB18)))</f>
        <v>100.6</v>
      </c>
      <c r="CU19" s="18">
        <f>CT19*VLOOKUP('Données projet'!$B$13,Paramètres!$A$1:$I$88,3,0)*VLOOKUP('Données projet'!$B$13,Paramètres!$A$1:$I$88,5,0)</f>
        <v>44.465200000000003</v>
      </c>
      <c r="CV19" s="14">
        <f t="shared" si="41"/>
        <v>13.174761373150957</v>
      </c>
      <c r="CW19" s="22">
        <f t="shared" si="13"/>
        <v>100.38959939157125</v>
      </c>
      <c r="CX19" s="62">
        <f t="shared" si="14"/>
        <v>307.33164531368533</v>
      </c>
      <c r="CY19" s="62">
        <f ca="1">AVERAGE(OFFSET($CX$3,0,0,'Données projet'!$E$13+1,1))-AVERAGE(OFFSET($H$3,0,0,'Données projet'!$E$13+1,1))</f>
        <v>582.26951914082088</v>
      </c>
      <c r="CZ19" s="62">
        <f t="shared" si="42"/>
        <v>434.80429932654715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4.0616463797883222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4.0616463797883222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6.0588235294117645</v>
      </c>
      <c r="DO19" s="13">
        <f>IF('Données projet'!$A$166&gt;35,DO18+DN19-DW18,IF(A19&lt;'Données projet'!$A$166,$DL$205^A19,IF(A19='Données projet'!$A$166,'Données projet'!$B$166,DO18+DN19-DW18)))</f>
        <v>78.42148014526073</v>
      </c>
      <c r="DP19" s="18">
        <f>DO19*VLOOKUP('Données projet'!$B$14,Paramètres!$A$1:$I$88,3,0)*VLOOKUP('Données projet'!$B$14,Paramètres!$A$1:$I$88,5,0)</f>
        <v>37.720731949870412</v>
      </c>
      <c r="DQ19" s="14">
        <f t="shared" si="43"/>
        <v>11.392479382549801</v>
      </c>
      <c r="DR19" s="22">
        <f t="shared" si="16"/>
        <v>85.53884307063187</v>
      </c>
      <c r="DS19" s="62">
        <f t="shared" si="17"/>
        <v>292.48088899274592</v>
      </c>
      <c r="DT19" s="62">
        <f ca="1">AVERAGE(OFFSET($DS$3,0,0,'Données projet'!$E$14+1,1))-AVERAGE(OFFSET($H$3,0,0,'Données projet'!$E$14+1,1))</f>
        <v>273.24375559399846</v>
      </c>
      <c r="DU19" s="62">
        <f t="shared" si="44"/>
        <v>270.77718895097848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projet'!$B$14,Paramètres!$A$1:$I$88,3,0)*0.475*44/12</f>
        <v>0</v>
      </c>
      <c r="EB19" s="23">
        <f>EXP(-LN(2)/25)*EB18+(1-EXP(-LN(2)/25))/(LN(2)/25)*Calculateur!DW19*Calculateur!DY19*VLOOKUP('Données projet'!$B$14,Paramètres!$A$1:$I$88,3,0)*0.475*44/12</f>
        <v>0</v>
      </c>
      <c r="EC19" s="23">
        <f>EXP(-LN(2)/2)*EC18+(1-EXP(-LN(2)/2))/(LN(2)/2)*DW19*DZ19*VLOOKUP('Données projet'!$B$14,Paramètres!$A$1:$I$88,3,0)*0.475*44/12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6.0588235294117645</v>
      </c>
      <c r="EJ19" s="13">
        <f>IF('Données projet'!$A$192&gt;35,EJ18+EI19-ER18,IF(A19&lt;'Données projet'!$A$192,$EG$205^A19,IF(A19='Données projet'!$A$192,'Données projet'!$B$192,EJ18+EI19-ER18)))</f>
        <v>78.42148014526073</v>
      </c>
      <c r="EK19" s="18">
        <f>EJ19*VLOOKUP('Données projet'!$B$15,Paramètres!$A$1:$I$88,3,0)*VLOOKUP('Données projet'!$B$15,Paramètres!$A$1:$I$88,5,0)</f>
        <v>36.701252707982022</v>
      </c>
      <c r="EL19" s="14">
        <f t="shared" si="45"/>
        <v>11.119982341457671</v>
      </c>
      <c r="EM19" s="22">
        <f t="shared" si="19"/>
        <v>83.288651044440797</v>
      </c>
      <c r="EN19" s="62">
        <f t="shared" si="20"/>
        <v>290.23069696655489</v>
      </c>
      <c r="EO19" s="62">
        <f ca="1">AVERAGE(OFFSET($EN$3,0,0,'Données projet'!$E$15+1,1))-AVERAGE(OFFSET($H$3,0,0,'Données projet'!$E$15+1,1))</f>
        <v>267.26203506406682</v>
      </c>
      <c r="EP19" s="62">
        <f t="shared" si="46"/>
        <v>265.10857635664843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projet'!$B$15,Paramètres!$A$1:$I$88,3,0)*0.475*44/12</f>
        <v>0</v>
      </c>
      <c r="EW19" s="23">
        <f>EXP(-LN(2)/25)*EW18+(1-EXP(-LN(2)/25))/(LN(2)/25)*Calculateur!ER19*Calculateur!ET19*VLOOKUP('Données projet'!$B$15,Paramètres!$A$1:$I$88,3,0)*0.475*44/12</f>
        <v>0</v>
      </c>
      <c r="EX19" s="23">
        <f>EXP(-LN(2)/2)*EX18+(1-EXP(-LN(2)/2))/(LN(2)/2)*ER19*EU19*VLOOKUP('Données projet'!$B$15,Paramètres!$A$1:$I$88,3,0)*0.475*44/12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>
        <f>VLOOKUP(A19,'Données projet'!$A$217:$I$237,2,0)</f>
        <v>92</v>
      </c>
      <c r="FC19" s="13">
        <f>VLOOKUP(A19,'Données projet'!$A$217:$I$237,9,0)</f>
        <v>9</v>
      </c>
      <c r="FD19" s="13">
        <f t="array" ref="FD19">INDEX(FC:FC,MIN(IF(ISNUMBER(FC19:FC215),ROW(FC19:FC215),"")))</f>
        <v>9</v>
      </c>
      <c r="FE19" s="13">
        <f>IF('Données projet'!$A$218&gt;35,FE18+FD19-FM18,IF(A19&lt;'Données projet'!$A$218,$FB$205^A19,IF(A19='Données projet'!$A$218,'Données projet'!$B$218,FE18+FD19-FM18)))</f>
        <v>91.999999999999986</v>
      </c>
      <c r="FF19" s="18">
        <f>FE19*VLOOKUP('Données projet'!$B$16,Paramètres!$A$1:$I$88,3,0)*VLOOKUP('Données projet'!$B$16,Paramètres!$A$1:$I$88,5,0)</f>
        <v>67.454399999999978</v>
      </c>
      <c r="FG19" s="14">
        <f t="shared" si="47"/>
        <v>19.03993894863979</v>
      </c>
      <c r="FH19" s="22">
        <f t="shared" si="22"/>
        <v>150.64430700221425</v>
      </c>
      <c r="FI19" s="62">
        <f t="shared" si="23"/>
        <v>357.58635292432831</v>
      </c>
      <c r="FJ19" s="62">
        <f ca="1">AVERAGE(OFFSET($FI$3,0,0,'Données projet'!$E$16+1,1))-AVERAGE(OFFSET($H$3,0,0,'Données projet'!$E$16+1,1))</f>
        <v>207.66160354686221</v>
      </c>
      <c r="FK19" s="62">
        <f t="shared" si="48"/>
        <v>260.45879589483525</v>
      </c>
      <c r="FL19" s="16">
        <f>IF(ISNA(VLOOKUP(A19,'Données projet'!$A$217:$I$237,3,0)),0,VLOOKUP(A19,'Données projet'!$A$217:$I$237,3,0))</f>
        <v>2</v>
      </c>
      <c r="FM19" s="16">
        <f>IF(ISNA(VLOOKUP(A19,'Données projet'!$A$217:$I$237,4,0)),0,VLOOKUP(A19,'Données projet'!$A$217:$I$237,4,0))</f>
        <v>33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projet'!$B$16,Paramètres!$A$1:$I$88,3,0)*0.475*44/12</f>
        <v>0</v>
      </c>
      <c r="FR19" s="23">
        <f>EXP(-LN(2)/25)*FR18+(1-EXP(-LN(2)/25))/(LN(2)/25)*Calculateur!FM19*Calculateur!FO19*VLOOKUP('Données projet'!$B$16,Paramètres!$A$1:$I$88,3,0)*0.475*44/12</f>
        <v>0</v>
      </c>
      <c r="FS19" s="23">
        <f>EXP(-LN(2)/2)*FS18+(1-EXP(-LN(2)/2))/(LN(2)/2)*FM19*FP19*VLOOKUP('Données projet'!$B$16,Paramètres!$A$1:$I$88,3,0)*0.475*44/12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12.458333333333334</v>
      </c>
      <c r="N20" s="14">
        <f>IF('Données projet'!$A$36&gt;35,N19+M20-V19,IF(A20&lt;'Données projet'!$A$36,$K$205^A20,IF(A20='Données projet'!$A$36,'Données projet'!$B$36,N19+M20-V19)))</f>
        <v>56.702267313033659</v>
      </c>
      <c r="O20" s="14">
        <f>N20*VLOOKUP('Données projet'!$B$9,Paramètres!$A$1:$I$88,3,0)*VLOOKUP('Données projet'!$B$9,Paramètres!$A$1:$I$88,5,0)</f>
        <v>31.696567427985816</v>
      </c>
      <c r="P20" s="14">
        <f t="shared" si="33"/>
        <v>9.7689182190881372</v>
      </c>
      <c r="Q20" s="22">
        <f t="shared" si="2"/>
        <v>72.219054168653798</v>
      </c>
      <c r="R20" s="62">
        <f t="shared" si="0"/>
        <v>281.58517848452652</v>
      </c>
      <c r="S20" s="62">
        <f ca="1">AVERAGE(OFFSET($R$3,0,0,'Données projet'!$E$9+1,1))-AVERAGE(OFFSET($H$3,0,0,'Données projet'!$E$9+1,1))</f>
        <v>378.13552372917843</v>
      </c>
      <c r="T20" s="62">
        <f t="shared" si="34"/>
        <v>528.97123645404952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3.2758620689655173</v>
      </c>
      <c r="AI20" s="14">
        <f>IF('Données projet'!$A$62&gt;35,AI19+AH20-AQ19,IF(A20&lt;'Données projet'!$A$62,$AF$205^A20,IF(A20='Données projet'!$A$62,'Données projet'!$B$62,AI19+AH20-AQ19)))</f>
        <v>14.43295364875959</v>
      </c>
      <c r="AJ20" s="14">
        <f>AI20*VLOOKUP('Données projet'!$B$10,Paramètres!$A$1:$I$88,3,0)*VLOOKUP('Données projet'!$B$10,Paramètres!$A$1:$I$88,5,0)</f>
        <v>13.058936461397677</v>
      </c>
      <c r="AK20" s="14">
        <f t="shared" si="35"/>
        <v>4.4623969977617914</v>
      </c>
      <c r="AL20" s="22">
        <f t="shared" si="4"/>
        <v>30.5163224413694</v>
      </c>
      <c r="AM20" s="62">
        <f t="shared" si="5"/>
        <v>239.88244675724212</v>
      </c>
      <c r="AN20" s="62">
        <f ca="1">AVERAGE(OFFSET($AM$3,0,0,'Données projet'!$E$10+1,1))-AVERAGE(OFFSET($H$3,0,0,'Données projet'!$E$10+1,1))</f>
        <v>536.3707066106856</v>
      </c>
      <c r="AO20" s="62">
        <f t="shared" si="36"/>
        <v>217.6280015974086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11.425000000000001</v>
      </c>
      <c r="BD20" s="13">
        <f>IF('Données projet'!$A$88&gt;35,BD19+BC20-BL19,IF(A20&lt;'Données projet'!$A$88,$BA$205^A20,IF(A20='Données projet'!$A$88,'Données projet'!$B$88,BD19+BC20-BL19)))</f>
        <v>62.924999999999997</v>
      </c>
      <c r="BE20" s="14">
        <f>BD20*VLOOKUP('Données projet'!$B$11,Paramètres!$A$1:$I$88,3,0)*VLOOKUP('Données projet'!$B$11,Paramètres!$A$1:$I$88,5,0)</f>
        <v>37.629150000000003</v>
      </c>
      <c r="BF20" s="14">
        <f t="shared" si="37"/>
        <v>11.368035783494761</v>
      </c>
      <c r="BG20" s="22">
        <f t="shared" si="7"/>
        <v>85.336765239586711</v>
      </c>
      <c r="BH20" s="62">
        <f t="shared" si="8"/>
        <v>294.70288955545942</v>
      </c>
      <c r="BI20" s="62">
        <f ca="1">AVERAGE(OFFSET($BH$3,0,0,'Données projet'!$E$11+1,1))-AVERAGE(OFFSET($H$3,0,0,'Données projet'!$E$11+1,1))</f>
        <v>248.66193174773525</v>
      </c>
      <c r="BJ20" s="62">
        <f t="shared" si="38"/>
        <v>249.61655682981151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7.0857110924697757</v>
      </c>
      <c r="BS20" s="24">
        <f t="shared" si="9"/>
        <v>7.0857110924697757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12.6</v>
      </c>
      <c r="BY20" s="13">
        <f>IF('Données projet'!$A$114&gt;35,BY19+BX20-CG19,IF(A20&lt;'Données projet'!$A$114,$BV$205^A20,IF(A20='Données projet'!$A$114,'Données projet'!$B$114,BY19+BX20-CG19)))</f>
        <v>121.19999999999999</v>
      </c>
      <c r="BZ20" s="14">
        <f>BY20*VLOOKUP('Données projet'!$B$12,Paramètres!$A$1:$I$88,3,0)*VLOOKUP('Données projet'!$B$12,Paramètres!$A$1:$I$88,5,0)</f>
        <v>48.843599999999995</v>
      </c>
      <c r="CA20" s="14">
        <f t="shared" si="39"/>
        <v>14.31470882643448</v>
      </c>
      <c r="CB20" s="22">
        <f t="shared" si="10"/>
        <v>110.00072120604004</v>
      </c>
      <c r="CC20" s="62">
        <f t="shared" si="11"/>
        <v>319.36684552191275</v>
      </c>
      <c r="CD20" s="62">
        <f ca="1">AVERAGE(OFFSET($CC$3,0,0,'Données projet'!$E$12+1,1))-AVERAGE(OFFSET($H$3,0,0,'Données projet'!$E$12+1,1))</f>
        <v>432.59662347701629</v>
      </c>
      <c r="CE20" s="62">
        <f t="shared" si="40"/>
        <v>348.67401091099748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13.6</v>
      </c>
      <c r="CT20" s="13">
        <f>IF('Données projet'!$A$140&gt;35,CT19+CS20-DB19,IF(A20&lt;'Données projet'!$A$140,$CQ$205^A20,IF(A20='Données projet'!$A$140,'Données projet'!$B$140,CT19+CS20-DB19)))</f>
        <v>114.19999999999999</v>
      </c>
      <c r="CU20" s="18">
        <f>CT20*VLOOKUP('Données projet'!$B$13,Paramètres!$A$1:$I$88,3,0)*VLOOKUP('Données projet'!$B$13,Paramètres!$A$1:$I$88,5,0)</f>
        <v>50.476399999999998</v>
      </c>
      <c r="CV20" s="14">
        <f t="shared" si="41"/>
        <v>14.736724056523251</v>
      </c>
      <c r="CW20" s="22">
        <f t="shared" si="13"/>
        <v>113.57952439844463</v>
      </c>
      <c r="CX20" s="62">
        <f t="shared" si="14"/>
        <v>322.94564871431737</v>
      </c>
      <c r="CY20" s="62">
        <f ca="1">AVERAGE(OFFSET($CX$3,0,0,'Données projet'!$E$13+1,1))-AVERAGE(OFFSET($H$3,0,0,'Données projet'!$E$13+1,1))</f>
        <v>582.26951914082088</v>
      </c>
      <c r="CZ20" s="62">
        <f t="shared" si="42"/>
        <v>434.80429932654715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3.9505804459403104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3.9505804459403104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>
        <f>VLOOKUP(A20,'Données projet'!$A$165:$I$185,2,0)</f>
        <v>103</v>
      </c>
      <c r="DM20" s="13">
        <f>VLOOKUP(A20,'Données projet'!$A$165:$I$185,9,0)</f>
        <v>6.0588235294117645</v>
      </c>
      <c r="DN20" s="13">
        <f t="array" ref="DN20">INDEX(DM:DM,MIN(IF(ISNUMBER(DM20:DM216),ROW(DM20:DM216),"")))</f>
        <v>6.0588235294117645</v>
      </c>
      <c r="DO20" s="13">
        <f>IF('Données projet'!$A$166&gt;35,DO19+DN20-DW19,IF(A20&lt;'Données projet'!$A$166,$DL$205^A20,IF(A20='Données projet'!$A$166,'Données projet'!$B$166,DO19+DN20-DW19)))</f>
        <v>103</v>
      </c>
      <c r="DP20" s="18">
        <f>DO20*VLOOKUP('Données projet'!$B$14,Paramètres!$A$1:$I$88,3,0)*VLOOKUP('Données projet'!$B$14,Paramètres!$A$1:$I$88,5,0)</f>
        <v>49.542999999999999</v>
      </c>
      <c r="DQ20" s="14">
        <f t="shared" si="43"/>
        <v>14.49567442430679</v>
      </c>
      <c r="DR20" s="22">
        <f t="shared" si="16"/>
        <v>111.53402462233431</v>
      </c>
      <c r="DS20" s="62">
        <f t="shared" si="17"/>
        <v>320.90014893820705</v>
      </c>
      <c r="DT20" s="62">
        <f ca="1">AVERAGE(OFFSET($DS$3,0,0,'Données projet'!$E$14+1,1))-AVERAGE(OFFSET($H$3,0,0,'Données projet'!$E$14+1,1))</f>
        <v>273.24375559399846</v>
      </c>
      <c r="DU20" s="62">
        <f t="shared" si="44"/>
        <v>270.77718895097848</v>
      </c>
      <c r="DV20" s="16">
        <f>IF(ISNA(VLOOKUP(A20,'Données projet'!$A$165:$I$185,3,0)),0,VLOOKUP(A20,'Données projet'!$A$165:$I$185,3,0))</f>
        <v>1</v>
      </c>
      <c r="DW20" s="16">
        <f>IF(ISNA(VLOOKUP(A20,'Données projet'!$A$165:$I$185,4,0)),0,VLOOKUP(A20,'Données projet'!$A$165:$I$185,4,0))</f>
        <v>15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0.55000000000000004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projet'!$B$14,Paramètres!$A$1:$I$88,3,0)*0.475*44/12</f>
        <v>0</v>
      </c>
      <c r="EB20" s="23">
        <f>EXP(-LN(2)/25)*EB19+(1-EXP(-LN(2)/25))/(LN(2)/25)*Calculateur!DW20*Calculateur!DY20*VLOOKUP('Données projet'!$B$14,Paramètres!$A$1:$I$88,3,0)*0.475*44/12</f>
        <v>5.24341247768462</v>
      </c>
      <c r="EC20" s="23">
        <f>EXP(-LN(2)/2)*EC19+(1-EXP(-LN(2)/2))/(LN(2)/2)*DW20*DZ20*VLOOKUP('Données projet'!$B$14,Paramètres!$A$1:$I$88,3,0)*0.475*44/12</f>
        <v>0</v>
      </c>
      <c r="ED20" s="24">
        <f t="shared" si="18"/>
        <v>5.24341247768462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>
        <f>VLOOKUP(A20,'Données projet'!$A$191:$I$211,2,0)</f>
        <v>103</v>
      </c>
      <c r="EH20" s="13">
        <f>VLOOKUP(A20,'Données projet'!$A$191:$I$211,9,0)</f>
        <v>6.0588235294117645</v>
      </c>
      <c r="EI20" s="13">
        <f t="array" ref="EI20">INDEX(EH:EH,MIN(IF(ISNUMBER(EH20:EH216),ROW(EH20:EH216),"")))</f>
        <v>6.0588235294117645</v>
      </c>
      <c r="EJ20" s="13">
        <f>IF('Données projet'!$A$192&gt;35,EJ19+EI20-ER19,IF(A20&lt;'Données projet'!$A$192,$EG$205^A20,IF(A20='Données projet'!$A$192,'Données projet'!$B$192,EJ19+EI20-ER19)))</f>
        <v>103</v>
      </c>
      <c r="EK20" s="18">
        <f>EJ20*VLOOKUP('Données projet'!$B$15,Paramètres!$A$1:$I$88,3,0)*VLOOKUP('Données projet'!$B$15,Paramètres!$A$1:$I$88,5,0)</f>
        <v>48.204000000000001</v>
      </c>
      <c r="EL20" s="14">
        <f t="shared" si="45"/>
        <v>14.148951972009977</v>
      </c>
      <c r="EM20" s="22">
        <f t="shared" si="19"/>
        <v>108.59805801791737</v>
      </c>
      <c r="EN20" s="62">
        <f t="shared" si="20"/>
        <v>317.96418233379006</v>
      </c>
      <c r="EO20" s="62">
        <f ca="1">AVERAGE(OFFSET($EN$3,0,0,'Données projet'!$E$15+1,1))-AVERAGE(OFFSET($H$3,0,0,'Données projet'!$E$15+1,1))</f>
        <v>267.26203506406682</v>
      </c>
      <c r="EP20" s="62">
        <f t="shared" si="46"/>
        <v>265.10857635664843</v>
      </c>
      <c r="EQ20" s="16">
        <f>IF(ISNA(VLOOKUP(A20,'Données projet'!$A$191:$I$211,3,0)),0,VLOOKUP(A20,'Données projet'!$A$191:$I$211,3,0))</f>
        <v>1</v>
      </c>
      <c r="ER20" s="16">
        <f>IF(ISNA(VLOOKUP(A20,'Données projet'!$A$191:$I$211,4,0)),0,VLOOKUP(A20,'Données projet'!$A$191:$I$211,4,0))</f>
        <v>15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0.55000000000000004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projet'!$B$15,Paramètres!$A$1:$I$88,3,0)*0.475*44/12</f>
        <v>0</v>
      </c>
      <c r="EW20" s="23">
        <f>EXP(-LN(2)/25)*EW19+(1-EXP(-LN(2)/25))/(LN(2)/25)*Calculateur!ER20*Calculateur!ET20*VLOOKUP('Données projet'!$B$15,Paramètres!$A$1:$I$88,3,0)*0.475*44/12</f>
        <v>5.1016986269363862</v>
      </c>
      <c r="EX20" s="23">
        <f>EXP(-LN(2)/2)*EX19+(1-EXP(-LN(2)/2))/(LN(2)/2)*ER20*EU20*VLOOKUP('Données projet'!$B$15,Paramètres!$A$1:$I$88,3,0)*0.475*44/12</f>
        <v>0</v>
      </c>
      <c r="EY20" s="24">
        <f t="shared" si="21"/>
        <v>5.1016986269363862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8</v>
      </c>
      <c r="FE20" s="13">
        <f>IF('Données projet'!$A$218&gt;35,FE19+FD20-FM19,IF(A20&lt;'Données projet'!$A$218,$FB$205^A20,IF(A20='Données projet'!$A$218,'Données projet'!$B$218,FE19+FD20-FM19)))</f>
        <v>66.999999999999986</v>
      </c>
      <c r="FF20" s="18">
        <f>FE20*VLOOKUP('Données projet'!$B$16,Paramètres!$A$1:$I$88,3,0)*VLOOKUP('Données projet'!$B$16,Paramètres!$A$1:$I$88,5,0)</f>
        <v>49.124399999999987</v>
      </c>
      <c r="FG20" s="14">
        <f t="shared" si="47"/>
        <v>14.387400160367713</v>
      </c>
      <c r="FH20" s="22">
        <f t="shared" si="22"/>
        <v>110.61638527930707</v>
      </c>
      <c r="FI20" s="62">
        <f t="shared" si="23"/>
        <v>319.98250959517981</v>
      </c>
      <c r="FJ20" s="62">
        <f ca="1">AVERAGE(OFFSET($FI$3,0,0,'Données projet'!$E$16+1,1))-AVERAGE(OFFSET($H$3,0,0,'Données projet'!$E$16+1,1))</f>
        <v>207.66160354686221</v>
      </c>
      <c r="FK20" s="62">
        <f t="shared" si="48"/>
        <v>260.45879589483525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projet'!$B$16,Paramètres!$A$1:$I$88,3,0)*0.475*44/12</f>
        <v>0</v>
      </c>
      <c r="FR20" s="23">
        <f>EXP(-LN(2)/25)*FR19+(1-EXP(-LN(2)/25))/(LN(2)/25)*Calculateur!FM20*Calculateur!FO20*VLOOKUP('Données projet'!$B$16,Paramètres!$A$1:$I$88,3,0)*0.475*44/12</f>
        <v>0</v>
      </c>
      <c r="FS20" s="23">
        <f>EXP(-LN(2)/2)*FS19+(1-EXP(-LN(2)/2))/(LN(2)/2)*FM20*FP20*VLOOKUP('Données projet'!$B$16,Paramètres!$A$1:$I$88,3,0)*0.475*44/12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12.458333333333334</v>
      </c>
      <c r="N21" s="14">
        <f>IF('Données projet'!$A$36&gt;35,N20+M21-V20,IF(A21&lt;'Données projet'!$A$36,$K$205^A21,IF(A21='Données projet'!$A$36,'Données projet'!$B$36,N20+M21-V20)))</f>
        <v>71.904056375641233</v>
      </c>
      <c r="O21" s="14">
        <f>N21*VLOOKUP('Données projet'!$B$9,Paramètres!$A$1:$I$88,3,0)*VLOOKUP('Données projet'!$B$9,Paramètres!$A$1:$I$88,5,0)</f>
        <v>40.194367513983451</v>
      </c>
      <c r="P21" s="14">
        <f t="shared" si="33"/>
        <v>12.050149494680237</v>
      </c>
      <c r="Q21" s="22">
        <f t="shared" si="2"/>
        <v>90.992533790089269</v>
      </c>
      <c r="R21" s="62">
        <f t="shared" si="0"/>
        <v>302.76188698209239</v>
      </c>
      <c r="S21" s="62">
        <f ca="1">AVERAGE(OFFSET($R$3,0,0,'Données projet'!$E$9+1,1))-AVERAGE(OFFSET($H$3,0,0,'Données projet'!$E$9+1,1))</f>
        <v>378.13552372917843</v>
      </c>
      <c r="T21" s="62">
        <f t="shared" si="34"/>
        <v>528.97123645404952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3.2758620689655173</v>
      </c>
      <c r="AI21" s="14">
        <f>IF('Données projet'!$A$62&gt;35,AI20+AH21-AQ20,IF(A21&lt;'Données projet'!$A$62,$AF$205^A21,IF(A21='Données projet'!$A$62,'Données projet'!$B$62,AI20+AH21-AQ20)))</f>
        <v>16.887003080107384</v>
      </c>
      <c r="AJ21" s="14">
        <f>AI21*VLOOKUP('Données projet'!$B$10,Paramètres!$A$1:$I$88,3,0)*VLOOKUP('Données projet'!$B$10,Paramètres!$A$1:$I$88,5,0)</f>
        <v>15.27936038688116</v>
      </c>
      <c r="AK21" s="14">
        <f t="shared" si="35"/>
        <v>5.1265759648206535</v>
      </c>
      <c r="AL21" s="22">
        <f t="shared" si="4"/>
        <v>35.540339145880658</v>
      </c>
      <c r="AM21" s="62">
        <f t="shared" si="5"/>
        <v>247.30969233788377</v>
      </c>
      <c r="AN21" s="62">
        <f ca="1">AVERAGE(OFFSET($AM$3,0,0,'Données projet'!$E$10+1,1))-AVERAGE(OFFSET($H$3,0,0,'Données projet'!$E$10+1,1))</f>
        <v>536.3707066106856</v>
      </c>
      <c r="AO21" s="62">
        <f t="shared" si="36"/>
        <v>217.6280015974086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11.425000000000001</v>
      </c>
      <c r="BD21" s="13">
        <f>IF('Données projet'!$A$88&gt;35,BD20+BC21-BL20,IF(A21&lt;'Données projet'!$A$88,$BA$205^A21,IF(A21='Données projet'!$A$88,'Données projet'!$B$88,BD20+BC21-BL20)))</f>
        <v>74.349999999999994</v>
      </c>
      <c r="BE21" s="14">
        <f>BD21*VLOOKUP('Données projet'!$B$11,Paramètres!$A$1:$I$88,3,0)*VLOOKUP('Données projet'!$B$11,Paramètres!$A$1:$I$88,5,0)</f>
        <v>44.461300000000001</v>
      </c>
      <c r="BF21" s="14">
        <f t="shared" si="37"/>
        <v>13.17374032778412</v>
      </c>
      <c r="BG21" s="22">
        <f t="shared" si="7"/>
        <v>100.38102857089069</v>
      </c>
      <c r="BH21" s="62">
        <f t="shared" si="8"/>
        <v>312.1503817628938</v>
      </c>
      <c r="BI21" s="62">
        <f ca="1">AVERAGE(OFFSET($BH$3,0,0,'Données projet'!$E$11+1,1))-AVERAGE(OFFSET($H$3,0,0,'Données projet'!$E$11+1,1))</f>
        <v>248.66193174773525</v>
      </c>
      <c r="BJ21" s="62">
        <f t="shared" si="38"/>
        <v>249.61655682981151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5.0103543630141187</v>
      </c>
      <c r="BS21" s="24">
        <f t="shared" si="9"/>
        <v>5.0103543630141187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12.6</v>
      </c>
      <c r="BY21" s="13">
        <f>IF('Données projet'!$A$114&gt;35,BY20+BX21-CG20,IF(A21&lt;'Données projet'!$A$114,$BV$205^A21,IF(A21='Données projet'!$A$114,'Données projet'!$B$114,BY20+BX21-CG20)))</f>
        <v>133.79999999999998</v>
      </c>
      <c r="BZ21" s="14">
        <f>BY21*VLOOKUP('Données projet'!$B$12,Paramètres!$A$1:$I$88,3,0)*VLOOKUP('Données projet'!$B$12,Paramètres!$A$1:$I$88,5,0)</f>
        <v>53.921399999999991</v>
      </c>
      <c r="CA21" s="14">
        <f t="shared" si="39"/>
        <v>15.621985323792435</v>
      </c>
      <c r="CB21" s="22">
        <f t="shared" si="10"/>
        <v>121.12139610560513</v>
      </c>
      <c r="CC21" s="62">
        <f t="shared" si="11"/>
        <v>332.89074929760824</v>
      </c>
      <c r="CD21" s="62">
        <f ca="1">AVERAGE(OFFSET($CC$3,0,0,'Données projet'!$E$12+1,1))-AVERAGE(OFFSET($H$3,0,0,'Données projet'!$E$12+1,1))</f>
        <v>432.59662347701629</v>
      </c>
      <c r="CE21" s="62">
        <f t="shared" si="40"/>
        <v>348.67401091099748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13.6</v>
      </c>
      <c r="CT21" s="13">
        <f>IF('Données projet'!$A$140&gt;35,CT20+CS21-DB20,IF(A21&lt;'Données projet'!$A$140,$CQ$205^A21,IF(A21='Données projet'!$A$140,'Données projet'!$B$140,CT20+CS21-DB20)))</f>
        <v>127.79999999999998</v>
      </c>
      <c r="CU21" s="18">
        <f>CT21*VLOOKUP('Données projet'!$B$13,Paramètres!$A$1:$I$88,3,0)*VLOOKUP('Données projet'!$B$13,Paramètres!$A$1:$I$88,5,0)</f>
        <v>56.4876</v>
      </c>
      <c r="CV21" s="14">
        <f t="shared" si="41"/>
        <v>16.277130466327527</v>
      </c>
      <c r="CW21" s="22">
        <f t="shared" si="13"/>
        <v>126.73190556218712</v>
      </c>
      <c r="CX21" s="62">
        <f t="shared" si="14"/>
        <v>338.50125875419025</v>
      </c>
      <c r="CY21" s="62">
        <f ca="1">AVERAGE(OFFSET($CX$3,0,0,'Données projet'!$E$13+1,1))-AVERAGE(OFFSET($H$3,0,0,'Données projet'!$E$13+1,1))</f>
        <v>582.26951914082088</v>
      </c>
      <c r="CZ21" s="62">
        <f t="shared" si="42"/>
        <v>434.80429932654715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3.842551615894076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3.842551615894076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11.333333333333334</v>
      </c>
      <c r="DO21" s="13">
        <f>IF('Données projet'!$A$166&gt;35,DO20+DN21-DW20,IF(A21&lt;'Données projet'!$A$166,$DL$205^A21,IF(A21='Données projet'!$A$166,'Données projet'!$B$166,DO20+DN21-DW20)))</f>
        <v>99.333333333333329</v>
      </c>
      <c r="DP21" s="18">
        <f>DO21*VLOOKUP('Données projet'!$B$14,Paramètres!$A$1:$I$88,3,0)*VLOOKUP('Données projet'!$B$14,Paramètres!$A$1:$I$88,5,0)</f>
        <v>47.779333333333334</v>
      </c>
      <c r="DQ21" s="14">
        <f t="shared" si="43"/>
        <v>14.038755313257377</v>
      </c>
      <c r="DR21" s="22">
        <f t="shared" si="16"/>
        <v>107.66650439281216</v>
      </c>
      <c r="DS21" s="62">
        <f t="shared" si="17"/>
        <v>319.43585758481527</v>
      </c>
      <c r="DT21" s="62">
        <f ca="1">AVERAGE(OFFSET($DS$3,0,0,'Données projet'!$E$14+1,1))-AVERAGE(OFFSET($H$3,0,0,'Données projet'!$E$14+1,1))</f>
        <v>273.24375559399846</v>
      </c>
      <c r="DU21" s="62">
        <f t="shared" si="44"/>
        <v>270.77718895097848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projet'!$B$14,Paramètres!$A$1:$I$88,3,0)*0.475*44/12</f>
        <v>0</v>
      </c>
      <c r="EB21" s="23">
        <f>EXP(-LN(2)/25)*EB20+(1-EXP(-LN(2)/25))/(LN(2)/25)*Calculateur!DW21*Calculateur!DY21*VLOOKUP('Données projet'!$B$14,Paramètres!$A$1:$I$88,3,0)*0.475*44/12</f>
        <v>5.1000310877432558</v>
      </c>
      <c r="EC21" s="23">
        <f>EXP(-LN(2)/2)*EC20+(1-EXP(-LN(2)/2))/(LN(2)/2)*DW21*DZ21*VLOOKUP('Données projet'!$B$14,Paramètres!$A$1:$I$88,3,0)*0.475*44/12</f>
        <v>0</v>
      </c>
      <c r="ED21" s="24">
        <f t="shared" si="18"/>
        <v>5.1000310877432558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11.333333333333334</v>
      </c>
      <c r="EJ21" s="13">
        <f>IF('Données projet'!$A$192&gt;35,EJ20+EI21-ER20,IF(A21&lt;'Données projet'!$A$192,$EG$205^A21,IF(A21='Données projet'!$A$192,'Données projet'!$B$192,EJ20+EI21-ER20)))</f>
        <v>99.333333333333329</v>
      </c>
      <c r="EK21" s="18">
        <f>EJ21*VLOOKUP('Données projet'!$B$15,Paramètres!$A$1:$I$88,3,0)*VLOOKUP('Données projet'!$B$15,Paramètres!$A$1:$I$88,5,0)</f>
        <v>46.488</v>
      </c>
      <c r="EL21" s="14">
        <f t="shared" si="45"/>
        <v>13.70296192228238</v>
      </c>
      <c r="EM21" s="22">
        <f t="shared" si="19"/>
        <v>104.83259201464182</v>
      </c>
      <c r="EN21" s="62">
        <f t="shared" si="20"/>
        <v>316.60194520664493</v>
      </c>
      <c r="EO21" s="62">
        <f ca="1">AVERAGE(OFFSET($EN$3,0,0,'Données projet'!$E$15+1,1))-AVERAGE(OFFSET($H$3,0,0,'Données projet'!$E$15+1,1))</f>
        <v>267.26203506406682</v>
      </c>
      <c r="EP21" s="62">
        <f t="shared" si="46"/>
        <v>265.10857635664843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projet'!$B$15,Paramètres!$A$1:$I$88,3,0)*0.475*44/12</f>
        <v>0</v>
      </c>
      <c r="EW21" s="23">
        <f>EXP(-LN(2)/25)*EW20+(1-EXP(-LN(2)/25))/(LN(2)/25)*Calculateur!ER21*Calculateur!ET21*VLOOKUP('Données projet'!$B$15,Paramètres!$A$1:$I$88,3,0)*0.475*44/12</f>
        <v>4.9621924096961401</v>
      </c>
      <c r="EX21" s="23">
        <f>EXP(-LN(2)/2)*EX20+(1-EXP(-LN(2)/2))/(LN(2)/2)*ER21*EU21*VLOOKUP('Données projet'!$B$15,Paramètres!$A$1:$I$88,3,0)*0.475*44/12</f>
        <v>0</v>
      </c>
      <c r="EY21" s="24">
        <f t="shared" si="21"/>
        <v>4.9621924096961401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8</v>
      </c>
      <c r="FE21" s="13">
        <f>IF('Données projet'!$A$218&gt;35,FE20+FD21-FM20,IF(A21&lt;'Données projet'!$A$218,$FB$205^A21,IF(A21='Données projet'!$A$218,'Données projet'!$B$218,FE20+FD21-FM20)))</f>
        <v>74.999999999999986</v>
      </c>
      <c r="FF21" s="18">
        <f>FE21*VLOOKUP('Données projet'!$B$16,Paramètres!$A$1:$I$88,3,0)*VLOOKUP('Données projet'!$B$16,Paramètres!$A$1:$I$88,5,0)</f>
        <v>54.989999999999988</v>
      </c>
      <c r="FG21" s="14">
        <f t="shared" si="47"/>
        <v>15.895227919347008</v>
      </c>
      <c r="FH21" s="22">
        <f t="shared" si="22"/>
        <v>123.45843862619598</v>
      </c>
      <c r="FI21" s="62">
        <f t="shared" si="23"/>
        <v>335.22779181819908</v>
      </c>
      <c r="FJ21" s="62">
        <f ca="1">AVERAGE(OFFSET($FI$3,0,0,'Données projet'!$E$16+1,1))-AVERAGE(OFFSET($H$3,0,0,'Données projet'!$E$16+1,1))</f>
        <v>207.66160354686221</v>
      </c>
      <c r="FK21" s="62">
        <f t="shared" si="48"/>
        <v>260.45879589483525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projet'!$B$16,Paramètres!$A$1:$I$88,3,0)*0.475*44/12</f>
        <v>0</v>
      </c>
      <c r="FR21" s="23">
        <f>EXP(-LN(2)/25)*FR20+(1-EXP(-LN(2)/25))/(LN(2)/25)*Calculateur!FM21*Calculateur!FO21*VLOOKUP('Données projet'!$B$16,Paramètres!$A$1:$I$88,3,0)*0.475*44/12</f>
        <v>0</v>
      </c>
      <c r="FS21" s="23">
        <f>EXP(-LN(2)/2)*FS20+(1-EXP(-LN(2)/2))/(LN(2)/2)*FM21*FP21*VLOOKUP('Données projet'!$B$16,Paramètres!$A$1:$I$88,3,0)*0.475*44/12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12.458333333333334</v>
      </c>
      <c r="N22" s="14">
        <f>IF('Données projet'!$A$36&gt;35,N21+M22-V21,IF(A22&lt;'Données projet'!$A$36,$K$205^A22,IF(A22='Données projet'!$A$36,'Données projet'!$B$36,N21+M22-V21)))</f>
        <v>91.181421277716112</v>
      </c>
      <c r="O22" s="14">
        <f>N22*VLOOKUP('Données projet'!$B$9,Paramètres!$A$1:$I$88,3,0)*VLOOKUP('Données projet'!$B$9,Paramètres!$A$1:$I$88,5,0)</f>
        <v>50.970414494243308</v>
      </c>
      <c r="P22" s="14">
        <f t="shared" si="33"/>
        <v>14.864092378254801</v>
      </c>
      <c r="Q22" s="22">
        <f t="shared" si="2"/>
        <v>114.66176613626753</v>
      </c>
      <c r="R22" s="62">
        <f t="shared" si="0"/>
        <v>328.81386037929104</v>
      </c>
      <c r="S22" s="62">
        <f ca="1">AVERAGE(OFFSET($R$3,0,0,'Données projet'!$E$9+1,1))-AVERAGE(OFFSET($H$3,0,0,'Données projet'!$E$9+1,1))</f>
        <v>378.13552372917843</v>
      </c>
      <c r="T22" s="62">
        <f t="shared" si="34"/>
        <v>528.97123645404952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3.2758620689655173</v>
      </c>
      <c r="AI22" s="14">
        <f>IF('Données projet'!$A$62&gt;35,AI21+AH22-AQ21,IF(A22&lt;'Données projet'!$A$62,$AF$205^A22,IF(A22='Données projet'!$A$62,'Données projet'!$B$62,AI21+AH22-AQ21)))</f>
        <v>19.758316971527499</v>
      </c>
      <c r="AJ22" s="14">
        <f>AI22*VLOOKUP('Données projet'!$B$10,Paramètres!$A$1:$I$88,3,0)*VLOOKUP('Données projet'!$B$10,Paramètres!$A$1:$I$88,5,0)</f>
        <v>17.877325195838079</v>
      </c>
      <c r="AK22" s="14">
        <f t="shared" si="35"/>
        <v>5.8896107039017318</v>
      </c>
      <c r="AL22" s="22">
        <f t="shared" si="4"/>
        <v>41.39408002538017</v>
      </c>
      <c r="AM22" s="62">
        <f t="shared" si="5"/>
        <v>255.54617426840369</v>
      </c>
      <c r="AN22" s="62">
        <f ca="1">AVERAGE(OFFSET($AM$3,0,0,'Données projet'!$E$10+1,1))-AVERAGE(OFFSET($H$3,0,0,'Données projet'!$E$10+1,1))</f>
        <v>536.3707066106856</v>
      </c>
      <c r="AO22" s="62">
        <f t="shared" si="36"/>
        <v>217.6280015974086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11.425000000000001</v>
      </c>
      <c r="BD22" s="13">
        <f>IF('Données projet'!$A$88&gt;35,BD21+BC22-BL21,IF(A22&lt;'Données projet'!$A$88,$BA$205^A22,IF(A22='Données projet'!$A$88,'Données projet'!$B$88,BD21+BC22-BL21)))</f>
        <v>85.774999999999991</v>
      </c>
      <c r="BE22" s="14">
        <f>BD22*VLOOKUP('Données projet'!$B$11,Paramètres!$A$1:$I$88,3,0)*VLOOKUP('Données projet'!$B$11,Paramètres!$A$1:$I$88,5,0)</f>
        <v>51.29345</v>
      </c>
      <c r="BF22" s="14">
        <f t="shared" si="37"/>
        <v>14.947300621468596</v>
      </c>
      <c r="BG22" s="22">
        <f t="shared" si="7"/>
        <v>115.36930733239113</v>
      </c>
      <c r="BH22" s="62">
        <f t="shared" si="8"/>
        <v>329.52140157541464</v>
      </c>
      <c r="BI22" s="62">
        <f ca="1">AVERAGE(OFFSET($BH$3,0,0,'Données projet'!$E$11+1,1))-AVERAGE(OFFSET($H$3,0,0,'Données projet'!$E$11+1,1))</f>
        <v>248.66193174773525</v>
      </c>
      <c r="BJ22" s="62">
        <f t="shared" si="38"/>
        <v>249.61655682981151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3.5428555462348883</v>
      </c>
      <c r="BS22" s="24">
        <f t="shared" si="9"/>
        <v>3.5428555462348883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12.6</v>
      </c>
      <c r="BY22" s="13">
        <f>IF('Données projet'!$A$114&gt;35,BY21+BX22-CG21,IF(A22&lt;'Données projet'!$A$114,$BV$205^A22,IF(A22='Données projet'!$A$114,'Données projet'!$B$114,BY21+BX22-CG21)))</f>
        <v>146.39999999999998</v>
      </c>
      <c r="BZ22" s="14">
        <f>BY22*VLOOKUP('Données projet'!$B$12,Paramètres!$A$1:$I$88,3,0)*VLOOKUP('Données projet'!$B$12,Paramètres!$A$1:$I$88,5,0)</f>
        <v>58.999199999999995</v>
      </c>
      <c r="CA22" s="14">
        <f t="shared" si="39"/>
        <v>16.914988195097422</v>
      </c>
      <c r="CB22" s="22">
        <f t="shared" si="10"/>
        <v>132.21721110646129</v>
      </c>
      <c r="CC22" s="62">
        <f t="shared" si="11"/>
        <v>346.36930534948482</v>
      </c>
      <c r="CD22" s="62">
        <f ca="1">AVERAGE(OFFSET($CC$3,0,0,'Données projet'!$E$12+1,1))-AVERAGE(OFFSET($H$3,0,0,'Données projet'!$E$12+1,1))</f>
        <v>432.59662347701629</v>
      </c>
      <c r="CE22" s="62">
        <f t="shared" si="40"/>
        <v>348.67401091099748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13.6</v>
      </c>
      <c r="CT22" s="13">
        <f>IF('Données projet'!$A$140&gt;35,CT21+CS22-DB21,IF(A22&lt;'Données projet'!$A$140,$CQ$205^A22,IF(A22='Données projet'!$A$140,'Données projet'!$B$140,CT21+CS22-DB21)))</f>
        <v>141.39999999999998</v>
      </c>
      <c r="CU22" s="18">
        <f>CT22*VLOOKUP('Données projet'!$B$13,Paramètres!$A$1:$I$88,3,0)*VLOOKUP('Données projet'!$B$13,Paramètres!$A$1:$I$88,5,0)</f>
        <v>62.498799999999996</v>
      </c>
      <c r="CV22" s="14">
        <f t="shared" si="41"/>
        <v>17.798535956040041</v>
      </c>
      <c r="CW22" s="22">
        <f t="shared" si="13"/>
        <v>139.85119345676972</v>
      </c>
      <c r="CX22" s="62">
        <f t="shared" si="14"/>
        <v>354.00328769979325</v>
      </c>
      <c r="CY22" s="62">
        <f ca="1">AVERAGE(OFFSET($CX$3,0,0,'Données projet'!$E$13+1,1))-AVERAGE(OFFSET($H$3,0,0,'Données projet'!$E$13+1,1))</f>
        <v>582.26951914082088</v>
      </c>
      <c r="CZ22" s="62">
        <f t="shared" si="42"/>
        <v>434.80429932654715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3.7374768398864453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3.7374768398864453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11.333333333333334</v>
      </c>
      <c r="DO22" s="13">
        <f>IF('Données projet'!$A$166&gt;35,DO21+DN22-DW21,IF(A22&lt;'Données projet'!$A$166,$DL$205^A22,IF(A22='Données projet'!$A$166,'Données projet'!$B$166,DO21+DN22-DW21)))</f>
        <v>110.66666666666666</v>
      </c>
      <c r="DP22" s="18">
        <f>DO22*VLOOKUP('Données projet'!$B$14,Paramètres!$A$1:$I$88,3,0)*VLOOKUP('Données projet'!$B$14,Paramètres!$A$1:$I$88,5,0)</f>
        <v>53.230666666666664</v>
      </c>
      <c r="DQ22" s="14">
        <f t="shared" si="43"/>
        <v>15.445028870651258</v>
      </c>
      <c r="DR22" s="22">
        <f t="shared" si="16"/>
        <v>119.61016972749536</v>
      </c>
      <c r="DS22" s="62">
        <f t="shared" si="17"/>
        <v>333.76226397051892</v>
      </c>
      <c r="DT22" s="62">
        <f ca="1">AVERAGE(OFFSET($DS$3,0,0,'Données projet'!$E$14+1,1))-AVERAGE(OFFSET($H$3,0,0,'Données projet'!$E$14+1,1))</f>
        <v>273.24375559399846</v>
      </c>
      <c r="DU22" s="62">
        <f t="shared" si="44"/>
        <v>270.77718895097848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projet'!$B$14,Paramètres!$A$1:$I$88,3,0)*0.475*44/12</f>
        <v>0</v>
      </c>
      <c r="EB22" s="23">
        <f>EXP(-LN(2)/25)*EB21+(1-EXP(-LN(2)/25))/(LN(2)/25)*Calculateur!DW22*Calculateur!DY22*VLOOKUP('Données projet'!$B$14,Paramètres!$A$1:$I$88,3,0)*0.475*44/12</f>
        <v>4.9605704694499382</v>
      </c>
      <c r="EC22" s="23">
        <f>EXP(-LN(2)/2)*EC21+(1-EXP(-LN(2)/2))/(LN(2)/2)*DW22*DZ22*VLOOKUP('Données projet'!$B$14,Paramètres!$A$1:$I$88,3,0)*0.475*44/12</f>
        <v>0</v>
      </c>
      <c r="ED22" s="24">
        <f t="shared" si="18"/>
        <v>4.9605704694499382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11.333333333333334</v>
      </c>
      <c r="EJ22" s="13">
        <f>IF('Données projet'!$A$192&gt;35,EJ21+EI22-ER21,IF(A22&lt;'Données projet'!$A$192,$EG$205^A22,IF(A22='Données projet'!$A$192,'Données projet'!$B$192,EJ21+EI22-ER21)))</f>
        <v>110.66666666666666</v>
      </c>
      <c r="EK22" s="18">
        <f>EJ22*VLOOKUP('Données projet'!$B$15,Paramètres!$A$1:$I$88,3,0)*VLOOKUP('Données projet'!$B$15,Paramètres!$A$1:$I$88,5,0)</f>
        <v>51.791999999999994</v>
      </c>
      <c r="EL22" s="14">
        <f t="shared" si="45"/>
        <v>15.075598782124462</v>
      </c>
      <c r="EM22" s="22">
        <f t="shared" si="19"/>
        <v>116.46106787886676</v>
      </c>
      <c r="EN22" s="62">
        <f t="shared" si="20"/>
        <v>330.6131621218903</v>
      </c>
      <c r="EO22" s="62">
        <f ca="1">AVERAGE(OFFSET($EN$3,0,0,'Données projet'!$E$15+1,1))-AVERAGE(OFFSET($H$3,0,0,'Données projet'!$E$15+1,1))</f>
        <v>267.26203506406682</v>
      </c>
      <c r="EP22" s="62">
        <f t="shared" si="46"/>
        <v>265.10857635664843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projet'!$B$15,Paramètres!$A$1:$I$88,3,0)*0.475*44/12</f>
        <v>0</v>
      </c>
      <c r="EW22" s="23">
        <f>EXP(-LN(2)/25)*EW21+(1-EXP(-LN(2)/25))/(LN(2)/25)*Calculateur!ER22*Calculateur!ET22*VLOOKUP('Données projet'!$B$15,Paramètres!$A$1:$I$88,3,0)*0.475*44/12</f>
        <v>4.8265009973026416</v>
      </c>
      <c r="EX22" s="23">
        <f>EXP(-LN(2)/2)*EX21+(1-EXP(-LN(2)/2))/(LN(2)/2)*ER22*EU22*VLOOKUP('Données projet'!$B$15,Paramètres!$A$1:$I$88,3,0)*0.475*44/12</f>
        <v>0</v>
      </c>
      <c r="EY22" s="24">
        <f t="shared" si="21"/>
        <v>4.8265009973026416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8</v>
      </c>
      <c r="FE22" s="13">
        <f>IF('Données projet'!$A$218&gt;35,FE21+FD22-FM21,IF(A22&lt;'Données projet'!$A$218,$FB$205^A22,IF(A22='Données projet'!$A$218,'Données projet'!$B$218,FE21+FD22-FM21)))</f>
        <v>82.999999999999986</v>
      </c>
      <c r="FF22" s="18">
        <f>FE22*VLOOKUP('Données projet'!$B$16,Paramètres!$A$1:$I$88,3,0)*VLOOKUP('Données projet'!$B$16,Paramètres!$A$1:$I$88,5,0)</f>
        <v>60.855599999999988</v>
      </c>
      <c r="FG22" s="14">
        <f t="shared" si="47"/>
        <v>17.384412949542664</v>
      </c>
      <c r="FH22" s="22">
        <f t="shared" si="22"/>
        <v>136.26802255378678</v>
      </c>
      <c r="FI22" s="62">
        <f t="shared" si="23"/>
        <v>350.42011679681031</v>
      </c>
      <c r="FJ22" s="62">
        <f ca="1">AVERAGE(OFFSET($FI$3,0,0,'Données projet'!$E$16+1,1))-AVERAGE(OFFSET($H$3,0,0,'Données projet'!$E$16+1,1))</f>
        <v>207.66160354686221</v>
      </c>
      <c r="FK22" s="62">
        <f t="shared" si="48"/>
        <v>260.45879589483525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projet'!$B$16,Paramètres!$A$1:$I$88,3,0)*0.475*44/12</f>
        <v>0</v>
      </c>
      <c r="FR22" s="23">
        <f>EXP(-LN(2)/25)*FR21+(1-EXP(-LN(2)/25))/(LN(2)/25)*Calculateur!FM22*Calculateur!FO22*VLOOKUP('Données projet'!$B$16,Paramètres!$A$1:$I$88,3,0)*0.475*44/12</f>
        <v>0</v>
      </c>
      <c r="FS22" s="23">
        <f>EXP(-LN(2)/2)*FS21+(1-EXP(-LN(2)/2))/(LN(2)/2)*FM22*FP22*VLOOKUP('Données projet'!$B$16,Paramètres!$A$1:$I$88,3,0)*0.475*44/12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12.458333333333334</v>
      </c>
      <c r="N23" s="14">
        <f>IF('Données projet'!$A$36&gt;35,N22+M23-V22,IF(A23&lt;'Données projet'!$A$36,$K$205^A23,IF(A23='Données projet'!$A$36,'Données projet'!$B$36,N22+M23-V22)))</f>
        <v>115.62701751887353</v>
      </c>
      <c r="O23" s="14">
        <f>N23*VLOOKUP('Données projet'!$B$9,Paramètres!$A$1:$I$88,3,0)*VLOOKUP('Données projet'!$B$9,Paramètres!$A$1:$I$88,5,0)</f>
        <v>64.635502793050307</v>
      </c>
      <c r="P23" s="14">
        <f t="shared" si="33"/>
        <v>18.335145329676681</v>
      </c>
      <c r="Q23" s="22">
        <f t="shared" si="2"/>
        <v>144.50721214708281</v>
      </c>
      <c r="R23" s="62">
        <f t="shared" si="0"/>
        <v>361.02191503397853</v>
      </c>
      <c r="S23" s="62">
        <f ca="1">AVERAGE(OFFSET($R$3,0,0,'Données projet'!$E$9+1,1))-AVERAGE(OFFSET($H$3,0,0,'Données projet'!$E$9+1,1))</f>
        <v>378.13552372917843</v>
      </c>
      <c r="T23" s="62">
        <f t="shared" si="34"/>
        <v>528.97123645404952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3.2758620689655173</v>
      </c>
      <c r="AI23" s="14">
        <f>IF('Données projet'!$A$62&gt;35,AI22+AH23-AQ22,IF(A23&lt;'Données projet'!$A$62,$AF$205^A23,IF(A23='Données projet'!$A$62,'Données projet'!$B$62,AI22+AH23-AQ22)))</f>
        <v>23.117843213235737</v>
      </c>
      <c r="AJ23" s="14">
        <f>AI23*VLOOKUP('Données projet'!$B$10,Paramètres!$A$1:$I$88,3,0)*VLOOKUP('Données projet'!$B$10,Paramètres!$A$1:$I$88,5,0)</f>
        <v>20.917024539335696</v>
      </c>
      <c r="AK23" s="14">
        <f t="shared" si="35"/>
        <v>6.76621481502369</v>
      </c>
      <c r="AL23" s="22">
        <f t="shared" si="4"/>
        <v>48.214975208842588</v>
      </c>
      <c r="AM23" s="62">
        <f t="shared" si="5"/>
        <v>264.72967809573834</v>
      </c>
      <c r="AN23" s="62">
        <f ca="1">AVERAGE(OFFSET($AM$3,0,0,'Données projet'!$E$10+1,1))-AVERAGE(OFFSET($H$3,0,0,'Données projet'!$E$10+1,1))</f>
        <v>536.3707066106856</v>
      </c>
      <c r="AO23" s="62">
        <f t="shared" si="36"/>
        <v>217.6280015974086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97.2</v>
      </c>
      <c r="BB23" s="13">
        <f>VLOOKUP(A23,'Données projet'!$A$87:$I$107,9,0)</f>
        <v>11.425000000000001</v>
      </c>
      <c r="BC23" s="13">
        <f t="array" ref="BC23">INDEX(BB:BB,MIN(IF(ISNUMBER(BB23:BB219),ROW(BB23:BB219),"")))</f>
        <v>11.425000000000001</v>
      </c>
      <c r="BD23" s="13">
        <f>IF('Données projet'!$A$88&gt;35,BD22+BC23-BL22,IF(A23&lt;'Données projet'!$A$88,$BA$205^A23,IF(A23='Données projet'!$A$88,'Données projet'!$B$88,BD22+BC23-BL22)))</f>
        <v>97.199999999999989</v>
      </c>
      <c r="BE23" s="14">
        <f>BD23*VLOOKUP('Données projet'!$B$11,Paramètres!$A$1:$I$88,3,0)*VLOOKUP('Données projet'!$B$11,Paramètres!$A$1:$I$88,5,0)</f>
        <v>58.125599999999999</v>
      </c>
      <c r="BF23" s="14">
        <f t="shared" si="37"/>
        <v>16.693490054590161</v>
      </c>
      <c r="BG23" s="22">
        <f t="shared" si="7"/>
        <v>130.30991517841122</v>
      </c>
      <c r="BH23" s="62">
        <f t="shared" si="8"/>
        <v>346.82461806530694</v>
      </c>
      <c r="BI23" s="62">
        <f ca="1">AVERAGE(OFFSET($BH$3,0,0,'Données projet'!$E$11+1,1))-AVERAGE(OFFSET($H$3,0,0,'Données projet'!$E$11+1,1))</f>
        <v>248.66193174773525</v>
      </c>
      <c r="BJ23" s="62">
        <f t="shared" si="38"/>
        <v>249.61655682981151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22.1</v>
      </c>
      <c r="BM23" s="17">
        <f>IF(ISNA(VLOOKUP(A23,'Données projet'!$A$87:$I$107,5,0)),0%,VLOOKUP(A23,'Données projet'!$A$87:$I$107,5,0)*VLOOKUP('Données projet'!$B$11,Paramètres!$A$1:$I$88,7,0))</f>
        <v>0.1125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0.75</v>
      </c>
      <c r="BP23" s="23">
        <f>EXP(-LN(2)/35)*BP22+(1-EXP(-LN(2)/35))/(LN(2)/35)*BL23*BM23*VLOOKUP('Données projet'!$B$11,Paramètres!$A$1:$I$88,3,0)*0.475*44/12</f>
        <v>1.9723061846472609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13.727693879744763</v>
      </c>
      <c r="BS23" s="24">
        <f t="shared" si="9"/>
        <v>15.700000064392023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159</v>
      </c>
      <c r="BW23" s="13">
        <f>VLOOKUP(A23,'Données projet'!$A$113:$I$133,9,0)</f>
        <v>12.6</v>
      </c>
      <c r="BX23" s="13">
        <f t="array" ref="BX23">INDEX(BW:BW,MIN(IF(ISNUMBER(BW23:BW219),ROW(BW23:BW219),"")))</f>
        <v>12.6</v>
      </c>
      <c r="BY23" s="13">
        <f>IF('Données projet'!$A$114&gt;35,BY22+BX23-CG22,IF(A23&lt;'Données projet'!$A$114,$BV$205^A23,IF(A23='Données projet'!$A$114,'Données projet'!$B$114,BY22+BX23-CG22)))</f>
        <v>158.99999999999997</v>
      </c>
      <c r="BZ23" s="14">
        <f>BY23*VLOOKUP('Données projet'!$B$12,Paramètres!$A$1:$I$88,3,0)*VLOOKUP('Données projet'!$B$12,Paramètres!$A$1:$I$88,5,0)</f>
        <v>64.076999999999998</v>
      </c>
      <c r="CA23" s="14">
        <f t="shared" si="39"/>
        <v>18.19508558302471</v>
      </c>
      <c r="CB23" s="22">
        <f t="shared" si="10"/>
        <v>143.29054905710137</v>
      </c>
      <c r="CC23" s="62">
        <f t="shared" si="11"/>
        <v>359.80525194399706</v>
      </c>
      <c r="CD23" s="62">
        <f ca="1">AVERAGE(OFFSET($CC$3,0,0,'Données projet'!$E$12+1,1))-AVERAGE(OFFSET($H$3,0,0,'Données projet'!$E$12+1,1))</f>
        <v>432.59662347701629</v>
      </c>
      <c r="CE23" s="62">
        <f t="shared" si="40"/>
        <v>348.67401091099748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72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0.55000000000000004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21.087020991337063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21.087020991337063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155</v>
      </c>
      <c r="CR23" s="13">
        <f>VLOOKUP(A23,'Données projet'!$A$139:$I$159,9,0)</f>
        <v>13.6</v>
      </c>
      <c r="CS23" s="13">
        <f t="array" ref="CS23">INDEX(CR:CR,MIN(IF(ISNUMBER(CR23:CR219),ROW(CR23:CR219),"")))</f>
        <v>13.6</v>
      </c>
      <c r="CT23" s="13">
        <f>IF('Données projet'!$A$140&gt;35,CT22+CS23-DB22,IF(A23&lt;'Données projet'!$A$140,$CQ$205^A23,IF(A23='Données projet'!$A$140,'Données projet'!$B$140,CT22+CS23-DB22)))</f>
        <v>154.99999999999997</v>
      </c>
      <c r="CU23" s="18">
        <f>CT23*VLOOKUP('Données projet'!$B$13,Paramètres!$A$1:$I$88,3,0)*VLOOKUP('Données projet'!$B$13,Paramètres!$A$1:$I$88,5,0)</f>
        <v>68.509999999999991</v>
      </c>
      <c r="CV23" s="14">
        <f t="shared" si="41"/>
        <v>19.302975994019384</v>
      </c>
      <c r="CW23" s="22">
        <f t="shared" si="13"/>
        <v>152.94093318958377</v>
      </c>
      <c r="CX23" s="62">
        <f t="shared" si="14"/>
        <v>369.45563607647949</v>
      </c>
      <c r="CY23" s="62">
        <f ca="1">AVERAGE(OFFSET($CX$3,0,0,'Données projet'!$E$13+1,1))-AVERAGE(OFFSET($H$3,0,0,'Données projet'!$E$13+1,1))</f>
        <v>582.26951914082088</v>
      </c>
      <c r="CZ23" s="62">
        <f t="shared" si="42"/>
        <v>434.80429932654715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105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0.55000000000000004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37.363171817233827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37.363171817233827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122</v>
      </c>
      <c r="DM23" s="13">
        <f>VLOOKUP(A23,'Données projet'!$A$165:$I$185,9,0)</f>
        <v>11.333333333333334</v>
      </c>
      <c r="DN23" s="13">
        <f t="array" ref="DN23">INDEX(DM:DM,MIN(IF(ISNUMBER(DM23:DM219),ROW(DM23:DM219),"")))</f>
        <v>11.333333333333334</v>
      </c>
      <c r="DO23" s="13">
        <f>IF('Données projet'!$A$166&gt;35,DO22+DN23-DW22,IF(A23&lt;'Données projet'!$A$166,$DL$205^A23,IF(A23='Données projet'!$A$166,'Données projet'!$B$166,DO22+DN23-DW22)))</f>
        <v>121.99999999999999</v>
      </c>
      <c r="DP23" s="18">
        <f>DO23*VLOOKUP('Données projet'!$B$14,Paramètres!$A$1:$I$88,3,0)*VLOOKUP('Données projet'!$B$14,Paramètres!$A$1:$I$88,5,0)</f>
        <v>58.681999999999995</v>
      </c>
      <c r="DQ23" s="14">
        <f t="shared" si="43"/>
        <v>16.834607713213749</v>
      </c>
      <c r="DR23" s="22">
        <f t="shared" si="16"/>
        <v>131.52475843384727</v>
      </c>
      <c r="DS23" s="62">
        <f t="shared" si="17"/>
        <v>348.03946132074299</v>
      </c>
      <c r="DT23" s="62">
        <f ca="1">AVERAGE(OFFSET($DS$3,0,0,'Données projet'!$E$14+1,1))-AVERAGE(OFFSET($H$3,0,0,'Données projet'!$E$14+1,1))</f>
        <v>273.24375559399846</v>
      </c>
      <c r="DU23" s="62">
        <f t="shared" si="44"/>
        <v>270.77718895097848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15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0.55000000000000004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projet'!$B$14,Paramètres!$A$1:$I$88,3,0)*0.475*44/12</f>
        <v>0</v>
      </c>
      <c r="EB23" s="23">
        <f>EXP(-LN(2)/25)*EB22+(1-EXP(-LN(2)/25))/(LN(2)/25)*Calculateur!DW23*Calculateur!DY23*VLOOKUP('Données projet'!$B$14,Paramètres!$A$1:$I$88,3,0)*0.475*44/12</f>
        <v>10.068335886782386</v>
      </c>
      <c r="EC23" s="23">
        <f>EXP(-LN(2)/2)*EC22+(1-EXP(-LN(2)/2))/(LN(2)/2)*DW23*DZ23*VLOOKUP('Données projet'!$B$14,Paramètres!$A$1:$I$88,3,0)*0.475*44/12</f>
        <v>0</v>
      </c>
      <c r="ED23" s="24">
        <f t="shared" si="18"/>
        <v>10.068335886782386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122</v>
      </c>
      <c r="EH23" s="13">
        <f>VLOOKUP(A23,'Données projet'!$A$191:$I$211,9,0)</f>
        <v>11.333333333333334</v>
      </c>
      <c r="EI23" s="13">
        <f t="array" ref="EI23">INDEX(EH:EH,MIN(IF(ISNUMBER(EH23:EH219),ROW(EH23:EH219),"")))</f>
        <v>11.333333333333334</v>
      </c>
      <c r="EJ23" s="13">
        <f>IF('Données projet'!$A$192&gt;35,EJ22+EI23-ER22,IF(A23&lt;'Données projet'!$A$192,$EG$205^A23,IF(A23='Données projet'!$A$192,'Données projet'!$B$192,EJ22+EI23-ER22)))</f>
        <v>121.99999999999999</v>
      </c>
      <c r="EK23" s="18">
        <f>EJ23*VLOOKUP('Données projet'!$B$15,Paramètres!$A$1:$I$88,3,0)*VLOOKUP('Données projet'!$B$15,Paramètres!$A$1:$I$88,5,0)</f>
        <v>57.095999999999997</v>
      </c>
      <c r="EL23" s="14">
        <f t="shared" si="45"/>
        <v>16.431940248498016</v>
      </c>
      <c r="EM23" s="22">
        <f t="shared" si="19"/>
        <v>128.06116259946737</v>
      </c>
      <c r="EN23" s="62">
        <f t="shared" si="20"/>
        <v>344.57586548636311</v>
      </c>
      <c r="EO23" s="62">
        <f ca="1">AVERAGE(OFFSET($EN$3,0,0,'Données projet'!$E$15+1,1))-AVERAGE(OFFSET($H$3,0,0,'Données projet'!$E$15+1,1))</f>
        <v>267.26203506406682</v>
      </c>
      <c r="EP23" s="62">
        <f t="shared" si="46"/>
        <v>265.10857635664843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15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0.55000000000000004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projet'!$B$15,Paramètres!$A$1:$I$88,3,0)*0.475*44/12</f>
        <v>0</v>
      </c>
      <c r="EW23" s="23">
        <f>EXP(-LN(2)/25)*EW22+(1-EXP(-LN(2)/25))/(LN(2)/25)*Calculateur!ER23*Calculateur!ET23*VLOOKUP('Données projet'!$B$15,Paramètres!$A$1:$I$88,3,0)*0.475*44/12</f>
        <v>9.7962187006531316</v>
      </c>
      <c r="EX23" s="23">
        <f>EXP(-LN(2)/2)*EX22+(1-EXP(-LN(2)/2))/(LN(2)/2)*ER23*EU23*VLOOKUP('Données projet'!$B$15,Paramètres!$A$1:$I$88,3,0)*0.475*44/12</f>
        <v>0</v>
      </c>
      <c r="EY23" s="24">
        <f t="shared" si="21"/>
        <v>9.7962187006531316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91</v>
      </c>
      <c r="FC23" s="13">
        <f>VLOOKUP(A23,'Données projet'!$A$217:$I$237,9,0)</f>
        <v>8</v>
      </c>
      <c r="FD23" s="13">
        <f t="array" ref="FD23">INDEX(FC:FC,MIN(IF(ISNUMBER(FC23:FC219),ROW(FC23:FC219),"")))</f>
        <v>8</v>
      </c>
      <c r="FE23" s="13">
        <f>IF('Données projet'!$A$218&gt;35,FE22+FD23-FM22,IF(A23&lt;'Données projet'!$A$218,$FB$205^A23,IF(A23='Données projet'!$A$218,'Données projet'!$B$218,FE22+FD23-FM22)))</f>
        <v>90.999999999999986</v>
      </c>
      <c r="FF23" s="18">
        <f>FE23*VLOOKUP('Données projet'!$B$16,Paramètres!$A$1:$I$88,3,0)*VLOOKUP('Données projet'!$B$16,Paramètres!$A$1:$I$88,5,0)</f>
        <v>66.721199999999982</v>
      </c>
      <c r="FG23" s="14">
        <f t="shared" si="47"/>
        <v>18.856956599005905</v>
      </c>
      <c r="FH23" s="22">
        <f t="shared" si="22"/>
        <v>149.0486227432686</v>
      </c>
      <c r="FI23" s="62">
        <f t="shared" si="23"/>
        <v>365.56332563016429</v>
      </c>
      <c r="FJ23" s="62">
        <f ca="1">AVERAGE(OFFSET($FI$3,0,0,'Données projet'!$E$16+1,1))-AVERAGE(OFFSET($H$3,0,0,'Données projet'!$E$16+1,1))</f>
        <v>207.66160354686221</v>
      </c>
      <c r="FK23" s="62">
        <f t="shared" si="48"/>
        <v>260.45879589483525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projet'!$B$16,Paramètres!$A$1:$I$88,3,0)*0.475*44/12</f>
        <v>0</v>
      </c>
      <c r="FR23" s="23">
        <f>EXP(-LN(2)/25)*FR22+(1-EXP(-LN(2)/25))/(LN(2)/25)*Calculateur!FM23*Calculateur!FO23*VLOOKUP('Données projet'!$B$16,Paramètres!$A$1:$I$88,3,0)*0.475*44/12</f>
        <v>0</v>
      </c>
      <c r="FS23" s="23">
        <f>EXP(-LN(2)/2)*FS22+(1-EXP(-LN(2)/2))/(LN(2)/2)*FM23*FP23*VLOOKUP('Données projet'!$B$16,Paramètres!$A$1:$I$88,3,0)*0.475*44/12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12.458333333333334</v>
      </c>
      <c r="N24" s="14">
        <f>IF('Données projet'!$A$36&gt;35,N23+M24-V23,IF(A24&lt;'Données projet'!$A$36,$K$205^A24,IF(A24='Données projet'!$A$36,'Données projet'!$B$36,N23+M24-V23)))</f>
        <v>146.62643982691785</v>
      </c>
      <c r="O24" s="14">
        <f>N24*VLOOKUP('Données projet'!$B$9,Paramètres!$A$1:$I$88,3,0)*VLOOKUP('Données projet'!$B$9,Paramètres!$A$1:$I$88,5,0)</f>
        <v>81.964179863247068</v>
      </c>
      <c r="P24" s="14">
        <f t="shared" si="33"/>
        <v>22.616756254298497</v>
      </c>
      <c r="Q24" s="22">
        <f t="shared" si="2"/>
        <v>182.14513040472517</v>
      </c>
      <c r="R24" s="62">
        <f t="shared" si="0"/>
        <v>401.00265878059952</v>
      </c>
      <c r="S24" s="62">
        <f ca="1">AVERAGE(OFFSET($R$3,0,0,'Données projet'!$E$9+1,1))-AVERAGE(OFFSET($H$3,0,0,'Données projet'!$E$9+1,1))</f>
        <v>378.13552372917843</v>
      </c>
      <c r="T24" s="62">
        <f t="shared" si="34"/>
        <v>528.97123645404952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3.2758620689655173</v>
      </c>
      <c r="AI24" s="14">
        <f>IF('Données projet'!$A$62&gt;35,AI23+AH24-AQ23,IF(A24&lt;'Données projet'!$A$62,$AF$205^A24,IF(A24='Données projet'!$A$62,'Données projet'!$B$62,AI23+AH24-AQ23)))</f>
        <v>27.048593035626002</v>
      </c>
      <c r="AJ24" s="14">
        <f>AI24*VLOOKUP('Données projet'!$B$10,Paramètres!$A$1:$I$88,3,0)*VLOOKUP('Données projet'!$B$10,Paramètres!$A$1:$I$88,5,0)</f>
        <v>24.473566978634405</v>
      </c>
      <c r="AK24" s="14">
        <f t="shared" si="35"/>
        <v>7.7732918565766544</v>
      </c>
      <c r="AL24" s="22">
        <f t="shared" si="4"/>
        <v>56.163279137992589</v>
      </c>
      <c r="AM24" s="62">
        <f t="shared" si="5"/>
        <v>275.020807513867</v>
      </c>
      <c r="AN24" s="62">
        <f ca="1">AVERAGE(OFFSET($AM$3,0,0,'Données projet'!$E$10+1,1))-AVERAGE(OFFSET($H$3,0,0,'Données projet'!$E$10+1,1))</f>
        <v>536.3707066106856</v>
      </c>
      <c r="AO24" s="62">
        <f t="shared" si="36"/>
        <v>217.6280015974086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12.650000000000002</v>
      </c>
      <c r="BD24" s="13">
        <f>IF('Données projet'!$A$88&gt;35,BD23+BC24-BL23,IF(A24&lt;'Données projet'!$A$88,$BA$205^A24,IF(A24='Données projet'!$A$88,'Données projet'!$B$88,BD23+BC24-BL23)))</f>
        <v>87.75</v>
      </c>
      <c r="BE24" s="14">
        <f>BD24*VLOOKUP('Données projet'!$B$11,Paramètres!$A$1:$I$88,3,0)*VLOOKUP('Données projet'!$B$11,Paramètres!$A$1:$I$88,5,0)</f>
        <v>52.474500000000006</v>
      </c>
      <c r="BF24" s="14">
        <f t="shared" si="37"/>
        <v>15.251002448960318</v>
      </c>
      <c r="BG24" s="22">
        <f t="shared" si="7"/>
        <v>117.95525009860587</v>
      </c>
      <c r="BH24" s="62">
        <f t="shared" si="8"/>
        <v>336.81277847448024</v>
      </c>
      <c r="BI24" s="62">
        <f ca="1">AVERAGE(OFFSET($BH$3,0,0,'Données projet'!$E$11+1,1))-AVERAGE(OFFSET($H$3,0,0,'Données projet'!$E$11+1,1))</f>
        <v>248.66193174773525</v>
      </c>
      <c r="BJ24" s="62">
        <f t="shared" si="38"/>
        <v>249.61655682981151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1.9336304633543155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9.7069454324205875</v>
      </c>
      <c r="BS24" s="24">
        <f t="shared" si="9"/>
        <v>11.640575895774903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30.8</v>
      </c>
      <c r="BY24" s="13">
        <f>IF('Données projet'!$A$114&gt;35,BY23+BX24-CG23,IF(A24&lt;'Données projet'!$A$114,$BV$205^A24,IF(A24='Données projet'!$A$114,'Données projet'!$B$114,BY23+BX24-CG23)))</f>
        <v>117.79999999999998</v>
      </c>
      <c r="BZ24" s="14">
        <f>BY24*VLOOKUP('Données projet'!$B$12,Paramètres!$A$1:$I$88,3,0)*VLOOKUP('Données projet'!$B$12,Paramètres!$A$1:$I$88,5,0)</f>
        <v>47.473399999999991</v>
      </c>
      <c r="CA24" s="14">
        <f t="shared" si="39"/>
        <v>13.95929811918977</v>
      </c>
      <c r="CB24" s="22">
        <f t="shared" si="10"/>
        <v>106.99528255758882</v>
      </c>
      <c r="CC24" s="62">
        <f t="shared" si="11"/>
        <v>325.85281093346322</v>
      </c>
      <c r="CD24" s="62">
        <f ca="1">AVERAGE(OFFSET($CC$3,0,0,'Données projet'!$E$12+1,1))-AVERAGE(OFFSET($H$3,0,0,'Données projet'!$E$12+1,1))</f>
        <v>432.59662347701629</v>
      </c>
      <c r="CE24" s="62">
        <f t="shared" si="40"/>
        <v>348.67401091099748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20.510395293410713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20.510395293410713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43.4</v>
      </c>
      <c r="CT24" s="13">
        <f>IF('Données projet'!$A$140&gt;35,CT23+CS24-DB23,IF(A24&lt;'Données projet'!$A$140,$CQ$205^A24,IF(A24='Données projet'!$A$140,'Données projet'!$B$140,CT23+CS24-DB23)))</f>
        <v>93.399999999999977</v>
      </c>
      <c r="CU24" s="18">
        <f>CT24*VLOOKUP('Données projet'!$B$13,Paramètres!$A$1:$I$88,3,0)*VLOOKUP('Données projet'!$B$13,Paramètres!$A$1:$I$88,5,0)</f>
        <v>41.282799999999995</v>
      </c>
      <c r="CV24" s="14">
        <f t="shared" si="41"/>
        <v>12.338026022809686</v>
      </c>
      <c r="CW24" s="22">
        <f t="shared" si="13"/>
        <v>93.389605323060195</v>
      </c>
      <c r="CX24" s="62">
        <f t="shared" si="14"/>
        <v>312.24713369893459</v>
      </c>
      <c r="CY24" s="62">
        <f ca="1">AVERAGE(OFFSET($CX$3,0,0,'Données projet'!$E$13+1,1))-AVERAGE(OFFSET($H$3,0,0,'Données projet'!$E$13+1,1))</f>
        <v>582.26951914082088</v>
      </c>
      <c r="CZ24" s="62">
        <f t="shared" si="42"/>
        <v>434.80429932654715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36.341473919047758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36.341473919047758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12.2</v>
      </c>
      <c r="DO24" s="13">
        <f>IF('Données projet'!$A$166&gt;35,DO23+DN24-DW23,IF(A24&lt;'Données projet'!$A$166,$DL$205^A24,IF(A24='Données projet'!$A$166,'Données projet'!$B$166,DO23+DN24-DW23)))</f>
        <v>119.19999999999999</v>
      </c>
      <c r="DP24" s="18">
        <f>DO24*VLOOKUP('Données projet'!$B$14,Paramètres!$A$1:$I$88,3,0)*VLOOKUP('Données projet'!$B$14,Paramètres!$A$1:$I$88,5,0)</f>
        <v>57.335199999999993</v>
      </c>
      <c r="DQ24" s="14">
        <f t="shared" si="43"/>
        <v>16.492752951273467</v>
      </c>
      <c r="DR24" s="22">
        <f t="shared" si="16"/>
        <v>128.58368472346794</v>
      </c>
      <c r="DS24" s="62">
        <f t="shared" si="17"/>
        <v>347.44121309934235</v>
      </c>
      <c r="DT24" s="62">
        <f ca="1">AVERAGE(OFFSET($DS$3,0,0,'Données projet'!$E$14+1,1))-AVERAGE(OFFSET($H$3,0,0,'Données projet'!$E$14+1,1))</f>
        <v>273.24375559399846</v>
      </c>
      <c r="DU24" s="62">
        <f t="shared" si="44"/>
        <v>270.77718895097848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projet'!$B$14,Paramètres!$A$1:$I$88,3,0)*0.475*44/12</f>
        <v>0</v>
      </c>
      <c r="EB24" s="23">
        <f>EXP(-LN(2)/25)*EB23+(1-EXP(-LN(2)/25))/(LN(2)/25)*Calculateur!DW24*Calculateur!DY24*VLOOKUP('Données projet'!$B$14,Paramètres!$A$1:$I$88,3,0)*0.475*44/12</f>
        <v>9.7930167124875478</v>
      </c>
      <c r="EC24" s="23">
        <f>EXP(-LN(2)/2)*EC23+(1-EXP(-LN(2)/2))/(LN(2)/2)*DW24*DZ24*VLOOKUP('Données projet'!$B$14,Paramètres!$A$1:$I$88,3,0)*0.475*44/12</f>
        <v>0</v>
      </c>
      <c r="ED24" s="24">
        <f t="shared" si="18"/>
        <v>9.7930167124875478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12.2</v>
      </c>
      <c r="EJ24" s="13">
        <f>IF('Données projet'!$A$192&gt;35,EJ23+EI24-ER23,IF(A24&lt;'Données projet'!$A$192,$EG$205^A24,IF(A24='Données projet'!$A$192,'Données projet'!$B$192,EJ23+EI24-ER23)))</f>
        <v>119.19999999999999</v>
      </c>
      <c r="EK24" s="18">
        <f>EJ24*VLOOKUP('Données projet'!$B$15,Paramètres!$A$1:$I$88,3,0)*VLOOKUP('Données projet'!$B$15,Paramètres!$A$1:$I$88,5,0)</f>
        <v>55.785599999999988</v>
      </c>
      <c r="EL24" s="14">
        <f t="shared" si="45"/>
        <v>16.098262320413117</v>
      </c>
      <c r="EM24" s="22">
        <f t="shared" si="19"/>
        <v>125.19772687471948</v>
      </c>
      <c r="EN24" s="62">
        <f t="shared" si="20"/>
        <v>344.05525525059386</v>
      </c>
      <c r="EO24" s="62">
        <f ca="1">AVERAGE(OFFSET($EN$3,0,0,'Données projet'!$E$15+1,1))-AVERAGE(OFFSET($H$3,0,0,'Données projet'!$E$15+1,1))</f>
        <v>267.26203506406682</v>
      </c>
      <c r="EP24" s="62">
        <f t="shared" si="46"/>
        <v>265.10857635664843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projet'!$B$15,Paramètres!$A$1:$I$88,3,0)*0.475*44/12</f>
        <v>0</v>
      </c>
      <c r="EW24" s="23">
        <f>EXP(-LN(2)/25)*EW23+(1-EXP(-LN(2)/25))/(LN(2)/25)*Calculateur!ER24*Calculateur!ET24*VLOOKUP('Données projet'!$B$15,Paramètres!$A$1:$I$88,3,0)*0.475*44/12</f>
        <v>9.5283405851230203</v>
      </c>
      <c r="EX24" s="23">
        <f>EXP(-LN(2)/2)*EX23+(1-EXP(-LN(2)/2))/(LN(2)/2)*ER24*EU24*VLOOKUP('Données projet'!$B$15,Paramètres!$A$1:$I$88,3,0)*0.475*44/12</f>
        <v>0</v>
      </c>
      <c r="EY24" s="24">
        <f t="shared" si="21"/>
        <v>9.5283405851230203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8</v>
      </c>
      <c r="FE24" s="13">
        <f>IF('Données projet'!$A$218&gt;35,FE23+FD24-FM23,IF(A24&lt;'Données projet'!$A$218,$FB$205^A24,IF(A24='Données projet'!$A$218,'Données projet'!$B$218,FE23+FD24-FM23)))</f>
        <v>98.999999999999986</v>
      </c>
      <c r="FF24" s="18">
        <f>FE24*VLOOKUP('Données projet'!$B$16,Paramètres!$A$1:$I$88,3,0)*VLOOKUP('Données projet'!$B$16,Paramètres!$A$1:$I$88,5,0)</f>
        <v>72.586799999999997</v>
      </c>
      <c r="FG24" s="14">
        <f t="shared" si="47"/>
        <v>20.314488197199065</v>
      </c>
      <c r="FH24" s="22">
        <f t="shared" si="22"/>
        <v>161.80307694345504</v>
      </c>
      <c r="FI24" s="62">
        <f t="shared" si="23"/>
        <v>380.66060531932942</v>
      </c>
      <c r="FJ24" s="62">
        <f ca="1">AVERAGE(OFFSET($FI$3,0,0,'Données projet'!$E$16+1,1))-AVERAGE(OFFSET($H$3,0,0,'Données projet'!$E$16+1,1))</f>
        <v>207.66160354686221</v>
      </c>
      <c r="FK24" s="62">
        <f t="shared" si="48"/>
        <v>260.45879589483525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projet'!$B$16,Paramètres!$A$1:$I$88,3,0)*0.475*44/12</f>
        <v>0</v>
      </c>
      <c r="FR24" s="23">
        <f>EXP(-LN(2)/25)*FR23+(1-EXP(-LN(2)/25))/(LN(2)/25)*Calculateur!FM24*Calculateur!FO24*VLOOKUP('Données projet'!$B$16,Paramètres!$A$1:$I$88,3,0)*0.475*44/12</f>
        <v>0</v>
      </c>
      <c r="FS24" s="23">
        <f>EXP(-LN(2)/2)*FS23+(1-EXP(-LN(2)/2))/(LN(2)/2)*FM24*FP24*VLOOKUP('Données projet'!$B$16,Paramètres!$A$1:$I$88,3,0)*0.475*44/12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12.458333333333334</v>
      </c>
      <c r="N25" s="14">
        <f>IF('Données projet'!$A$36&gt;35,N24+M25-V24,IF(A25&lt;'Données projet'!$A$36,$K$205^A25,IF(A25='Données projet'!$A$36,'Données projet'!$B$36,N24+M25-V24)))</f>
        <v>185.93675870613436</v>
      </c>
      <c r="O25" s="14">
        <f>N25*VLOOKUP('Données projet'!$B$9,Paramètres!$A$1:$I$88,3,0)*VLOOKUP('Données projet'!$B$9,Paramètres!$A$1:$I$88,5,0)</f>
        <v>103.9386481167291</v>
      </c>
      <c r="P25" s="14">
        <f t="shared" si="33"/>
        <v>27.898206110121411</v>
      </c>
      <c r="Q25" s="22">
        <f t="shared" si="2"/>
        <v>229.61585444509794</v>
      </c>
      <c r="R25" s="62">
        <f t="shared" si="0"/>
        <v>450.79676834856633</v>
      </c>
      <c r="S25" s="62">
        <f ca="1">AVERAGE(OFFSET($R$3,0,0,'Données projet'!$E$9+1,1))-AVERAGE(OFFSET($H$3,0,0,'Données projet'!$E$9+1,1))</f>
        <v>378.13552372917843</v>
      </c>
      <c r="T25" s="62">
        <f t="shared" si="34"/>
        <v>528.97123645404952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3.2758620689655173</v>
      </c>
      <c r="AI25" s="14">
        <f>IF('Données projet'!$A$62&gt;35,AI24+AH25-AQ24,IF(A25&lt;'Données projet'!$A$62,$AF$205^A25,IF(A25='Données projet'!$A$62,'Données projet'!$B$62,AI24+AH25-AQ24)))</f>
        <v>31.647692150971714</v>
      </c>
      <c r="AJ25" s="14">
        <f>AI25*VLOOKUP('Données projet'!$B$10,Paramètres!$A$1:$I$88,3,0)*VLOOKUP('Données projet'!$B$10,Paramètres!$A$1:$I$88,5,0)</f>
        <v>28.63483185819921</v>
      </c>
      <c r="AK25" s="14">
        <f t="shared" si="35"/>
        <v>8.9302612966640513</v>
      </c>
      <c r="AL25" s="22">
        <f t="shared" si="4"/>
        <v>65.425870578053519</v>
      </c>
      <c r="AM25" s="62">
        <f t="shared" si="5"/>
        <v>286.60678448152191</v>
      </c>
      <c r="AN25" s="62">
        <f ca="1">AVERAGE(OFFSET($AM$3,0,0,'Données projet'!$E$10+1,1))-AVERAGE(OFFSET($H$3,0,0,'Données projet'!$E$10+1,1))</f>
        <v>536.3707066106856</v>
      </c>
      <c r="AO25" s="62">
        <f t="shared" si="36"/>
        <v>217.6280015974086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12.650000000000002</v>
      </c>
      <c r="BD25" s="13">
        <f>IF('Données projet'!$A$88&gt;35,BD24+BC25-BL24,IF(A25&lt;'Données projet'!$A$88,$BA$205^A25,IF(A25='Données projet'!$A$88,'Données projet'!$B$88,BD24+BC25-BL24)))</f>
        <v>100.4</v>
      </c>
      <c r="BE25" s="14">
        <f>BD25*VLOOKUP('Données projet'!$B$11,Paramètres!$A$1:$I$88,3,0)*VLOOKUP('Données projet'!$B$11,Paramètres!$A$1:$I$88,5,0)</f>
        <v>60.039200000000008</v>
      </c>
      <c r="BF25" s="14">
        <f t="shared" si="37"/>
        <v>17.17817962563306</v>
      </c>
      <c r="BG25" s="22">
        <f t="shared" si="7"/>
        <v>134.48693618131094</v>
      </c>
      <c r="BH25" s="62">
        <f t="shared" si="8"/>
        <v>355.66785008477933</v>
      </c>
      <c r="BI25" s="62">
        <f ca="1">AVERAGE(OFFSET($BH$3,0,0,'Données projet'!$E$11+1,1))-AVERAGE(OFFSET($H$3,0,0,'Données projet'!$E$11+1,1))</f>
        <v>248.66193174773525</v>
      </c>
      <c r="BJ25" s="62">
        <f t="shared" si="38"/>
        <v>249.61655682981151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1.8957131493660642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6.8638469398723814</v>
      </c>
      <c r="BS25" s="24">
        <f t="shared" si="9"/>
        <v>8.7595600892384446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30.8</v>
      </c>
      <c r="BY25" s="13">
        <f>IF('Données projet'!$A$114&gt;35,BY24+BX25-CG24,IF(A25&lt;'Données projet'!$A$114,$BV$205^A25,IF(A25='Données projet'!$A$114,'Données projet'!$B$114,BY24+BX25-CG24)))</f>
        <v>148.6</v>
      </c>
      <c r="BZ25" s="14">
        <f>BY25*VLOOKUP('Données projet'!$B$12,Paramètres!$A$1:$I$88,3,0)*VLOOKUP('Données projet'!$B$12,Paramètres!$A$1:$I$88,5,0)</f>
        <v>59.885799999999996</v>
      </c>
      <c r="CA25" s="14">
        <f t="shared" si="39"/>
        <v>17.139392468789964</v>
      </c>
      <c r="CB25" s="22">
        <f t="shared" si="10"/>
        <v>134.15221021647582</v>
      </c>
      <c r="CC25" s="62">
        <f t="shared" si="11"/>
        <v>355.33312411994422</v>
      </c>
      <c r="CD25" s="62">
        <f ca="1">AVERAGE(OFFSET($CC$3,0,0,'Données projet'!$E$12+1,1))-AVERAGE(OFFSET($H$3,0,0,'Données projet'!$E$12+1,1))</f>
        <v>432.59662347701629</v>
      </c>
      <c r="CE25" s="62">
        <f t="shared" si="40"/>
        <v>348.67401091099748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19.949537455517586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19.949537455517586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43.4</v>
      </c>
      <c r="CT25" s="13">
        <f>IF('Données projet'!$A$140&gt;35,CT24+CS25-DB24,IF(A25&lt;'Données projet'!$A$140,$CQ$205^A25,IF(A25='Données projet'!$A$140,'Données projet'!$B$140,CT24+CS25-DB24)))</f>
        <v>136.79999999999998</v>
      </c>
      <c r="CU25" s="18">
        <f>CT25*VLOOKUP('Données projet'!$B$13,Paramètres!$A$1:$I$88,3,0)*VLOOKUP('Données projet'!$B$13,Paramètres!$A$1:$I$88,5,0)</f>
        <v>60.465600000000002</v>
      </c>
      <c r="CV25" s="14">
        <f t="shared" si="41"/>
        <v>17.28593428824821</v>
      </c>
      <c r="CW25" s="22">
        <f t="shared" si="13"/>
        <v>135.41725555203229</v>
      </c>
      <c r="CX25" s="62">
        <f t="shared" si="14"/>
        <v>356.59816945550068</v>
      </c>
      <c r="CY25" s="62">
        <f ca="1">AVERAGE(OFFSET($CX$3,0,0,'Données projet'!$E$13+1,1))-AVERAGE(OFFSET($H$3,0,0,'Données projet'!$E$13+1,1))</f>
        <v>582.26951914082088</v>
      </c>
      <c r="CZ25" s="62">
        <f t="shared" si="42"/>
        <v>434.80429932654715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35.347714403616344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35.347714403616344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12.2</v>
      </c>
      <c r="DO25" s="13">
        <f>IF('Données projet'!$A$166&gt;35,DO24+DN25-DW24,IF(A25&lt;'Données projet'!$A$166,$DL$205^A25,IF(A25='Données projet'!$A$166,'Données projet'!$B$166,DO24+DN25-DW24)))</f>
        <v>131.39999999999998</v>
      </c>
      <c r="DP25" s="18">
        <f>DO25*VLOOKUP('Données projet'!$B$14,Paramètres!$A$1:$I$88,3,0)*VLOOKUP('Données projet'!$B$14,Paramètres!$A$1:$I$88,5,0)</f>
        <v>63.203399999999988</v>
      </c>
      <c r="DQ25" s="14">
        <f t="shared" si="43"/>
        <v>17.975721010690933</v>
      </c>
      <c r="DR25" s="22">
        <f t="shared" si="16"/>
        <v>141.38696909362002</v>
      </c>
      <c r="DS25" s="62">
        <f t="shared" si="17"/>
        <v>362.56788299708842</v>
      </c>
      <c r="DT25" s="62">
        <f ca="1">AVERAGE(OFFSET($DS$3,0,0,'Données projet'!$E$14+1,1))-AVERAGE(OFFSET($H$3,0,0,'Données projet'!$E$14+1,1))</f>
        <v>273.24375559399846</v>
      </c>
      <c r="DU25" s="62">
        <f t="shared" si="44"/>
        <v>270.77718895097848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projet'!$B$14,Paramètres!$A$1:$I$88,3,0)*0.475*44/12</f>
        <v>0</v>
      </c>
      <c r="EB25" s="23">
        <f>EXP(-LN(2)/25)*EB24+(1-EXP(-LN(2)/25))/(LN(2)/25)*Calculateur!DW25*Calculateur!DY25*VLOOKUP('Données projet'!$B$14,Paramètres!$A$1:$I$88,3,0)*0.475*44/12</f>
        <v>9.5252261554922093</v>
      </c>
      <c r="EC25" s="23">
        <f>EXP(-LN(2)/2)*EC24+(1-EXP(-LN(2)/2))/(LN(2)/2)*DW25*DZ25*VLOOKUP('Données projet'!$B$14,Paramètres!$A$1:$I$88,3,0)*0.475*44/12</f>
        <v>0</v>
      </c>
      <c r="ED25" s="24">
        <f t="shared" si="18"/>
        <v>9.5252261554922093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12.2</v>
      </c>
      <c r="EJ25" s="13">
        <f>IF('Données projet'!$A$192&gt;35,EJ24+EI25-ER24,IF(A25&lt;'Données projet'!$A$192,$EG$205^A25,IF(A25='Données projet'!$A$192,'Données projet'!$B$192,EJ24+EI25-ER24)))</f>
        <v>131.39999999999998</v>
      </c>
      <c r="EK25" s="18">
        <f>EJ25*VLOOKUP('Données projet'!$B$15,Paramètres!$A$1:$I$88,3,0)*VLOOKUP('Données projet'!$B$15,Paramètres!$A$1:$I$88,5,0)</f>
        <v>61.495199999999983</v>
      </c>
      <c r="EL25" s="14">
        <f t="shared" si="45"/>
        <v>17.545759224285259</v>
      </c>
      <c r="EM25" s="22">
        <f t="shared" si="19"/>
        <v>137.6630039822968</v>
      </c>
      <c r="EN25" s="62">
        <f t="shared" si="20"/>
        <v>358.84391788576522</v>
      </c>
      <c r="EO25" s="62">
        <f ca="1">AVERAGE(OFFSET($EN$3,0,0,'Données projet'!$E$15+1,1))-AVERAGE(OFFSET($H$3,0,0,'Données projet'!$E$15+1,1))</f>
        <v>267.26203506406682</v>
      </c>
      <c r="EP25" s="62">
        <f t="shared" si="46"/>
        <v>265.10857635664843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projet'!$B$15,Paramètres!$A$1:$I$88,3,0)*0.475*44/12</f>
        <v>0</v>
      </c>
      <c r="EW25" s="23">
        <f>EXP(-LN(2)/25)*EW24+(1-EXP(-LN(2)/25))/(LN(2)/25)*Calculateur!ER25*Calculateur!ET25*VLOOKUP('Données projet'!$B$15,Paramètres!$A$1:$I$88,3,0)*0.475*44/12</f>
        <v>9.2677876107491777</v>
      </c>
      <c r="EX25" s="23">
        <f>EXP(-LN(2)/2)*EX24+(1-EXP(-LN(2)/2))/(LN(2)/2)*ER25*EU25*VLOOKUP('Données projet'!$B$15,Paramètres!$A$1:$I$88,3,0)*0.475*44/12</f>
        <v>0</v>
      </c>
      <c r="EY25" s="24">
        <f t="shared" si="21"/>
        <v>9.2677876107491777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8</v>
      </c>
      <c r="FE25" s="13">
        <f>IF('Données projet'!$A$218&gt;35,FE24+FD25-FM24,IF(A25&lt;'Données projet'!$A$218,$FB$205^A25,IF(A25='Données projet'!$A$218,'Données projet'!$B$218,FE24+FD25-FM24)))</f>
        <v>106.99999999999999</v>
      </c>
      <c r="FF25" s="18">
        <f>FE25*VLOOKUP('Données projet'!$B$16,Paramètres!$A$1:$I$88,3,0)*VLOOKUP('Données projet'!$B$16,Paramètres!$A$1:$I$88,5,0)</f>
        <v>78.452399999999997</v>
      </c>
      <c r="FG25" s="14">
        <f t="shared" si="47"/>
        <v>21.75835875604599</v>
      </c>
      <c r="FH25" s="22">
        <f t="shared" si="22"/>
        <v>174.53373816678013</v>
      </c>
      <c r="FI25" s="62">
        <f t="shared" si="23"/>
        <v>395.71465207024852</v>
      </c>
      <c r="FJ25" s="62">
        <f ca="1">AVERAGE(OFFSET($FI$3,0,0,'Données projet'!$E$16+1,1))-AVERAGE(OFFSET($H$3,0,0,'Données projet'!$E$16+1,1))</f>
        <v>207.66160354686221</v>
      </c>
      <c r="FK25" s="62">
        <f t="shared" si="48"/>
        <v>260.45879589483525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projet'!$B$16,Paramètres!$A$1:$I$88,3,0)*0.475*44/12</f>
        <v>0</v>
      </c>
      <c r="FR25" s="23">
        <f>EXP(-LN(2)/25)*FR24+(1-EXP(-LN(2)/25))/(LN(2)/25)*Calculateur!FM25*Calculateur!FO25*VLOOKUP('Données projet'!$B$16,Paramètres!$A$1:$I$88,3,0)*0.475*44/12</f>
        <v>0</v>
      </c>
      <c r="FS25" s="23">
        <f>EXP(-LN(2)/2)*FS24+(1-EXP(-LN(2)/2))/(LN(2)/2)*FM25*FP25*VLOOKUP('Données projet'!$B$16,Paramètres!$A$1:$I$88,3,0)*0.475*44/12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12.458333333333334</v>
      </c>
      <c r="N26" s="14">
        <f>IF('Données projet'!$A$36&gt;35,N25+M26-V25,IF(A26&lt;'Données projet'!$A$36,$K$205^A26,IF(A26='Données projet'!$A$36,'Données projet'!$B$36,N25+M26-V25)))</f>
        <v>235.78611251117874</v>
      </c>
      <c r="O26" s="14">
        <f>N26*VLOOKUP('Données projet'!$B$9,Paramètres!$A$1:$I$88,3,0)*VLOOKUP('Données projet'!$B$9,Paramètres!$A$1:$I$88,5,0)</f>
        <v>131.80443689374891</v>
      </c>
      <c r="P26" s="14">
        <f t="shared" si="33"/>
        <v>34.412976618381876</v>
      </c>
      <c r="Q26" s="22">
        <f t="shared" si="2"/>
        <v>289.49532853362786</v>
      </c>
      <c r="R26" s="62">
        <f t="shared" si="0"/>
        <v>512.98052524317438</v>
      </c>
      <c r="S26" s="62">
        <f ca="1">AVERAGE(OFFSET($R$3,0,0,'Données projet'!$E$9+1,1))-AVERAGE(OFFSET($H$3,0,0,'Données projet'!$E$9+1,1))</f>
        <v>378.13552372917843</v>
      </c>
      <c r="T26" s="62">
        <f t="shared" si="34"/>
        <v>528.97123645404952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3.2758620689655173</v>
      </c>
      <c r="AI26" s="14">
        <f>IF('Données projet'!$A$62&gt;35,AI25+AH26-AQ25,IF(A26&lt;'Données projet'!$A$62,$AF$205^A26,IF(A26='Données projet'!$A$62,'Données projet'!$B$62,AI25+AH26-AQ25)))</f>
        <v>37.028780652786246</v>
      </c>
      <c r="AJ26" s="14">
        <f>AI26*VLOOKUP('Données projet'!$B$10,Paramètres!$A$1:$I$88,3,0)*VLOOKUP('Données projet'!$B$10,Paramètres!$A$1:$I$88,5,0)</f>
        <v>33.503640734640989</v>
      </c>
      <c r="AK26" s="14">
        <f t="shared" si="35"/>
        <v>10.25943297873515</v>
      </c>
      <c r="AL26" s="22">
        <f t="shared" si="4"/>
        <v>76.220686717463437</v>
      </c>
      <c r="AM26" s="62">
        <f t="shared" si="5"/>
        <v>299.70588342700995</v>
      </c>
      <c r="AN26" s="62">
        <f ca="1">AVERAGE(OFFSET($AM$3,0,0,'Données projet'!$E$10+1,1))-AVERAGE(OFFSET($H$3,0,0,'Données projet'!$E$10+1,1))</f>
        <v>536.3707066106856</v>
      </c>
      <c r="AO26" s="62">
        <f t="shared" si="36"/>
        <v>217.6280015974086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12.650000000000002</v>
      </c>
      <c r="BD26" s="13">
        <f>IF('Données projet'!$A$88&gt;35,BD25+BC26-BL25,IF(A26&lt;'Données projet'!$A$88,$BA$205^A26,IF(A26='Données projet'!$A$88,'Données projet'!$B$88,BD25+BC26-BL25)))</f>
        <v>113.05000000000001</v>
      </c>
      <c r="BE26" s="14">
        <f>BD26*VLOOKUP('Données projet'!$B$11,Paramètres!$A$1:$I$88,3,0)*VLOOKUP('Données projet'!$B$11,Paramètres!$A$1:$I$88,5,0)</f>
        <v>67.60390000000001</v>
      </c>
      <c r="BF26" s="14">
        <f t="shared" si="37"/>
        <v>19.077220690141743</v>
      </c>
      <c r="BG26" s="22">
        <f t="shared" si="7"/>
        <v>150.96961853533023</v>
      </c>
      <c r="BH26" s="62">
        <f t="shared" si="8"/>
        <v>374.45481524487673</v>
      </c>
      <c r="BI26" s="62">
        <f ca="1">AVERAGE(OFFSET($BH$3,0,0,'Données projet'!$E$11+1,1))-AVERAGE(OFFSET($H$3,0,0,'Données projet'!$E$11+1,1))</f>
        <v>248.66193174773525</v>
      </c>
      <c r="BJ26" s="62">
        <f t="shared" si="38"/>
        <v>249.61655682981151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1.8585393707778446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4.8534727162102937</v>
      </c>
      <c r="BS26" s="24">
        <f t="shared" si="9"/>
        <v>6.7120120869881381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30.8</v>
      </c>
      <c r="BY26" s="13">
        <f>IF('Données projet'!$A$114&gt;35,BY25+BX26-CG25,IF(A26&lt;'Données projet'!$A$114,$BV$205^A26,IF(A26='Données projet'!$A$114,'Données projet'!$B$114,BY25+BX26-CG25)))</f>
        <v>179.4</v>
      </c>
      <c r="BZ26" s="14">
        <f>BY26*VLOOKUP('Données projet'!$B$12,Paramètres!$A$1:$I$88,3,0)*VLOOKUP('Données projet'!$B$12,Paramètres!$A$1:$I$88,5,0)</f>
        <v>72.298200000000008</v>
      </c>
      <c r="CA26" s="14">
        <f t="shared" si="39"/>
        <v>20.243104193750582</v>
      </c>
      <c r="CB26" s="22">
        <f t="shared" si="10"/>
        <v>161.17610480411562</v>
      </c>
      <c r="CC26" s="62">
        <f t="shared" si="11"/>
        <v>384.66130151366212</v>
      </c>
      <c r="CD26" s="62">
        <f ca="1">AVERAGE(OFFSET($CC$3,0,0,'Données projet'!$E$12+1,1))-AVERAGE(OFFSET($H$3,0,0,'Données projet'!$E$12+1,1))</f>
        <v>432.59662347701629</v>
      </c>
      <c r="CE26" s="62">
        <f t="shared" si="40"/>
        <v>348.67401091099748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19.40401630469588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19.40401630469588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43.4</v>
      </c>
      <c r="CT26" s="13">
        <f>IF('Données projet'!$A$140&gt;35,CT25+CS26-DB25,IF(A26&lt;'Données projet'!$A$140,$CQ$205^A26,IF(A26='Données projet'!$A$140,'Données projet'!$B$140,CT25+CS26-DB25)))</f>
        <v>180.2</v>
      </c>
      <c r="CU26" s="18">
        <f>CT26*VLOOKUP('Données projet'!$B$13,Paramètres!$A$1:$I$88,3,0)*VLOOKUP('Données projet'!$B$13,Paramètres!$A$1:$I$88,5,0)</f>
        <v>79.648400000000009</v>
      </c>
      <c r="CV26" s="14">
        <f t="shared" si="41"/>
        <v>22.051194075073628</v>
      </c>
      <c r="CW26" s="22">
        <f t="shared" si="13"/>
        <v>177.12679301408659</v>
      </c>
      <c r="CX26" s="62">
        <f t="shared" si="14"/>
        <v>400.61198972363309</v>
      </c>
      <c r="CY26" s="62">
        <f ca="1">AVERAGE(OFFSET($CX$3,0,0,'Données projet'!$E$13+1,1))-AVERAGE(OFFSET($H$3,0,0,'Données projet'!$E$13+1,1))</f>
        <v>582.26951914082088</v>
      </c>
      <c r="CZ26" s="62">
        <f t="shared" si="42"/>
        <v>434.80429932654715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34.381129294393943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34.381129294393943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12.2</v>
      </c>
      <c r="DO26" s="13">
        <f>IF('Données projet'!$A$166&gt;35,DO25+DN26-DW25,IF(A26&lt;'Données projet'!$A$166,$DL$205^A26,IF(A26='Données projet'!$A$166,'Données projet'!$B$166,DO25+DN26-DW25)))</f>
        <v>143.59999999999997</v>
      </c>
      <c r="DP26" s="18">
        <f>DO26*VLOOKUP('Données projet'!$B$14,Paramètres!$A$1:$I$88,3,0)*VLOOKUP('Données projet'!$B$14,Paramètres!$A$1:$I$88,5,0)</f>
        <v>69.071599999999975</v>
      </c>
      <c r="DQ26" s="14">
        <f t="shared" si="43"/>
        <v>19.442724281304439</v>
      </c>
      <c r="DR26" s="22">
        <f t="shared" si="16"/>
        <v>154.16244812327184</v>
      </c>
      <c r="DS26" s="62">
        <f t="shared" si="17"/>
        <v>377.64764483281834</v>
      </c>
      <c r="DT26" s="62">
        <f ca="1">AVERAGE(OFFSET($DS$3,0,0,'Données projet'!$E$14+1,1))-AVERAGE(OFFSET($H$3,0,0,'Données projet'!$E$14+1,1))</f>
        <v>273.24375559399846</v>
      </c>
      <c r="DU26" s="62">
        <f t="shared" si="44"/>
        <v>270.77718895097848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projet'!$B$14,Paramètres!$A$1:$I$88,3,0)*0.475*44/12</f>
        <v>0</v>
      </c>
      <c r="EB26" s="23">
        <f>EXP(-LN(2)/25)*EB25+(1-EXP(-LN(2)/25))/(LN(2)/25)*Calculateur!DW26*Calculateur!DY26*VLOOKUP('Données projet'!$B$14,Paramètres!$A$1:$I$88,3,0)*0.475*44/12</f>
        <v>9.2647583453604021</v>
      </c>
      <c r="EC26" s="23">
        <f>EXP(-LN(2)/2)*EC25+(1-EXP(-LN(2)/2))/(LN(2)/2)*DW26*DZ26*VLOOKUP('Données projet'!$B$14,Paramètres!$A$1:$I$88,3,0)*0.475*44/12</f>
        <v>0</v>
      </c>
      <c r="ED26" s="24">
        <f t="shared" si="18"/>
        <v>9.2647583453604021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12.2</v>
      </c>
      <c r="EJ26" s="13">
        <f>IF('Données projet'!$A$192&gt;35,EJ25+EI26-ER25,IF(A26&lt;'Données projet'!$A$192,$EG$205^A26,IF(A26='Données projet'!$A$192,'Données projet'!$B$192,EJ25+EI26-ER25)))</f>
        <v>143.59999999999997</v>
      </c>
      <c r="EK26" s="18">
        <f>EJ26*VLOOKUP('Données projet'!$B$15,Paramètres!$A$1:$I$88,3,0)*VLOOKUP('Données projet'!$B$15,Paramètres!$A$1:$I$88,5,0)</f>
        <v>67.204799999999977</v>
      </c>
      <c r="EL26" s="14">
        <f t="shared" si="45"/>
        <v>18.977673201594705</v>
      </c>
      <c r="EM26" s="22">
        <f t="shared" si="19"/>
        <v>150.10114082611076</v>
      </c>
      <c r="EN26" s="62">
        <f t="shared" si="20"/>
        <v>373.58633753565726</v>
      </c>
      <c r="EO26" s="62">
        <f ca="1">AVERAGE(OFFSET($EN$3,0,0,'Données projet'!$E$15+1,1))-AVERAGE(OFFSET($H$3,0,0,'Données projet'!$E$15+1,1))</f>
        <v>267.26203506406682</v>
      </c>
      <c r="EP26" s="62">
        <f t="shared" si="46"/>
        <v>265.10857635664843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projet'!$B$15,Paramètres!$A$1:$I$88,3,0)*0.475*44/12</f>
        <v>0</v>
      </c>
      <c r="EW26" s="23">
        <f>EXP(-LN(2)/25)*EW25+(1-EXP(-LN(2)/25))/(LN(2)/25)*Calculateur!ER26*Calculateur!ET26*VLOOKUP('Données projet'!$B$15,Paramètres!$A$1:$I$88,3,0)*0.475*44/12</f>
        <v>9.0143594711614732</v>
      </c>
      <c r="EX26" s="23">
        <f>EXP(-LN(2)/2)*EX25+(1-EXP(-LN(2)/2))/(LN(2)/2)*ER26*EU26*VLOOKUP('Données projet'!$B$15,Paramètres!$A$1:$I$88,3,0)*0.475*44/12</f>
        <v>0</v>
      </c>
      <c r="EY26" s="24">
        <f t="shared" si="21"/>
        <v>9.0143594711614732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8</v>
      </c>
      <c r="FE26" s="13">
        <f>IF('Données projet'!$A$218&gt;35,FE25+FD26-FM25,IF(A26&lt;'Données projet'!$A$218,$FB$205^A26,IF(A26='Données projet'!$A$218,'Données projet'!$B$218,FE25+FD26-FM25)))</f>
        <v>114.99999999999999</v>
      </c>
      <c r="FF26" s="18">
        <f>FE26*VLOOKUP('Données projet'!$B$16,Paramètres!$A$1:$I$88,3,0)*VLOOKUP('Données projet'!$B$16,Paramètres!$A$1:$I$88,5,0)</f>
        <v>84.317999999999984</v>
      </c>
      <c r="FG26" s="14">
        <f t="shared" si="47"/>
        <v>23.189705803157239</v>
      </c>
      <c r="FH26" s="22">
        <f t="shared" si="22"/>
        <v>187.24258760716546</v>
      </c>
      <c r="FI26" s="62">
        <f t="shared" si="23"/>
        <v>410.72778431671196</v>
      </c>
      <c r="FJ26" s="62">
        <f ca="1">AVERAGE(OFFSET($FI$3,0,0,'Données projet'!$E$16+1,1))-AVERAGE(OFFSET($H$3,0,0,'Données projet'!$E$16+1,1))</f>
        <v>207.66160354686221</v>
      </c>
      <c r="FK26" s="62">
        <f t="shared" si="48"/>
        <v>260.45879589483525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projet'!$B$16,Paramètres!$A$1:$I$88,3,0)*0.475*44/12</f>
        <v>0</v>
      </c>
      <c r="FR26" s="23">
        <f>EXP(-LN(2)/25)*FR25+(1-EXP(-LN(2)/25))/(LN(2)/25)*Calculateur!FM26*Calculateur!FO26*VLOOKUP('Données projet'!$B$16,Paramètres!$A$1:$I$88,3,0)*0.475*44/12</f>
        <v>0</v>
      </c>
      <c r="FS26" s="23">
        <f>EXP(-LN(2)/2)*FS25+(1-EXP(-LN(2)/2))/(LN(2)/2)*FM26*FP26*VLOOKUP('Données projet'!$B$16,Paramètres!$A$1:$I$88,3,0)*0.475*44/12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299</v>
      </c>
      <c r="L27" s="13">
        <f>VLOOKUP(A27,'Données projet'!$A$35:$I$55,9,0)</f>
        <v>12.458333333333334</v>
      </c>
      <c r="M27" s="13">
        <f t="array" ref="M27">INDEX(L:L,MIN(IF(ISNUMBER(L27:L223),ROW(L27:L223),"")))</f>
        <v>12.458333333333334</v>
      </c>
      <c r="N27" s="14">
        <f>IF('Données projet'!$A$36&gt;35,N26+M27-V26,IF(A27&lt;'Données projet'!$A$36,$K$205^A27,IF(A27='Données projet'!$A$36,'Données projet'!$B$36,N26+M27-V26)))</f>
        <v>299</v>
      </c>
      <c r="O27" s="14">
        <f>N27*VLOOKUP('Données projet'!$B$9,Paramètres!$A$1:$I$88,3,0)*VLOOKUP('Données projet'!$B$9,Paramètres!$A$1:$I$88,5,0)</f>
        <v>167.14099999999999</v>
      </c>
      <c r="P27" s="14">
        <f t="shared" si="33"/>
        <v>42.449071996340692</v>
      </c>
      <c r="Q27" s="22">
        <f t="shared" si="2"/>
        <v>365.03604206029331</v>
      </c>
      <c r="R27" s="62">
        <f t="shared" si="0"/>
        <v>590.80675024391314</v>
      </c>
      <c r="S27" s="62">
        <f ca="1">AVERAGE(OFFSET($R$3,0,0,'Données projet'!$E$9+1,1))-AVERAGE(OFFSET($H$3,0,0,'Données projet'!$E$9+1,1))</f>
        <v>378.13552372917843</v>
      </c>
      <c r="T27" s="62">
        <f t="shared" si="34"/>
        <v>528.97123645404952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66</v>
      </c>
      <c r="W27" s="17">
        <f>IF(ISNA(VLOOKUP(A27,'Données projet'!$A$35:$I$55,5,0)),0%,VLOOKUP(A27,'Données projet'!$A$35:$I$55,5,0)*VLOOKUP('Données projet'!$B$9,Paramètres!$A$1:$I$88,7,0))</f>
        <v>0.16500000000000001</v>
      </c>
      <c r="X27" s="17">
        <f>IF(ISNA(VLOOKUP(A27,'Données projet'!$A$35:$I$55,6,0)),0%,VLOOKUP(A27,'Données projet'!$A$35:$I$55,6,0)*VLOOKUP('Données projet'!$B$9,Paramètres!$A$1:$I$88,7,0))</f>
        <v>0.38500000000000001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8.075474388132756</v>
      </c>
      <c r="AA27" s="23">
        <f>EXP(-LN(2)/25)*AA26+(1-EXP(-LN(2)/25))/(LN(2)/25)*Calculateur!V27*Calculateur!X27*VLOOKUP('Données projet'!$B$9,Paramètres!$A$1:$I$88,3,0)*0.475*44/12</f>
        <v>18.768582393095972</v>
      </c>
      <c r="AB27" s="23">
        <f>EXP(-LN(2)/2)*AB26+(1-EXP(-LN(2)/2))/(LN(2)/2)*V27*Y27*VLOOKUP('Données projet'!$B$9,Paramètres!$A$1:$I$88,3,0)*0.475*44/12</f>
        <v>0</v>
      </c>
      <c r="AC27" s="24">
        <f t="shared" si="3"/>
        <v>26.84405678122873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3.2758620689655173</v>
      </c>
      <c r="AI27" s="14">
        <f>IF('Données projet'!$A$62&gt;35,AI26+AH27-AQ26,IF(A27&lt;'Données projet'!$A$62,$AF$205^A27,IF(A27='Données projet'!$A$62,'Données projet'!$B$62,AI26+AH27-AQ26)))</f>
        <v>43.32482097245304</v>
      </c>
      <c r="AJ27" s="14">
        <f>AI27*VLOOKUP('Données projet'!$B$10,Paramètres!$A$1:$I$88,3,0)*VLOOKUP('Données projet'!$B$10,Paramètres!$A$1:$I$88,5,0)</f>
        <v>39.200298015875511</v>
      </c>
      <c r="AK27" s="14">
        <f t="shared" si="35"/>
        <v>11.786437322329789</v>
      </c>
      <c r="AL27" s="22">
        <f t="shared" si="4"/>
        <v>88.801897380707558</v>
      </c>
      <c r="AM27" s="62">
        <f t="shared" si="5"/>
        <v>314.57260556432738</v>
      </c>
      <c r="AN27" s="62">
        <f ca="1">AVERAGE(OFFSET($AM$3,0,0,'Données projet'!$E$10+1,1))-AVERAGE(OFFSET($H$3,0,0,'Données projet'!$E$10+1,1))</f>
        <v>536.3707066106856</v>
      </c>
      <c r="AO27" s="62">
        <f t="shared" si="36"/>
        <v>217.6280015974086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125.7</v>
      </c>
      <c r="BB27" s="13">
        <f>VLOOKUP(A27,'Données projet'!$A$87:$I$107,9,0)</f>
        <v>12.650000000000002</v>
      </c>
      <c r="BC27" s="13">
        <f t="array" ref="BC27">INDEX(BB:BB,MIN(IF(ISNUMBER(BB27:BB223),ROW(BB27:BB223),"")))</f>
        <v>12.650000000000002</v>
      </c>
      <c r="BD27" s="13">
        <f>IF('Données projet'!$A$88&gt;35,BD26+BC27-BL26,IF(A27&lt;'Données projet'!$A$88,$BA$205^A27,IF(A27='Données projet'!$A$88,'Données projet'!$B$88,BD26+BC27-BL26)))</f>
        <v>125.70000000000002</v>
      </c>
      <c r="BE27" s="14">
        <f>BD27*VLOOKUP('Données projet'!$B$11,Paramètres!$A$1:$I$88,3,0)*VLOOKUP('Données projet'!$B$11,Paramètres!$A$1:$I$88,5,0)</f>
        <v>75.168600000000012</v>
      </c>
      <c r="BF27" s="14">
        <f t="shared" si="37"/>
        <v>20.951633205295295</v>
      </c>
      <c r="BG27" s="22">
        <f t="shared" si="7"/>
        <v>167.40940616588932</v>
      </c>
      <c r="BH27" s="62">
        <f t="shared" si="8"/>
        <v>393.18011434950915</v>
      </c>
      <c r="BI27" s="62">
        <f ca="1">AVERAGE(OFFSET($BH$3,0,0,'Données projet'!$E$11+1,1))-AVERAGE(OFFSET($H$3,0,0,'Données projet'!$E$11+1,1))</f>
        <v>248.66193174773525</v>
      </c>
      <c r="BJ27" s="62">
        <f t="shared" si="38"/>
        <v>249.61655682981151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30.8</v>
      </c>
      <c r="BM27" s="17">
        <f>IF(ISNA(VLOOKUP(A27,'Données projet'!$A$87:$I$107,5,0)),0%,VLOOKUP(A27,'Données projet'!$A$87:$I$107,5,0)*VLOOKUP('Données projet'!$B$11,Paramètres!$A$1:$I$88,7,0))</f>
        <v>0.1125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0.75</v>
      </c>
      <c r="BP27" s="23">
        <f>EXP(-LN(2)/35)*BP26+(1-EXP(-LN(2)/35))/(LN(2)/35)*BL27*BM27*VLOOKUP('Données projet'!$B$11,Paramètres!$A$1:$I$88,3,0)*0.475*44/12</f>
        <v>4.5708289584965822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19.072353981507284</v>
      </c>
      <c r="BS27" s="24">
        <f t="shared" si="9"/>
        <v>23.643182940003868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30.8</v>
      </c>
      <c r="BY27" s="13">
        <f>IF('Données projet'!$A$114&gt;35,BY26+BX27-CG26,IF(A27&lt;'Données projet'!$A$114,$BV$205^A27,IF(A27='Données projet'!$A$114,'Données projet'!$B$114,BY26+BX27-CG26)))</f>
        <v>210.20000000000002</v>
      </c>
      <c r="BZ27" s="14">
        <f>BY27*VLOOKUP('Données projet'!$B$12,Paramètres!$A$1:$I$88,3,0)*VLOOKUP('Données projet'!$B$12,Paramètres!$A$1:$I$88,5,0)</f>
        <v>84.710600000000014</v>
      </c>
      <c r="CA27" s="14">
        <f t="shared" si="39"/>
        <v>23.285087148309362</v>
      </c>
      <c r="CB27" s="22">
        <f t="shared" si="10"/>
        <v>188.09248844997217</v>
      </c>
      <c r="CC27" s="62">
        <f t="shared" si="11"/>
        <v>413.863196633592</v>
      </c>
      <c r="CD27" s="62">
        <f ca="1">AVERAGE(OFFSET($CC$3,0,0,'Données projet'!$E$12+1,1))-AVERAGE(OFFSET($H$3,0,0,'Données projet'!$E$12+1,1))</f>
        <v>432.59662347701629</v>
      </c>
      <c r="CE27" s="62">
        <f t="shared" si="40"/>
        <v>348.67401091099748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18.873412458431101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18.873412458431101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43.4</v>
      </c>
      <c r="CT27" s="13">
        <f>IF('Données projet'!$A$140&gt;35,CT26+CS27-DB26,IF(A27&lt;'Données projet'!$A$140,$CQ$205^A27,IF(A27='Données projet'!$A$140,'Données projet'!$B$140,CT26+CS27-DB26)))</f>
        <v>223.6</v>
      </c>
      <c r="CU27" s="18">
        <f>CT27*VLOOKUP('Données projet'!$B$13,Paramètres!$A$1:$I$88,3,0)*VLOOKUP('Données projet'!$B$13,Paramètres!$A$1:$I$88,5,0)</f>
        <v>98.83120000000001</v>
      </c>
      <c r="CV27" s="14">
        <f t="shared" si="41"/>
        <v>26.683356823121375</v>
      </c>
      <c r="CW27" s="22">
        <f t="shared" si="13"/>
        <v>218.60451980026974</v>
      </c>
      <c r="CX27" s="62">
        <f t="shared" si="14"/>
        <v>444.37522798388954</v>
      </c>
      <c r="CY27" s="62">
        <f ca="1">AVERAGE(OFFSET($CX$3,0,0,'Données projet'!$E$13+1,1))-AVERAGE(OFFSET($H$3,0,0,'Données projet'!$E$13+1,1))</f>
        <v>582.26951914082088</v>
      </c>
      <c r="CZ27" s="62">
        <f t="shared" si="42"/>
        <v>434.80429932654715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33.440975505813732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33.440975505813732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12.2</v>
      </c>
      <c r="DO27" s="13">
        <f>IF('Données projet'!$A$166&gt;35,DO26+DN27-DW26,IF(A27&lt;'Données projet'!$A$166,$DL$205^A27,IF(A27='Données projet'!$A$166,'Données projet'!$B$166,DO26+DN27-DW26)))</f>
        <v>155.79999999999995</v>
      </c>
      <c r="DP27" s="18">
        <f>DO27*VLOOKUP('Données projet'!$B$14,Paramètres!$A$1:$I$88,3,0)*VLOOKUP('Données projet'!$B$14,Paramètres!$A$1:$I$88,5,0)</f>
        <v>74.939799999999977</v>
      </c>
      <c r="DQ27" s="14">
        <f t="shared" si="43"/>
        <v>20.895273311763642</v>
      </c>
      <c r="DR27" s="22">
        <f t="shared" si="16"/>
        <v>166.91275268465498</v>
      </c>
      <c r="DS27" s="62">
        <f t="shared" si="17"/>
        <v>392.68346086827478</v>
      </c>
      <c r="DT27" s="62">
        <f ca="1">AVERAGE(OFFSET($DS$3,0,0,'Données projet'!$E$14+1,1))-AVERAGE(OFFSET($H$3,0,0,'Données projet'!$E$14+1,1))</f>
        <v>273.24375559399846</v>
      </c>
      <c r="DU27" s="62">
        <f t="shared" si="44"/>
        <v>270.77718895097848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projet'!$B$14,Paramètres!$A$1:$I$88,3,0)*0.475*44/12</f>
        <v>0</v>
      </c>
      <c r="EB27" s="23">
        <f>EXP(-LN(2)/25)*EB26+(1-EXP(-LN(2)/25))/(LN(2)/25)*Calculateur!DW27*Calculateur!DY27*VLOOKUP('Données projet'!$B$14,Paramètres!$A$1:$I$88,3,0)*0.475*44/12</f>
        <v>9.0114130411940554</v>
      </c>
      <c r="EC27" s="23">
        <f>EXP(-LN(2)/2)*EC26+(1-EXP(-LN(2)/2))/(LN(2)/2)*DW27*DZ27*VLOOKUP('Données projet'!$B$14,Paramètres!$A$1:$I$88,3,0)*0.475*44/12</f>
        <v>0</v>
      </c>
      <c r="ED27" s="24">
        <f t="shared" si="18"/>
        <v>9.0114130411940554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12.2</v>
      </c>
      <c r="EJ27" s="13">
        <f>IF('Données projet'!$A$192&gt;35,EJ26+EI27-ER26,IF(A27&lt;'Données projet'!$A$192,$EG$205^A27,IF(A27='Données projet'!$A$192,'Données projet'!$B$192,EJ26+EI27-ER26)))</f>
        <v>155.79999999999995</v>
      </c>
      <c r="EK27" s="18">
        <f>EJ27*VLOOKUP('Données projet'!$B$15,Paramètres!$A$1:$I$88,3,0)*VLOOKUP('Données projet'!$B$15,Paramètres!$A$1:$I$88,5,0)</f>
        <v>72.914399999999972</v>
      </c>
      <c r="EL27" s="14">
        <f t="shared" si="45"/>
        <v>20.395478670134661</v>
      </c>
      <c r="EM27" s="22">
        <f t="shared" si="19"/>
        <v>162.51470535048449</v>
      </c>
      <c r="EN27" s="62">
        <f t="shared" si="20"/>
        <v>388.28541353410429</v>
      </c>
      <c r="EO27" s="62">
        <f ca="1">AVERAGE(OFFSET($EN$3,0,0,'Données projet'!$E$15+1,1))-AVERAGE(OFFSET($H$3,0,0,'Données projet'!$E$15+1,1))</f>
        <v>267.26203506406682</v>
      </c>
      <c r="EP27" s="62">
        <f t="shared" si="46"/>
        <v>265.10857635664843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projet'!$B$15,Paramètres!$A$1:$I$88,3,0)*0.475*44/12</f>
        <v>0</v>
      </c>
      <c r="EW27" s="23">
        <f>EXP(-LN(2)/25)*EW26+(1-EXP(-LN(2)/25))/(LN(2)/25)*Calculateur!ER27*Calculateur!ET27*VLOOKUP('Données projet'!$B$15,Paramètres!$A$1:$I$88,3,0)*0.475*44/12</f>
        <v>8.767861337378001</v>
      </c>
      <c r="EX27" s="23">
        <f>EXP(-LN(2)/2)*EX26+(1-EXP(-LN(2)/2))/(LN(2)/2)*ER27*EU27*VLOOKUP('Données projet'!$B$15,Paramètres!$A$1:$I$88,3,0)*0.475*44/12</f>
        <v>0</v>
      </c>
      <c r="EY27" s="24">
        <f t="shared" si="21"/>
        <v>8.767861337378001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8</v>
      </c>
      <c r="FE27" s="13">
        <f>IF('Données projet'!$A$218&gt;35,FE26+FD27-FM26,IF(A27&lt;'Données projet'!$A$218,$FB$205^A27,IF(A27='Données projet'!$A$218,'Données projet'!$B$218,FE26+FD27-FM26)))</f>
        <v>122.99999999999999</v>
      </c>
      <c r="FF27" s="18">
        <f>FE27*VLOOKUP('Données projet'!$B$16,Paramètres!$A$1:$I$88,3,0)*VLOOKUP('Données projet'!$B$16,Paramètres!$A$1:$I$88,5,0)</f>
        <v>90.183599999999984</v>
      </c>
      <c r="FG27" s="14">
        <f t="shared" si="47"/>
        <v>24.609499639553768</v>
      </c>
      <c r="FH27" s="22">
        <f t="shared" si="22"/>
        <v>199.9313152055561</v>
      </c>
      <c r="FI27" s="62">
        <f t="shared" si="23"/>
        <v>425.70202338917591</v>
      </c>
      <c r="FJ27" s="62">
        <f ca="1">AVERAGE(OFFSET($FI$3,0,0,'Données projet'!$E$16+1,1))-AVERAGE(OFFSET($H$3,0,0,'Données projet'!$E$16+1,1))</f>
        <v>207.66160354686221</v>
      </c>
      <c r="FK27" s="62">
        <f t="shared" si="48"/>
        <v>260.45879589483525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projet'!$B$16,Paramètres!$A$1:$I$88,3,0)*0.475*44/12</f>
        <v>0</v>
      </c>
      <c r="FR27" s="23">
        <f>EXP(-LN(2)/25)*FR26+(1-EXP(-LN(2)/25))/(LN(2)/25)*Calculateur!FM27*Calculateur!FO27*VLOOKUP('Données projet'!$B$16,Paramètres!$A$1:$I$88,3,0)*0.475*44/12</f>
        <v>0</v>
      </c>
      <c r="FS27" s="23">
        <f>EXP(-LN(2)/2)*FS26+(1-EXP(-LN(2)/2))/(LN(2)/2)*FM27*FP27*VLOOKUP('Données projet'!$B$16,Paramètres!$A$1:$I$88,3,0)*0.475*44/12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26.166666666666668</v>
      </c>
      <c r="N28" s="14">
        <f>IF('Données projet'!$A$36&gt;35,N27+M28-V27,IF(A28&lt;'Données projet'!$A$36,$K$205^A28,IF(A28='Données projet'!$A$36,'Données projet'!$B$36,N27+M28-V27)))</f>
        <v>259.16666666666669</v>
      </c>
      <c r="O28" s="14">
        <f>N28*VLOOKUP('Données projet'!$B$9,Paramètres!$A$1:$I$88,3,0)*VLOOKUP('Données projet'!$B$9,Paramètres!$A$1:$I$88,5,0)</f>
        <v>144.8741666666667</v>
      </c>
      <c r="P28" s="14">
        <f t="shared" si="33"/>
        <v>37.411374888763902</v>
      </c>
      <c r="Q28" s="22">
        <f t="shared" si="2"/>
        <v>317.48065154237497</v>
      </c>
      <c r="R28" s="62">
        <f t="shared" si="0"/>
        <v>545.51842550870708</v>
      </c>
      <c r="S28" s="62">
        <f ca="1">AVERAGE(OFFSET($R$3,0,0,'Données projet'!$E$9+1,1))-AVERAGE(OFFSET($H$3,0,0,'Données projet'!$E$9+1,1))</f>
        <v>378.13552372917843</v>
      </c>
      <c r="T28" s="62">
        <f t="shared" si="34"/>
        <v>528.97123645404952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7.9171192609344914</v>
      </c>
      <c r="AA28" s="23">
        <f>EXP(-LN(2)/25)*AA27+(1-EXP(-LN(2)/25))/(LN(2)/25)*Calculateur!V28*Calculateur!X28*VLOOKUP('Données projet'!$B$9,Paramètres!$A$1:$I$88,3,0)*0.475*44/12</f>
        <v>18.255354520559912</v>
      </c>
      <c r="AB28" s="23">
        <f>EXP(-LN(2)/2)*AB27+(1-EXP(-LN(2)/2))/(LN(2)/2)*V28*Y28*VLOOKUP('Données projet'!$B$9,Paramètres!$A$1:$I$88,3,0)*0.475*44/12</f>
        <v>0</v>
      </c>
      <c r="AC28" s="24">
        <f t="shared" si="3"/>
        <v>26.172473781494404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3.2758620689655173</v>
      </c>
      <c r="AI28" s="14">
        <f>IF('Données projet'!$A$62&gt;35,AI27+AH28-AQ27,IF(A28&lt;'Données projet'!$A$62,$AF$205^A28,IF(A28='Données projet'!$A$62,'Données projet'!$B$62,AI27+AH28-AQ27)))</f>
        <v>50.691383275508109</v>
      </c>
      <c r="AJ28" s="14">
        <f>AI28*VLOOKUP('Données projet'!$B$10,Paramètres!$A$1:$I$88,3,0)*VLOOKUP('Données projet'!$B$10,Paramètres!$A$1:$I$88,5,0)</f>
        <v>45.865563587679738</v>
      </c>
      <c r="AK28" s="14">
        <f t="shared" si="35"/>
        <v>13.540719554496821</v>
      </c>
      <c r="AL28" s="22">
        <f t="shared" si="4"/>
        <v>103.46594313929084</v>
      </c>
      <c r="AM28" s="62">
        <f t="shared" si="5"/>
        <v>331.50371710562297</v>
      </c>
      <c r="AN28" s="62">
        <f ca="1">AVERAGE(OFFSET($AM$3,0,0,'Données projet'!$E$10+1,1))-AVERAGE(OFFSET($H$3,0,0,'Données projet'!$E$10+1,1))</f>
        <v>536.3707066106856</v>
      </c>
      <c r="AO28" s="62">
        <f t="shared" si="36"/>
        <v>217.6280015974086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15.149999999999999</v>
      </c>
      <c r="BD28" s="13">
        <f>IF('Données projet'!$A$88&gt;35,BD27+BC28-BL27,IF(A28&lt;'Données projet'!$A$88,$BA$205^A28,IF(A28='Données projet'!$A$88,'Données projet'!$B$88,BD27+BC28-BL27)))</f>
        <v>110.05000000000003</v>
      </c>
      <c r="BE28" s="14">
        <f>BD28*VLOOKUP('Données projet'!$B$11,Paramètres!$A$1:$I$88,3,0)*VLOOKUP('Données projet'!$B$11,Paramètres!$A$1:$I$88,5,0)</f>
        <v>65.809900000000013</v>
      </c>
      <c r="BF28" s="14">
        <f t="shared" si="37"/>
        <v>18.62919962382745</v>
      </c>
      <c r="BG28" s="22">
        <f t="shared" si="7"/>
        <v>147.06476517816614</v>
      </c>
      <c r="BH28" s="62">
        <f t="shared" si="8"/>
        <v>375.10253914449822</v>
      </c>
      <c r="BI28" s="62">
        <f ca="1">AVERAGE(OFFSET($BH$3,0,0,'Données projet'!$E$11+1,1))-AVERAGE(OFFSET($H$3,0,0,'Données projet'!$E$11+1,1))</f>
        <v>248.66193174773525</v>
      </c>
      <c r="BJ28" s="62">
        <f t="shared" si="38"/>
        <v>249.61655682981151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4.4811977905508433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13.486190833514051</v>
      </c>
      <c r="BS28" s="24">
        <f t="shared" si="9"/>
        <v>17.967388624064895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241</v>
      </c>
      <c r="BW28" s="13">
        <f>VLOOKUP(A28,'Données projet'!$A$113:$I$133,9,0)</f>
        <v>30.8</v>
      </c>
      <c r="BX28" s="13">
        <f t="array" ref="BX28">INDEX(BW:BW,MIN(IF(ISNUMBER(BW28:BW224),ROW(BW28:BW224),"")))</f>
        <v>30.8</v>
      </c>
      <c r="BY28" s="13">
        <f>IF('Données projet'!$A$114&gt;35,BY27+BX28-CG27,IF(A28&lt;'Données projet'!$A$114,$BV$205^A28,IF(A28='Données projet'!$A$114,'Données projet'!$B$114,BY27+BX28-CG27)))</f>
        <v>241.00000000000003</v>
      </c>
      <c r="BZ28" s="14">
        <f>BY28*VLOOKUP('Données projet'!$B$12,Paramètres!$A$1:$I$88,3,0)*VLOOKUP('Données projet'!$B$12,Paramètres!$A$1:$I$88,5,0)</f>
        <v>97.123000000000019</v>
      </c>
      <c r="CA28" s="14">
        <f t="shared" si="39"/>
        <v>26.275431840972171</v>
      </c>
      <c r="CB28" s="22">
        <f t="shared" si="10"/>
        <v>214.91893545635992</v>
      </c>
      <c r="CC28" s="62">
        <f t="shared" si="11"/>
        <v>442.95670942269203</v>
      </c>
      <c r="CD28" s="62">
        <f ca="1">AVERAGE(OFFSET($CC$3,0,0,'Données projet'!$E$12+1,1))-AVERAGE(OFFSET($H$3,0,0,'Données projet'!$E$12+1,1))</f>
        <v>432.59662347701629</v>
      </c>
      <c r="CE28" s="62">
        <f t="shared" si="40"/>
        <v>348.67401091099748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84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0.55000000000000004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42.958842492138913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42.958842492138913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267</v>
      </c>
      <c r="CR28" s="13">
        <f>VLOOKUP(A28,'Données projet'!$A$139:$I$159,9,0)</f>
        <v>43.4</v>
      </c>
      <c r="CS28" s="13">
        <f t="array" ref="CS28">INDEX(CR:CR,MIN(IF(ISNUMBER(CR28:CR224),ROW(CR28:CR224),"")))</f>
        <v>43.4</v>
      </c>
      <c r="CT28" s="13">
        <f>IF('Données projet'!$A$140&gt;35,CT27+CS28-DB27,IF(A28&lt;'Données projet'!$A$140,$CQ$205^A28,IF(A28='Données projet'!$A$140,'Données projet'!$B$140,CT27+CS28-DB27)))</f>
        <v>267</v>
      </c>
      <c r="CU28" s="18">
        <f>CT28*VLOOKUP('Données projet'!$B$13,Paramètres!$A$1:$I$88,3,0)*VLOOKUP('Données projet'!$B$13,Paramètres!$A$1:$I$88,5,0)</f>
        <v>118.01400000000001</v>
      </c>
      <c r="CV28" s="14">
        <f t="shared" si="41"/>
        <v>31.211348475126677</v>
      </c>
      <c r="CW28" s="22">
        <f t="shared" si="13"/>
        <v>259.9008152608456</v>
      </c>
      <c r="CX28" s="62">
        <f t="shared" si="14"/>
        <v>487.93858922717772</v>
      </c>
      <c r="CY28" s="62">
        <f ca="1">AVERAGE(OFFSET($CX$3,0,0,'Données projet'!$E$13+1,1))-AVERAGE(OFFSET($H$3,0,0,'Données projet'!$E$13+1,1))</f>
        <v>582.26951914082088</v>
      </c>
      <c r="CZ28" s="62">
        <f t="shared" si="42"/>
        <v>434.80429932654715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105</v>
      </c>
      <c r="DC28" s="17">
        <f>IF(ISNA(VLOOKUP(A28,'Données projet'!$A$139:$I$159,5,0)),0%,VLOOKUP(A28,'Données projet'!$A$139:$I$159,5,0)*VLOOKUP('Données projet'!$B$13,Paramètres!$A$1:$I$88,7,0))</f>
        <v>0.13750000000000001</v>
      </c>
      <c r="DD28" s="17">
        <f>IF(ISNA(VLOOKUP(A28,'Données projet'!$A$139:$I$159,6,0)),0%,VLOOKUP(A28,'Données projet'!$A$139:$I$159,6,0)*VLOOKUP('Données projet'!$B$13,Paramètres!$A$1:$I$88,7,0))</f>
        <v>0.41250000000000003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8.4653052518304985</v>
      </c>
      <c r="DG28" s="23">
        <f>EXP(-LN(2)/25)*DG27+(1-EXP(-LN(2)/25))/(LN(2)/25)*Calculateur!DB28*Calculateur!DD28*VLOOKUP('Données projet'!$B$13,Paramètres!$A$1:$I$88,3,0)*0.475*44/12</f>
        <v>57.822452630582376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66.287757882412876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168</v>
      </c>
      <c r="DM28" s="13">
        <f>VLOOKUP(A28,'Données projet'!$A$165:$I$185,9,0)</f>
        <v>12.2</v>
      </c>
      <c r="DN28" s="13">
        <f t="array" ref="DN28">INDEX(DM:DM,MIN(IF(ISNUMBER(DM28:DM224),ROW(DM28:DM224),"")))</f>
        <v>12.2</v>
      </c>
      <c r="DO28" s="13">
        <f>IF('Données projet'!$A$166&gt;35,DO27+DN28-DW27,IF(A28&lt;'Données projet'!$A$166,$DL$205^A28,IF(A28='Données projet'!$A$166,'Données projet'!$B$166,DO27+DN28-DW27)))</f>
        <v>167.99999999999994</v>
      </c>
      <c r="DP28" s="18">
        <f>DO28*VLOOKUP('Données projet'!$B$14,Paramètres!$A$1:$I$88,3,0)*VLOOKUP('Données projet'!$B$14,Paramètres!$A$1:$I$88,5,0)</f>
        <v>80.807999999999964</v>
      </c>
      <c r="DQ28" s="14">
        <f t="shared" si="43"/>
        <v>22.334628633536209</v>
      </c>
      <c r="DR28" s="22">
        <f t="shared" si="16"/>
        <v>179.64007820340882</v>
      </c>
      <c r="DS28" s="62">
        <f t="shared" si="17"/>
        <v>407.67785216974096</v>
      </c>
      <c r="DT28" s="62">
        <f ca="1">AVERAGE(OFFSET($DS$3,0,0,'Données projet'!$E$14+1,1))-AVERAGE(OFFSET($H$3,0,0,'Données projet'!$E$14+1,1))</f>
        <v>273.24375559399846</v>
      </c>
      <c r="DU28" s="62">
        <f t="shared" si="44"/>
        <v>270.77718895097848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36</v>
      </c>
      <c r="DX28" s="17">
        <f>IF(ISNA(VLOOKUP(A28,'Données projet'!$A$165:$I$185,5,0)),0%,VLOOKUP(A28,'Données projet'!$A$165:$I$185,5,0)*VLOOKUP('Données projet'!$B$14,Paramètres!$A$1:$I$88,7,0))</f>
        <v>0.16500000000000001</v>
      </c>
      <c r="DY28" s="17">
        <f>IF(ISNA(VLOOKUP(A28,'Données projet'!$A$165:$I$185,6,0)),0%,VLOOKUP(A28,'Données projet'!$A$165:$I$185,6,0)*VLOOKUP('Données projet'!$B$14,Paramètres!$A$1:$I$88,7,0))</f>
        <v>0.38500000000000001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projet'!$B$14,Paramètres!$A$1:$I$88,3,0)*0.475*44/12</f>
        <v>3.7901803682145281</v>
      </c>
      <c r="EB28" s="23">
        <f>EXP(-LN(2)/25)*EB27+(1-EXP(-LN(2)/25))/(LN(2)/25)*Calculateur!DW28*Calculateur!DY28*VLOOKUP('Données projet'!$B$14,Paramètres!$A$1:$I$88,3,0)*0.475*44/12</f>
        <v>17.573928440203147</v>
      </c>
      <c r="EC28" s="23">
        <f>EXP(-LN(2)/2)*EC27+(1-EXP(-LN(2)/2))/(LN(2)/2)*DW28*DZ28*VLOOKUP('Données projet'!$B$14,Paramètres!$A$1:$I$88,3,0)*0.475*44/12</f>
        <v>0</v>
      </c>
      <c r="ED28" s="24">
        <f t="shared" si="18"/>
        <v>21.364108808417676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168</v>
      </c>
      <c r="EH28" s="13">
        <f>VLOOKUP(A28,'Données projet'!$A$191:$I$211,9,0)</f>
        <v>12.2</v>
      </c>
      <c r="EI28" s="13">
        <f t="array" ref="EI28">INDEX(EH:EH,MIN(IF(ISNUMBER(EH28:EH224),ROW(EH28:EH224),"")))</f>
        <v>12.2</v>
      </c>
      <c r="EJ28" s="13">
        <f>IF('Données projet'!$A$192&gt;35,EJ27+EI28-ER27,IF(A28&lt;'Données projet'!$A$192,$EG$205^A28,IF(A28='Données projet'!$A$192,'Données projet'!$B$192,EJ27+EI28-ER27)))</f>
        <v>167.99999999999994</v>
      </c>
      <c r="EK28" s="18">
        <f>EJ28*VLOOKUP('Données projet'!$B$15,Paramètres!$A$1:$I$88,3,0)*VLOOKUP('Données projet'!$B$15,Paramètres!$A$1:$I$88,5,0)</f>
        <v>78.623999999999967</v>
      </c>
      <c r="EL28" s="14">
        <f t="shared" si="45"/>
        <v>21.800406010684444</v>
      </c>
      <c r="EM28" s="22">
        <f t="shared" si="19"/>
        <v>174.90584046860866</v>
      </c>
      <c r="EN28" s="62">
        <f t="shared" si="20"/>
        <v>402.94361443494074</v>
      </c>
      <c r="EO28" s="62">
        <f ca="1">AVERAGE(OFFSET($EN$3,0,0,'Données projet'!$E$15+1,1))-AVERAGE(OFFSET($H$3,0,0,'Données projet'!$E$15+1,1))</f>
        <v>267.26203506406682</v>
      </c>
      <c r="EP28" s="62">
        <f t="shared" si="46"/>
        <v>265.10857635664843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36</v>
      </c>
      <c r="ES28" s="17">
        <f>IF(ISNA(VLOOKUP(A28,'Données projet'!$A$191:$I$211,5,0)),0%,VLOOKUP(A28,'Données projet'!$A$191:$I$211,5,0)*VLOOKUP('Données projet'!$B$15,Paramètres!$A$1:$I$88,7,0))</f>
        <v>0.16500000000000001</v>
      </c>
      <c r="ET28" s="17">
        <f>IF(ISNA(VLOOKUP(A28,'Données projet'!$A$191:$I$211,6,0)),0%,VLOOKUP(A28,'Données projet'!$A$191:$I$211,6,0)*VLOOKUP('Données projet'!$B$15,Paramètres!$A$1:$I$88,7,0))</f>
        <v>0.38500000000000001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projet'!$B$15,Paramètres!$A$1:$I$88,3,0)*0.475*44/12</f>
        <v>3.6877430609654867</v>
      </c>
      <c r="EW28" s="23">
        <f>EXP(-LN(2)/25)*EW27+(1-EXP(-LN(2)/25))/(LN(2)/25)*Calculateur!ER28*Calculateur!ET28*VLOOKUP('Données projet'!$B$15,Paramètres!$A$1:$I$88,3,0)*0.475*44/12</f>
        <v>17.098957401278739</v>
      </c>
      <c r="EX28" s="23">
        <f>EXP(-LN(2)/2)*EX27+(1-EXP(-LN(2)/2))/(LN(2)/2)*ER28*EU28*VLOOKUP('Données projet'!$B$15,Paramètres!$A$1:$I$88,3,0)*0.475*44/12</f>
        <v>0</v>
      </c>
      <c r="EY28" s="24">
        <f t="shared" si="21"/>
        <v>20.786700462244227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131</v>
      </c>
      <c r="FC28" s="13">
        <f>VLOOKUP(A28,'Données projet'!$A$217:$I$237,9,0)</f>
        <v>8</v>
      </c>
      <c r="FD28" s="13">
        <f t="array" ref="FD28">INDEX(FC:FC,MIN(IF(ISNUMBER(FC28:FC224),ROW(FC28:FC224),"")))</f>
        <v>8</v>
      </c>
      <c r="FE28" s="13">
        <f>IF('Données projet'!$A$218&gt;35,FE27+FD28-FM27,IF(A28&lt;'Données projet'!$A$218,$FB$205^A28,IF(A28='Données projet'!$A$218,'Données projet'!$B$218,FE27+FD28-FM27)))</f>
        <v>131</v>
      </c>
      <c r="FF28" s="18">
        <f>FE28*VLOOKUP('Données projet'!$B$16,Paramètres!$A$1:$I$88,3,0)*VLOOKUP('Données projet'!$B$16,Paramètres!$A$1:$I$88,5,0)</f>
        <v>96.049199999999999</v>
      </c>
      <c r="FG28" s="14">
        <f t="shared" si="47"/>
        <v>26.018577210521599</v>
      </c>
      <c r="FH28" s="22">
        <f t="shared" si="22"/>
        <v>212.60137864165844</v>
      </c>
      <c r="FI28" s="62">
        <f t="shared" si="23"/>
        <v>440.63915260799058</v>
      </c>
      <c r="FJ28" s="62">
        <f ca="1">AVERAGE(OFFSET($FI$3,0,0,'Données projet'!$E$16+1,1))-AVERAGE(OFFSET($H$3,0,0,'Données projet'!$E$16+1,1))</f>
        <v>207.66160354686221</v>
      </c>
      <c r="FK28" s="62">
        <f t="shared" si="48"/>
        <v>260.45879589483525</v>
      </c>
      <c r="FL28" s="16">
        <f>IF(ISNA(VLOOKUP(A28,'Données projet'!$A$217:$I$237,3,0)),0,VLOOKUP(A28,'Données projet'!$A$217:$I$237,3,0))</f>
        <v>3</v>
      </c>
      <c r="FM28" s="16">
        <f>IF(ISNA(VLOOKUP(A28,'Données projet'!$A$217:$I$237,4,0)),0,VLOOKUP(A28,'Données projet'!$A$217:$I$237,4,0))</f>
        <v>41</v>
      </c>
      <c r="FN28" s="17">
        <f>IF(ISNA(VLOOKUP(A28,'Données projet'!$A$217:$I$237,5,0)),0%,VLOOKUP(A28,'Données projet'!$A$217:$I$237,5,0)*VLOOKUP('Données projet'!$B$16,Paramètres!$A$1:$I$88,7,0))</f>
        <v>0.17200000000000001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projet'!$B$16,Paramètres!$A$1:$I$88,3,0)*0.475*44/12</f>
        <v>5.7158637817931393</v>
      </c>
      <c r="FR28" s="23">
        <f>EXP(-LN(2)/25)*FR27+(1-EXP(-LN(2)/25))/(LN(2)/25)*Calculateur!FM28*Calculateur!FO28*VLOOKUP('Données projet'!$B$16,Paramètres!$A$1:$I$88,3,0)*0.475*44/12</f>
        <v>0</v>
      </c>
      <c r="FS28" s="23">
        <f>EXP(-LN(2)/2)*FS27+(1-EXP(-LN(2)/2))/(LN(2)/2)*FM28*FP28*VLOOKUP('Données projet'!$B$16,Paramètres!$A$1:$I$88,3,0)*0.475*44/12</f>
        <v>0</v>
      </c>
      <c r="FT28" s="24">
        <f t="shared" si="24"/>
        <v>5.7158637817931393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26.166666666666668</v>
      </c>
      <c r="N29" s="14">
        <f>IF('Données projet'!$A$36&gt;35,N28+M29-V28,IF(A29&lt;'Données projet'!$A$36,$K$205^A29,IF(A29='Données projet'!$A$36,'Données projet'!$B$36,N28+M29-V28)))</f>
        <v>285.33333333333337</v>
      </c>
      <c r="O29" s="14">
        <f>N29*VLOOKUP('Données projet'!$B$9,Paramètres!$A$1:$I$88,3,0)*VLOOKUP('Données projet'!$B$9,Paramètres!$A$1:$I$88,5,0)</f>
        <v>159.50133333333335</v>
      </c>
      <c r="P29" s="14">
        <f t="shared" si="33"/>
        <v>40.730019322422891</v>
      </c>
      <c r="Q29" s="22">
        <f t="shared" si="2"/>
        <v>348.73627254210874</v>
      </c>
      <c r="R29" s="62">
        <f t="shared" si="0"/>
        <v>579.02298659129895</v>
      </c>
      <c r="S29" s="62">
        <f ca="1">AVERAGE(OFFSET($R$3,0,0,'Données projet'!$E$9+1,1))-AVERAGE(OFFSET($H$3,0,0,'Données projet'!$E$9+1,1))</f>
        <v>378.13552372917843</v>
      </c>
      <c r="T29" s="62">
        <f t="shared" si="34"/>
        <v>528.97123645404952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7.7618693811934945</v>
      </c>
      <c r="AA29" s="23">
        <f>EXP(-LN(2)/25)*AA28+(1-EXP(-LN(2)/25))/(LN(2)/25)*Calculateur!V29*Calculateur!X29*VLOOKUP('Données projet'!$B$9,Paramètres!$A$1:$I$88,3,0)*0.475*44/12</f>
        <v>17.756160891187829</v>
      </c>
      <c r="AB29" s="23">
        <f>EXP(-LN(2)/2)*AB28+(1-EXP(-LN(2)/2))/(LN(2)/2)*V29*Y29*VLOOKUP('Données projet'!$B$9,Paramètres!$A$1:$I$88,3,0)*0.475*44/12</f>
        <v>0</v>
      </c>
      <c r="AC29" s="24">
        <f t="shared" si="3"/>
        <v>25.518030272381324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3.2758620689655173</v>
      </c>
      <c r="AI29" s="14">
        <f>IF('Données projet'!$A$62&gt;35,AI28+AH29-AQ28,IF(A29&lt;'Données projet'!$A$62,$AF$205^A29,IF(A29='Données projet'!$A$62,'Données projet'!$B$62,AI28+AH29-AQ28)))</f>
        <v>59.31048947711259</v>
      </c>
      <c r="AJ29" s="14">
        <f>AI29*VLOOKUP('Données projet'!$B$10,Paramètres!$A$1:$I$88,3,0)*VLOOKUP('Données projet'!$B$10,Paramètres!$A$1:$I$88,5,0)</f>
        <v>53.66413087889147</v>
      </c>
      <c r="AK29" s="14">
        <f t="shared" si="35"/>
        <v>15.556107502151475</v>
      </c>
      <c r="AL29" s="22">
        <f t="shared" si="4"/>
        <v>120.55858184698313</v>
      </c>
      <c r="AM29" s="62">
        <f t="shared" si="5"/>
        <v>350.8452958961733</v>
      </c>
      <c r="AN29" s="62">
        <f ca="1">AVERAGE(OFFSET($AM$3,0,0,'Données projet'!$E$10+1,1))-AVERAGE(OFFSET($H$3,0,0,'Données projet'!$E$10+1,1))</f>
        <v>536.3707066106856</v>
      </c>
      <c r="AO29" s="62">
        <f t="shared" si="36"/>
        <v>217.6280015974086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15.149999999999999</v>
      </c>
      <c r="BD29" s="13">
        <f>IF('Données projet'!$A$88&gt;35,BD28+BC29-BL28,IF(A29&lt;'Données projet'!$A$88,$BA$205^A29,IF(A29='Données projet'!$A$88,'Données projet'!$B$88,BD28+BC29-BL28)))</f>
        <v>125.20000000000002</v>
      </c>
      <c r="BE29" s="14">
        <f>BD29*VLOOKUP('Données projet'!$B$11,Paramètres!$A$1:$I$88,3,0)*VLOOKUP('Données projet'!$B$11,Paramètres!$A$1:$I$88,5,0)</f>
        <v>74.86960000000002</v>
      </c>
      <c r="BF29" s="14">
        <f t="shared" si="37"/>
        <v>20.877977058709419</v>
      </c>
      <c r="BG29" s="22">
        <f t="shared" si="7"/>
        <v>166.76036337725228</v>
      </c>
      <c r="BH29" s="62">
        <f t="shared" si="8"/>
        <v>397.04707742644246</v>
      </c>
      <c r="BI29" s="62">
        <f ca="1">AVERAGE(OFFSET($BH$3,0,0,'Données projet'!$E$11+1,1))-AVERAGE(OFFSET($H$3,0,0,'Données projet'!$E$11+1,1))</f>
        <v>248.66193174773525</v>
      </c>
      <c r="BJ29" s="62">
        <f t="shared" si="38"/>
        <v>249.61655682981151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4.3933242351389064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9.5361769907536438</v>
      </c>
      <c r="BS29" s="24">
        <f t="shared" si="9"/>
        <v>13.929501225892551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34.799999999999997</v>
      </c>
      <c r="BY29" s="13">
        <f>IF('Données projet'!$A$114&gt;35,BY28+BX29-CG28,IF(A29&lt;'Données projet'!$A$114,$BV$205^A29,IF(A29='Données projet'!$A$114,'Données projet'!$B$114,BY28+BX29-CG28)))</f>
        <v>191.8</v>
      </c>
      <c r="BZ29" s="14">
        <f>BY29*VLOOKUP('Données projet'!$B$12,Paramètres!$A$1:$I$88,3,0)*VLOOKUP('Données projet'!$B$12,Paramètres!$A$1:$I$88,5,0)</f>
        <v>77.295400000000015</v>
      </c>
      <c r="CA29" s="14">
        <f t="shared" si="39"/>
        <v>21.474577550046636</v>
      </c>
      <c r="CB29" s="22">
        <f t="shared" si="10"/>
        <v>172.02437756633125</v>
      </c>
      <c r="CC29" s="62">
        <f t="shared" si="11"/>
        <v>402.31109161552143</v>
      </c>
      <c r="CD29" s="62">
        <f ca="1">AVERAGE(OFFSET($CC$3,0,0,'Données projet'!$E$12+1,1))-AVERAGE(OFFSET($H$3,0,0,'Données projet'!$E$12+1,1))</f>
        <v>432.59662347701629</v>
      </c>
      <c r="CE29" s="62">
        <f t="shared" si="40"/>
        <v>348.67401091099748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41.78413068508403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41.78413068508403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46.2</v>
      </c>
      <c r="CT29" s="13">
        <f>IF('Données projet'!$A$140&gt;35,CT28+CS29-DB28,IF(A29&lt;'Données projet'!$A$140,$CQ$205^A29,IF(A29='Données projet'!$A$140,'Données projet'!$B$140,CT28+CS29-DB28)))</f>
        <v>208.2</v>
      </c>
      <c r="CU29" s="18">
        <f>CT29*VLOOKUP('Données projet'!$B$13,Paramètres!$A$1:$I$88,3,0)*VLOOKUP('Données projet'!$B$13,Paramètres!$A$1:$I$88,5,0)</f>
        <v>92.0244</v>
      </c>
      <c r="CV29" s="14">
        <f t="shared" si="41"/>
        <v>25.052827657434516</v>
      </c>
      <c r="CW29" s="22">
        <f t="shared" si="13"/>
        <v>203.90950483669846</v>
      </c>
      <c r="CX29" s="62">
        <f t="shared" si="14"/>
        <v>434.19621888588864</v>
      </c>
      <c r="CY29" s="62">
        <f ca="1">AVERAGE(OFFSET($CX$3,0,0,'Données projet'!$E$13+1,1))-AVERAGE(OFFSET($H$3,0,0,'Données projet'!$E$13+1,1))</f>
        <v>582.26951914082088</v>
      </c>
      <c r="CZ29" s="62">
        <f t="shared" si="42"/>
        <v>434.80429932654715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8.2993057791684706</v>
      </c>
      <c r="DG29" s="23">
        <f>EXP(-LN(2)/25)*DG28+(1-EXP(-LN(2)/25))/(LN(2)/25)*Calculateur!DB29*Calculateur!DD29*VLOOKUP('Données projet'!$B$13,Paramètres!$A$1:$I$88,3,0)*0.475*44/12</f>
        <v>56.241294622648475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64.540600401816945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</v>
      </c>
      <c r="DO29" s="13">
        <f>IF('Données projet'!$A$166&gt;35,DO28+DN29-DW28,IF(A29&lt;'Données projet'!$A$166,$DL$205^A29,IF(A29='Données projet'!$A$166,'Données projet'!$B$166,DO28+DN29-DW28)))</f>
        <v>145.99999999999994</v>
      </c>
      <c r="DP29" s="18">
        <f>DO29*VLOOKUP('Données projet'!$B$14,Paramètres!$A$1:$I$88,3,0)*VLOOKUP('Données projet'!$B$14,Paramètres!$A$1:$I$88,5,0)</f>
        <v>70.225999999999985</v>
      </c>
      <c r="DQ29" s="14">
        <f t="shared" si="43"/>
        <v>19.729570803453036</v>
      </c>
      <c r="DR29" s="22">
        <f t="shared" si="16"/>
        <v>156.6726191493473</v>
      </c>
      <c r="DS29" s="62">
        <f t="shared" si="17"/>
        <v>386.95933319853748</v>
      </c>
      <c r="DT29" s="62">
        <f ca="1">AVERAGE(OFFSET($DS$3,0,0,'Données projet'!$E$14+1,1))-AVERAGE(OFFSET($H$3,0,0,'Données projet'!$E$14+1,1))</f>
        <v>273.24375559399846</v>
      </c>
      <c r="DU29" s="62">
        <f t="shared" si="44"/>
        <v>270.77718895097848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projet'!$B$14,Paramètres!$A$1:$I$88,3,0)*0.475*44/12</f>
        <v>3.7158572429755963</v>
      </c>
      <c r="EB29" s="23">
        <f>EXP(-LN(2)/25)*EB28+(1-EXP(-LN(2)/25))/(LN(2)/25)*Calculateur!DW29*Calculateur!DY29*VLOOKUP('Données projet'!$B$14,Paramètres!$A$1:$I$88,3,0)*0.475*44/12</f>
        <v>17.093368442833061</v>
      </c>
      <c r="EC29" s="23">
        <f>EXP(-LN(2)/2)*EC28+(1-EXP(-LN(2)/2))/(LN(2)/2)*DW29*DZ29*VLOOKUP('Données projet'!$B$14,Paramètres!$A$1:$I$88,3,0)*0.475*44/12</f>
        <v>0</v>
      </c>
      <c r="ED29" s="24">
        <f t="shared" si="18"/>
        <v>20.809225685808656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</v>
      </c>
      <c r="EJ29" s="13">
        <f>IF('Données projet'!$A$192&gt;35,EJ28+EI29-ER28,IF(A29&lt;'Données projet'!$A$192,$EG$205^A29,IF(A29='Données projet'!$A$192,'Données projet'!$B$192,EJ28+EI29-ER28)))</f>
        <v>145.99999999999994</v>
      </c>
      <c r="EK29" s="18">
        <f>EJ29*VLOOKUP('Données projet'!$B$15,Paramètres!$A$1:$I$88,3,0)*VLOOKUP('Données projet'!$B$15,Paramètres!$A$1:$I$88,5,0)</f>
        <v>68.327999999999975</v>
      </c>
      <c r="EL29" s="14">
        <f t="shared" si="45"/>
        <v>19.257658633553156</v>
      </c>
      <c r="EM29" s="22">
        <f t="shared" si="19"/>
        <v>152.54502212010502</v>
      </c>
      <c r="EN29" s="62">
        <f t="shared" si="20"/>
        <v>382.8317361692952</v>
      </c>
      <c r="EO29" s="62">
        <f ca="1">AVERAGE(OFFSET($EN$3,0,0,'Données projet'!$E$15+1,1))-AVERAGE(OFFSET($H$3,0,0,'Données projet'!$E$15+1,1))</f>
        <v>267.26203506406682</v>
      </c>
      <c r="EP29" s="62">
        <f t="shared" si="46"/>
        <v>265.10857635664843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projet'!$B$15,Paramètres!$A$1:$I$88,3,0)*0.475*44/12</f>
        <v>3.6154286688411208</v>
      </c>
      <c r="EW29" s="23">
        <f>EXP(-LN(2)/25)*EW28+(1-EXP(-LN(2)/25))/(LN(2)/25)*Calculateur!ER29*Calculateur!ET29*VLOOKUP('Données projet'!$B$15,Paramètres!$A$1:$I$88,3,0)*0.475*44/12</f>
        <v>16.63138551194568</v>
      </c>
      <c r="EX29" s="23">
        <f>EXP(-LN(2)/2)*EX28+(1-EXP(-LN(2)/2))/(LN(2)/2)*ER29*EU29*VLOOKUP('Données projet'!$B$15,Paramètres!$A$1:$I$88,3,0)*0.475*44/12</f>
        <v>0</v>
      </c>
      <c r="EY29" s="24">
        <f t="shared" si="21"/>
        <v>20.246814180786799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7.2</v>
      </c>
      <c r="FE29" s="13">
        <f>IF('Données projet'!$A$218&gt;35,FE28+FD29-FM28,IF(A29&lt;'Données projet'!$A$218,$FB$205^A29,IF(A29='Données projet'!$A$218,'Données projet'!$B$218,FE28+FD29-FM28)))</f>
        <v>97.199999999999989</v>
      </c>
      <c r="FF29" s="18">
        <f>FE29*VLOOKUP('Données projet'!$B$16,Paramètres!$A$1:$I$88,3,0)*VLOOKUP('Données projet'!$B$16,Paramètres!$A$1:$I$88,5,0)</f>
        <v>71.267039999999994</v>
      </c>
      <c r="FG29" s="14">
        <f t="shared" si="47"/>
        <v>19.987779001267139</v>
      </c>
      <c r="FH29" s="22">
        <f t="shared" si="22"/>
        <v>158.93547642720694</v>
      </c>
      <c r="FI29" s="62">
        <f t="shared" si="23"/>
        <v>389.22219047639715</v>
      </c>
      <c r="FJ29" s="62">
        <f ca="1">AVERAGE(OFFSET($FI$3,0,0,'Données projet'!$E$16+1,1))-AVERAGE(OFFSET($H$3,0,0,'Données projet'!$E$16+1,1))</f>
        <v>207.66160354686221</v>
      </c>
      <c r="FK29" s="62">
        <f t="shared" si="48"/>
        <v>260.45879589483525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projet'!$B$16,Paramètres!$A$1:$I$88,3,0)*0.475*44/12</f>
        <v>5.6037791793648362</v>
      </c>
      <c r="FR29" s="23">
        <f>EXP(-LN(2)/25)*FR28+(1-EXP(-LN(2)/25))/(LN(2)/25)*Calculateur!FM29*Calculateur!FO29*VLOOKUP('Données projet'!$B$16,Paramètres!$A$1:$I$88,3,0)*0.475*44/12</f>
        <v>0</v>
      </c>
      <c r="FS29" s="23">
        <f>EXP(-LN(2)/2)*FS28+(1-EXP(-LN(2)/2))/(LN(2)/2)*FM29*FP29*VLOOKUP('Données projet'!$B$16,Paramètres!$A$1:$I$88,3,0)*0.475*44/12</f>
        <v>0</v>
      </c>
      <c r="FT29" s="24">
        <f t="shared" si="24"/>
        <v>5.6037791793648362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26.166666666666668</v>
      </c>
      <c r="N30" s="14">
        <f>IF('Données projet'!$A$36&gt;35,N29+M30-V29,IF(A30&lt;'Données projet'!$A$36,$K$205^A30,IF(A30='Données projet'!$A$36,'Données projet'!$B$36,N29+M30-V29)))</f>
        <v>311.50000000000006</v>
      </c>
      <c r="O30" s="14">
        <f>N30*VLOOKUP('Données projet'!$B$9,Paramètres!$A$1:$I$88,3,0)*VLOOKUP('Données projet'!$B$9,Paramètres!$A$1:$I$88,5,0)</f>
        <v>174.12850000000003</v>
      </c>
      <c r="P30" s="14">
        <f t="shared" si="33"/>
        <v>44.013375010114146</v>
      </c>
      <c r="Q30" s="22">
        <f t="shared" si="2"/>
        <v>379.9304323092822</v>
      </c>
      <c r="R30" s="62">
        <f t="shared" si="0"/>
        <v>612.4482751818457</v>
      </c>
      <c r="S30" s="62">
        <f ca="1">AVERAGE(OFFSET($R$3,0,0,'Données projet'!$E$9+1,1))-AVERAGE(OFFSET($H$3,0,0,'Données projet'!$E$9+1,1))</f>
        <v>378.13552372917843</v>
      </c>
      <c r="T30" s="62">
        <f t="shared" si="34"/>
        <v>528.97123645404952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7.6096638569011423</v>
      </c>
      <c r="AA30" s="23">
        <f>EXP(-LN(2)/25)*AA29+(1-EXP(-LN(2)/25))/(LN(2)/25)*Calculateur!V30*Calculateur!X30*VLOOKUP('Données projet'!$B$9,Paramètres!$A$1:$I$88,3,0)*0.475*44/12</f>
        <v>17.270617737862377</v>
      </c>
      <c r="AB30" s="23">
        <f>EXP(-LN(2)/2)*AB29+(1-EXP(-LN(2)/2))/(LN(2)/2)*V30*Y30*VLOOKUP('Données projet'!$B$9,Paramètres!$A$1:$I$88,3,0)*0.475*44/12</f>
        <v>0</v>
      </c>
      <c r="AC30" s="24">
        <f t="shared" si="3"/>
        <v>24.88028159476352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3.2758620689655173</v>
      </c>
      <c r="AI30" s="14">
        <f>IF('Données projet'!$A$62&gt;35,AI29+AH30-AQ29,IF(A30&lt;'Données projet'!$A$62,$AF$205^A30,IF(A30='Données projet'!$A$62,'Données projet'!$B$62,AI29+AH30-AQ29)))</f>
        <v>69.395110859290767</v>
      </c>
      <c r="AJ30" s="14">
        <f>AI30*VLOOKUP('Données projet'!$B$10,Paramètres!$A$1:$I$88,3,0)*VLOOKUP('Données projet'!$B$10,Paramètres!$A$1:$I$88,5,0)</f>
        <v>62.788696305486283</v>
      </c>
      <c r="AK30" s="14">
        <f t="shared" si="35"/>
        <v>17.871463894112527</v>
      </c>
      <c r="AL30" s="22">
        <f t="shared" si="4"/>
        <v>140.4831123476346</v>
      </c>
      <c r="AM30" s="62">
        <f t="shared" si="5"/>
        <v>373.00095522019808</v>
      </c>
      <c r="AN30" s="62">
        <f ca="1">AVERAGE(OFFSET($AM$3,0,0,'Données projet'!$E$10+1,1))-AVERAGE(OFFSET($H$3,0,0,'Données projet'!$E$10+1,1))</f>
        <v>536.3707066106856</v>
      </c>
      <c r="AO30" s="62">
        <f t="shared" si="36"/>
        <v>217.6280015974086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15.149999999999999</v>
      </c>
      <c r="BD30" s="13">
        <f>IF('Données projet'!$A$88&gt;35,BD29+BC30-BL29,IF(A30&lt;'Données projet'!$A$88,$BA$205^A30,IF(A30='Données projet'!$A$88,'Données projet'!$B$88,BD29+BC30-BL29)))</f>
        <v>140.35000000000002</v>
      </c>
      <c r="BE30" s="14">
        <f>BD30*VLOOKUP('Données projet'!$B$11,Paramètres!$A$1:$I$88,3,0)*VLOOKUP('Données projet'!$B$11,Paramètres!$A$1:$I$88,5,0)</f>
        <v>83.929300000000012</v>
      </c>
      <c r="BF30" s="14">
        <f t="shared" si="37"/>
        <v>23.095221014679648</v>
      </c>
      <c r="BG30" s="22">
        <f t="shared" si="7"/>
        <v>186.40104076723375</v>
      </c>
      <c r="BH30" s="62">
        <f t="shared" si="8"/>
        <v>418.91888363979729</v>
      </c>
      <c r="BI30" s="62">
        <f ca="1">AVERAGE(OFFSET($BH$3,0,0,'Données projet'!$E$11+1,1))-AVERAGE(OFFSET($H$3,0,0,'Données projet'!$E$11+1,1))</f>
        <v>248.66193174773525</v>
      </c>
      <c r="BJ30" s="62">
        <f t="shared" si="38"/>
        <v>249.61655682981151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4.3071738265510211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6.7430954167570265</v>
      </c>
      <c r="BS30" s="24">
        <f t="shared" si="9"/>
        <v>11.050269243308048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34.799999999999997</v>
      </c>
      <c r="BY30" s="13">
        <f>IF('Données projet'!$A$114&gt;35,BY29+BX30-CG29,IF(A30&lt;'Données projet'!$A$114,$BV$205^A30,IF(A30='Données projet'!$A$114,'Données projet'!$B$114,BY29+BX30-CG29)))</f>
        <v>226.60000000000002</v>
      </c>
      <c r="BZ30" s="14">
        <f>BY30*VLOOKUP('Données projet'!$B$12,Paramètres!$A$1:$I$88,3,0)*VLOOKUP('Données projet'!$B$12,Paramètres!$A$1:$I$88,5,0)</f>
        <v>91.319800000000015</v>
      </c>
      <c r="CA30" s="14">
        <f t="shared" si="39"/>
        <v>24.88325878118571</v>
      </c>
      <c r="CB30" s="22">
        <f t="shared" si="10"/>
        <v>202.38699404389845</v>
      </c>
      <c r="CC30" s="62">
        <f t="shared" si="11"/>
        <v>434.90483691646193</v>
      </c>
      <c r="CD30" s="62">
        <f ca="1">AVERAGE(OFFSET($CC$3,0,0,'Données projet'!$E$12+1,1))-AVERAGE(OFFSET($H$3,0,0,'Données projet'!$E$12+1,1))</f>
        <v>432.59662347701629</v>
      </c>
      <c r="CE30" s="62">
        <f t="shared" si="40"/>
        <v>348.67401091099748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40.641541434168474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40.641541434168474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46.2</v>
      </c>
      <c r="CT30" s="13">
        <f>IF('Données projet'!$A$140&gt;35,CT29+CS30-DB29,IF(A30&lt;'Données projet'!$A$140,$CQ$205^A30,IF(A30='Données projet'!$A$140,'Données projet'!$B$140,CT29+CS30-DB29)))</f>
        <v>254.39999999999998</v>
      </c>
      <c r="CU30" s="18">
        <f>CT30*VLOOKUP('Données projet'!$B$13,Paramètres!$A$1:$I$88,3,0)*VLOOKUP('Données projet'!$B$13,Paramètres!$A$1:$I$88,5,0)</f>
        <v>112.4448</v>
      </c>
      <c r="CV30" s="14">
        <f t="shared" si="41"/>
        <v>29.906259525899941</v>
      </c>
      <c r="CW30" s="22">
        <f t="shared" si="13"/>
        <v>247.92809534094238</v>
      </c>
      <c r="CX30" s="62">
        <f t="shared" si="14"/>
        <v>480.44593821350588</v>
      </c>
      <c r="CY30" s="62">
        <f ca="1">AVERAGE(OFFSET($CX$3,0,0,'Données projet'!$E$13+1,1))-AVERAGE(OFFSET($H$3,0,0,'Données projet'!$E$13+1,1))</f>
        <v>582.26951914082088</v>
      </c>
      <c r="CZ30" s="62">
        <f t="shared" si="42"/>
        <v>434.80429932654715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8.1365614549156628</v>
      </c>
      <c r="DG30" s="23">
        <f>EXP(-LN(2)/25)*DG29+(1-EXP(-LN(2)/25))/(LN(2)/25)*Calculateur!DB30*Calculateur!DD30*VLOOKUP('Données projet'!$B$13,Paramètres!$A$1:$I$88,3,0)*0.475*44/12</f>
        <v>54.703373463591006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62.839934918506671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</v>
      </c>
      <c r="DO30" s="13">
        <f>IF('Données projet'!$A$166&gt;35,DO29+DN30-DW29,IF(A30&lt;'Données projet'!$A$166,$DL$205^A30,IF(A30='Données projet'!$A$166,'Données projet'!$B$166,DO29+DN30-DW29)))</f>
        <v>159.99999999999994</v>
      </c>
      <c r="DP30" s="18">
        <f>DO30*VLOOKUP('Données projet'!$B$14,Paramètres!$A$1:$I$88,3,0)*VLOOKUP('Données projet'!$B$14,Paramètres!$A$1:$I$88,5,0)</f>
        <v>76.95999999999998</v>
      </c>
      <c r="DQ30" s="14">
        <f t="shared" si="43"/>
        <v>21.392220726743766</v>
      </c>
      <c r="DR30" s="22">
        <f t="shared" si="16"/>
        <v>171.29678443241201</v>
      </c>
      <c r="DS30" s="62">
        <f t="shared" si="17"/>
        <v>403.81462730497549</v>
      </c>
      <c r="DT30" s="62">
        <f ca="1">AVERAGE(OFFSET($DS$3,0,0,'Données projet'!$E$14+1,1))-AVERAGE(OFFSET($H$3,0,0,'Données projet'!$E$14+1,1))</f>
        <v>273.24375559399846</v>
      </c>
      <c r="DU30" s="62">
        <f t="shared" si="44"/>
        <v>270.77718895097848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projet'!$B$14,Paramètres!$A$1:$I$88,3,0)*0.475*44/12</f>
        <v>3.6429915488899698</v>
      </c>
      <c r="EB30" s="23">
        <f>EXP(-LN(2)/25)*EB29+(1-EXP(-LN(2)/25))/(LN(2)/25)*Calculateur!DW30*Calculateur!DY30*VLOOKUP('Données projet'!$B$14,Paramètres!$A$1:$I$88,3,0)*0.475*44/12</f>
        <v>16.625949383862611</v>
      </c>
      <c r="EC30" s="23">
        <f>EXP(-LN(2)/2)*EC29+(1-EXP(-LN(2)/2))/(LN(2)/2)*DW30*DZ30*VLOOKUP('Données projet'!$B$14,Paramètres!$A$1:$I$88,3,0)*0.475*44/12</f>
        <v>0</v>
      </c>
      <c r="ED30" s="24">
        <f t="shared" si="18"/>
        <v>20.268940932752582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</v>
      </c>
      <c r="EJ30" s="13">
        <f>IF('Données projet'!$A$192&gt;35,EJ29+EI30-ER29,IF(A30&lt;'Données projet'!$A$192,$EG$205^A30,IF(A30='Données projet'!$A$192,'Données projet'!$B$192,EJ29+EI30-ER29)))</f>
        <v>159.99999999999994</v>
      </c>
      <c r="EK30" s="18">
        <f>EJ30*VLOOKUP('Données projet'!$B$15,Paramètres!$A$1:$I$88,3,0)*VLOOKUP('Données projet'!$B$15,Paramètres!$A$1:$I$88,5,0)</f>
        <v>74.879999999999981</v>
      </c>
      <c r="EL30" s="14">
        <f t="shared" si="45"/>
        <v>20.880539585643213</v>
      </c>
      <c r="EM30" s="22">
        <f t="shared" si="19"/>
        <v>166.78293977832854</v>
      </c>
      <c r="EN30" s="62">
        <f t="shared" si="20"/>
        <v>399.30078265089207</v>
      </c>
      <c r="EO30" s="62">
        <f ca="1">AVERAGE(OFFSET($EN$3,0,0,'Données projet'!$E$15+1,1))-AVERAGE(OFFSET($H$3,0,0,'Données projet'!$E$15+1,1))</f>
        <v>267.26203506406682</v>
      </c>
      <c r="EP30" s="62">
        <f t="shared" si="46"/>
        <v>265.10857635664843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projet'!$B$15,Paramètres!$A$1:$I$88,3,0)*0.475*44/12</f>
        <v>3.5445323178388897</v>
      </c>
      <c r="EW30" s="23">
        <f>EXP(-LN(2)/25)*EW29+(1-EXP(-LN(2)/25))/(LN(2)/25)*Calculateur!ER30*Calculateur!ET30*VLOOKUP('Données projet'!$B$15,Paramètres!$A$1:$I$88,3,0)*0.475*44/12</f>
        <v>16.176599400514974</v>
      </c>
      <c r="EX30" s="23">
        <f>EXP(-LN(2)/2)*EX29+(1-EXP(-LN(2)/2))/(LN(2)/2)*ER30*EU30*VLOOKUP('Données projet'!$B$15,Paramètres!$A$1:$I$88,3,0)*0.475*44/12</f>
        <v>0</v>
      </c>
      <c r="EY30" s="24">
        <f t="shared" si="21"/>
        <v>19.721131718353863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7.2</v>
      </c>
      <c r="FE30" s="13">
        <f>IF('Données projet'!$A$218&gt;35,FE29+FD30-FM29,IF(A30&lt;'Données projet'!$A$218,$FB$205^A30,IF(A30='Données projet'!$A$218,'Données projet'!$B$218,FE29+FD30-FM29)))</f>
        <v>104.39999999999999</v>
      </c>
      <c r="FF30" s="18">
        <f>FE30*VLOOKUP('Données projet'!$B$16,Paramètres!$A$1:$I$88,3,0)*VLOOKUP('Données projet'!$B$16,Paramètres!$A$1:$I$88,5,0)</f>
        <v>76.546079999999989</v>
      </c>
      <c r="FG30" s="14">
        <f t="shared" si="47"/>
        <v>21.290525837973497</v>
      </c>
      <c r="FH30" s="22">
        <f t="shared" si="22"/>
        <v>170.39875516780378</v>
      </c>
      <c r="FI30" s="62">
        <f t="shared" si="23"/>
        <v>402.91659804036726</v>
      </c>
      <c r="FJ30" s="62">
        <f ca="1">AVERAGE(OFFSET($FI$3,0,0,'Données projet'!$E$16+1,1))-AVERAGE(OFFSET($H$3,0,0,'Données projet'!$E$16+1,1))</f>
        <v>207.66160354686221</v>
      </c>
      <c r="FK30" s="62">
        <f t="shared" si="48"/>
        <v>260.45879589483525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projet'!$B$16,Paramètres!$A$1:$I$88,3,0)*0.475*44/12</f>
        <v>5.4938924876252946</v>
      </c>
      <c r="FR30" s="23">
        <f>EXP(-LN(2)/25)*FR29+(1-EXP(-LN(2)/25))/(LN(2)/25)*Calculateur!FM30*Calculateur!FO30*VLOOKUP('Données projet'!$B$16,Paramètres!$A$1:$I$88,3,0)*0.475*44/12</f>
        <v>0</v>
      </c>
      <c r="FS30" s="23">
        <f>EXP(-LN(2)/2)*FS29+(1-EXP(-LN(2)/2))/(LN(2)/2)*FM30*FP30*VLOOKUP('Données projet'!$B$16,Paramètres!$A$1:$I$88,3,0)*0.475*44/12</f>
        <v>0</v>
      </c>
      <c r="FT30" s="24">
        <f t="shared" si="24"/>
        <v>5.4938924876252946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26.166666666666668</v>
      </c>
      <c r="N31" s="14">
        <f>IF('Données projet'!$A$36&gt;35,N30+M31-V30,IF(A31&lt;'Données projet'!$A$36,$K$205^A31,IF(A31='Données projet'!$A$36,'Données projet'!$B$36,N30+M31-V30)))</f>
        <v>337.66666666666674</v>
      </c>
      <c r="O31" s="14">
        <f>N31*VLOOKUP('Données projet'!$B$9,Paramètres!$A$1:$I$88,3,0)*VLOOKUP('Données projet'!$B$9,Paramètres!$A$1:$I$88,5,0)</f>
        <v>188.75566666666671</v>
      </c>
      <c r="P31" s="14">
        <f t="shared" si="33"/>
        <v>47.264743303578236</v>
      </c>
      <c r="Q31" s="22">
        <f t="shared" si="2"/>
        <v>411.0688806981766</v>
      </c>
      <c r="R31" s="62">
        <f t="shared" si="0"/>
        <v>645.80035012016072</v>
      </c>
      <c r="S31" s="62">
        <f ca="1">AVERAGE(OFFSET($R$3,0,0,'Données projet'!$E$9+1,1))-AVERAGE(OFFSET($H$3,0,0,'Données projet'!$E$9+1,1))</f>
        <v>378.13552372917843</v>
      </c>
      <c r="T31" s="62">
        <f t="shared" si="34"/>
        <v>528.97123645404952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7.4604429901039602</v>
      </c>
      <c r="AA31" s="23">
        <f>EXP(-LN(2)/25)*AA30+(1-EXP(-LN(2)/25))/(LN(2)/25)*Calculateur!V31*Calculateur!X31*VLOOKUP('Données projet'!$B$9,Paramètres!$A$1:$I$88,3,0)*0.475*44/12</f>
        <v>16.798351787598214</v>
      </c>
      <c r="AB31" s="23">
        <f>EXP(-LN(2)/2)*AB30+(1-EXP(-LN(2)/2))/(LN(2)/2)*V31*Y31*VLOOKUP('Données projet'!$B$9,Paramètres!$A$1:$I$88,3,0)*0.475*44/12</f>
        <v>0</v>
      </c>
      <c r="AC31" s="24">
        <f t="shared" si="3"/>
        <v>24.258794777702175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3.2758620689655173</v>
      </c>
      <c r="AI31" s="14">
        <f>IF('Données projet'!$A$62&gt;35,AI30+AH31-AQ30,IF(A31&lt;'Données projet'!$A$62,$AF$205^A31,IF(A31='Données projet'!$A$62,'Données projet'!$B$62,AI30+AH31-AQ30)))</f>
        <v>81.1944304224902</v>
      </c>
      <c r="AJ31" s="14">
        <f>AI31*VLOOKUP('Données projet'!$B$10,Paramètres!$A$1:$I$88,3,0)*VLOOKUP('Données projet'!$B$10,Paramètres!$A$1:$I$88,5,0)</f>
        <v>73.464720646269129</v>
      </c>
      <c r="AK31" s="14">
        <f t="shared" si="35"/>
        <v>20.531435751160419</v>
      </c>
      <c r="AL31" s="22">
        <f t="shared" si="4"/>
        <v>163.70997239218977</v>
      </c>
      <c r="AM31" s="62">
        <f t="shared" si="5"/>
        <v>398.44144181417386</v>
      </c>
      <c r="AN31" s="62">
        <f ca="1">AVERAGE(OFFSET($AM$3,0,0,'Données projet'!$E$10+1,1))-AVERAGE(OFFSET($H$3,0,0,'Données projet'!$E$10+1,1))</f>
        <v>536.3707066106856</v>
      </c>
      <c r="AO31" s="62">
        <f t="shared" si="36"/>
        <v>217.6280015974086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155.5</v>
      </c>
      <c r="BB31" s="13">
        <f>VLOOKUP(A31,'Données projet'!$A$87:$I$107,9,0)</f>
        <v>15.149999999999999</v>
      </c>
      <c r="BC31" s="13">
        <f t="array" ref="BC31">INDEX(BB:BB,MIN(IF(ISNUMBER(BB31:BB227),ROW(BB31:BB227),"")))</f>
        <v>15.149999999999999</v>
      </c>
      <c r="BD31" s="13">
        <f>IF('Données projet'!$A$88&gt;35,BD30+BC31-BL30,IF(A31&lt;'Données projet'!$A$88,$BA$205^A31,IF(A31='Données projet'!$A$88,'Données projet'!$B$88,BD30+BC31-BL30)))</f>
        <v>155.50000000000003</v>
      </c>
      <c r="BE31" s="14">
        <f>BD31*VLOOKUP('Données projet'!$B$11,Paramètres!$A$1:$I$88,3,0)*VLOOKUP('Données projet'!$B$11,Paramètres!$A$1:$I$88,5,0)</f>
        <v>92.989000000000019</v>
      </c>
      <c r="BF31" s="14">
        <f t="shared" si="37"/>
        <v>25.284723373727264</v>
      </c>
      <c r="BG31" s="22">
        <f t="shared" si="7"/>
        <v>205.99340154257501</v>
      </c>
      <c r="BH31" s="62">
        <f t="shared" si="8"/>
        <v>440.7248709645591</v>
      </c>
      <c r="BI31" s="62">
        <f ca="1">AVERAGE(OFFSET($BH$3,0,0,'Données projet'!$E$11+1,1))-AVERAGE(OFFSET($H$3,0,0,'Données projet'!$E$11+1,1))</f>
        <v>248.66193174773525</v>
      </c>
      <c r="BJ31" s="62">
        <f t="shared" si="38"/>
        <v>249.61655682981151</v>
      </c>
      <c r="BK31" s="16">
        <f>IF(ISNA(VLOOKUP(A31,'Données projet'!$A$87:$I$107,3,0)),0,VLOOKUP(A31,'Données projet'!$A$87:$I$107,3,0))</f>
        <v>4</v>
      </c>
      <c r="BL31" s="16">
        <f>IF(ISNA(VLOOKUP(A31,'Données projet'!$A$87:$I$107,4,0)),0,VLOOKUP(A31,'Données projet'!$A$87:$I$107,4,0))</f>
        <v>35.4</v>
      </c>
      <c r="BM31" s="17">
        <f>IF(ISNA(VLOOKUP(A31,'Données projet'!$A$87:$I$107,5,0)),0%,VLOOKUP(A31,'Données projet'!$A$87:$I$107,5,0)*VLOOKUP('Données projet'!$B$11,Paramètres!$A$1:$I$88,7,0))</f>
        <v>0.18000000000000002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0.6</v>
      </c>
      <c r="BP31" s="23">
        <f>EXP(-LN(2)/35)*BP30+(1-EXP(-LN(2)/35))/(LN(2)/35)*BL31*BM31*VLOOKUP('Données projet'!$B$11,Paramètres!$A$1:$I$88,3,0)*0.475*44/12</f>
        <v>9.2775282635453138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19.14915966705518</v>
      </c>
      <c r="BS31" s="24">
        <f t="shared" si="9"/>
        <v>28.426687930600494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34.799999999999997</v>
      </c>
      <c r="BY31" s="13">
        <f>IF('Données projet'!$A$114&gt;35,BY30+BX31-CG30,IF(A31&lt;'Données projet'!$A$114,$BV$205^A31,IF(A31='Données projet'!$A$114,'Données projet'!$B$114,BY30+BX31-CG30)))</f>
        <v>261.40000000000003</v>
      </c>
      <c r="BZ31" s="14">
        <f>BY31*VLOOKUP('Données projet'!$B$12,Paramètres!$A$1:$I$88,3,0)*VLOOKUP('Données projet'!$B$12,Paramètres!$A$1:$I$88,5,0)</f>
        <v>105.34420000000001</v>
      </c>
      <c r="CA31" s="14">
        <f t="shared" si="39"/>
        <v>28.231296094280406</v>
      </c>
      <c r="CB31" s="22">
        <f t="shared" si="10"/>
        <v>232.64398903087172</v>
      </c>
      <c r="CC31" s="62">
        <f t="shared" si="11"/>
        <v>467.37545845285581</v>
      </c>
      <c r="CD31" s="62">
        <f ca="1">AVERAGE(OFFSET($CC$3,0,0,'Données projet'!$E$12+1,1))-AVERAGE(OFFSET($H$3,0,0,'Données projet'!$E$12+1,1))</f>
        <v>432.59662347701629</v>
      </c>
      <c r="CE31" s="62">
        <f t="shared" si="40"/>
        <v>348.67401091099748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39.530196346405361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39.530196346405361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46.2</v>
      </c>
      <c r="CT31" s="13">
        <f>IF('Données projet'!$A$140&gt;35,CT30+CS31-DB30,IF(A31&lt;'Données projet'!$A$140,$CQ$205^A31,IF(A31='Données projet'!$A$140,'Données projet'!$B$140,CT30+CS31-DB30)))</f>
        <v>300.59999999999997</v>
      </c>
      <c r="CU31" s="18">
        <f>CT31*VLOOKUP('Données projet'!$B$13,Paramètres!$A$1:$I$88,3,0)*VLOOKUP('Données projet'!$B$13,Paramètres!$A$1:$I$88,5,0)</f>
        <v>132.86519999999999</v>
      </c>
      <c r="CV31" s="14">
        <f t="shared" si="41"/>
        <v>34.657580565743032</v>
      </c>
      <c r="CW31" s="22">
        <f t="shared" si="13"/>
        <v>291.76884281866904</v>
      </c>
      <c r="CX31" s="62">
        <f t="shared" si="14"/>
        <v>526.5003122406531</v>
      </c>
      <c r="CY31" s="62">
        <f ca="1">AVERAGE(OFFSET($CX$3,0,0,'Données projet'!$E$13+1,1))-AVERAGE(OFFSET($H$3,0,0,'Données projet'!$E$13+1,1))</f>
        <v>582.26951914082088</v>
      </c>
      <c r="CZ31" s="62">
        <f t="shared" si="42"/>
        <v>434.80429932654715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7.9770084475972176</v>
      </c>
      <c r="DG31" s="23">
        <f>EXP(-LN(2)/25)*DG30+(1-EXP(-LN(2)/25))/(LN(2)/25)*Calculateur!DB31*Calculateur!DD31*VLOOKUP('Données projet'!$B$13,Paramètres!$A$1:$I$88,3,0)*0.475*44/12</f>
        <v>53.207506839503729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61.18451528710095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</v>
      </c>
      <c r="DO31" s="13">
        <f>IF('Données projet'!$A$166&gt;35,DO30+DN31-DW30,IF(A31&lt;'Données projet'!$A$166,$DL$205^A31,IF(A31='Données projet'!$A$166,'Données projet'!$B$166,DO30+DN31-DW30)))</f>
        <v>173.99999999999994</v>
      </c>
      <c r="DP31" s="18">
        <f>DO31*VLOOKUP('Données projet'!$B$14,Paramètres!$A$1:$I$88,3,0)*VLOOKUP('Données projet'!$B$14,Paramètres!$A$1:$I$88,5,0)</f>
        <v>83.693999999999974</v>
      </c>
      <c r="DQ31" s="14">
        <f t="shared" si="43"/>
        <v>23.037999798152033</v>
      </c>
      <c r="DR31" s="22">
        <f t="shared" si="16"/>
        <v>185.89156631511472</v>
      </c>
      <c r="DS31" s="62">
        <f t="shared" si="17"/>
        <v>420.6230357370988</v>
      </c>
      <c r="DT31" s="62">
        <f ca="1">AVERAGE(OFFSET($DS$3,0,0,'Données projet'!$E$14+1,1))-AVERAGE(OFFSET($H$3,0,0,'Données projet'!$E$14+1,1))</f>
        <v>273.24375559399846</v>
      </c>
      <c r="DU31" s="62">
        <f t="shared" si="44"/>
        <v>270.77718895097848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projet'!$B$14,Paramètres!$A$1:$I$88,3,0)*0.475*44/12</f>
        <v>3.5715547066216775</v>
      </c>
      <c r="EB31" s="23">
        <f>EXP(-LN(2)/25)*EB30+(1-EXP(-LN(2)/25))/(LN(2)/25)*Calculateur!DW31*Calculateur!DY31*VLOOKUP('Données projet'!$B$14,Paramètres!$A$1:$I$88,3,0)*0.475*44/12</f>
        <v>16.171311923640211</v>
      </c>
      <c r="EC31" s="23">
        <f>EXP(-LN(2)/2)*EC30+(1-EXP(-LN(2)/2))/(LN(2)/2)*DW31*DZ31*VLOOKUP('Données projet'!$B$14,Paramètres!$A$1:$I$88,3,0)*0.475*44/12</f>
        <v>0</v>
      </c>
      <c r="ED31" s="24">
        <f t="shared" si="18"/>
        <v>19.742866630261886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</v>
      </c>
      <c r="EJ31" s="13">
        <f>IF('Données projet'!$A$192&gt;35,EJ30+EI31-ER30,IF(A31&lt;'Données projet'!$A$192,$EG$205^A31,IF(A31='Données projet'!$A$192,'Données projet'!$B$192,EJ30+EI31-ER30)))</f>
        <v>173.99999999999994</v>
      </c>
      <c r="EK31" s="18">
        <f>EJ31*VLOOKUP('Données projet'!$B$15,Paramètres!$A$1:$I$88,3,0)*VLOOKUP('Données projet'!$B$15,Paramètres!$A$1:$I$88,5,0)</f>
        <v>81.431999999999974</v>
      </c>
      <c r="EL31" s="14">
        <f t="shared" si="45"/>
        <v>22.486953220240881</v>
      </c>
      <c r="EM31" s="22">
        <f t="shared" si="19"/>
        <v>180.99217685858616</v>
      </c>
      <c r="EN31" s="62">
        <f t="shared" si="20"/>
        <v>415.72364628057028</v>
      </c>
      <c r="EO31" s="62">
        <f ca="1">AVERAGE(OFFSET($EN$3,0,0,'Données projet'!$E$15+1,1))-AVERAGE(OFFSET($H$3,0,0,'Données projet'!$E$15+1,1))</f>
        <v>267.26203506406682</v>
      </c>
      <c r="EP31" s="62">
        <f t="shared" si="46"/>
        <v>265.10857635664843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projet'!$B$15,Paramètres!$A$1:$I$88,3,0)*0.475*44/12</f>
        <v>3.4750262010373079</v>
      </c>
      <c r="EW31" s="23">
        <f>EXP(-LN(2)/25)*EW30+(1-EXP(-LN(2)/25))/(LN(2)/25)*Calculateur!ER31*Calculateur!ET31*VLOOKUP('Données projet'!$B$15,Paramètres!$A$1:$I$88,3,0)*0.475*44/12</f>
        <v>15.734249439217502</v>
      </c>
      <c r="EX31" s="23">
        <f>EXP(-LN(2)/2)*EX30+(1-EXP(-LN(2)/2))/(LN(2)/2)*ER31*EU31*VLOOKUP('Données projet'!$B$15,Paramètres!$A$1:$I$88,3,0)*0.475*44/12</f>
        <v>0</v>
      </c>
      <c r="EY31" s="24">
        <f t="shared" si="21"/>
        <v>19.209275640254809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7.2</v>
      </c>
      <c r="FE31" s="13">
        <f>IF('Données projet'!$A$218&gt;35,FE30+FD31-FM30,IF(A31&lt;'Données projet'!$A$218,$FB$205^A31,IF(A31='Données projet'!$A$218,'Données projet'!$B$218,FE30+FD31-FM30)))</f>
        <v>111.6</v>
      </c>
      <c r="FF31" s="18">
        <f>FE31*VLOOKUP('Données projet'!$B$16,Paramètres!$A$1:$I$88,3,0)*VLOOKUP('Données projet'!$B$16,Paramètres!$A$1:$I$88,5,0)</f>
        <v>81.825119999999984</v>
      </c>
      <c r="FG31" s="14">
        <f t="shared" si="47"/>
        <v>22.582847906191663</v>
      </c>
      <c r="FH31" s="22">
        <f t="shared" si="22"/>
        <v>181.84387743661708</v>
      </c>
      <c r="FI31" s="62">
        <f t="shared" si="23"/>
        <v>416.57534685860116</v>
      </c>
      <c r="FJ31" s="62">
        <f ca="1">AVERAGE(OFFSET($FI$3,0,0,'Données projet'!$E$16+1,1))-AVERAGE(OFFSET($H$3,0,0,'Données projet'!$E$16+1,1))</f>
        <v>207.66160354686221</v>
      </c>
      <c r="FK31" s="62">
        <f t="shared" si="48"/>
        <v>260.45879589483525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projet'!$B$16,Paramètres!$A$1:$I$88,3,0)*0.475*44/12</f>
        <v>5.3861606068865022</v>
      </c>
      <c r="FR31" s="23">
        <f>EXP(-LN(2)/25)*FR30+(1-EXP(-LN(2)/25))/(LN(2)/25)*Calculateur!FM31*Calculateur!FO31*VLOOKUP('Données projet'!$B$16,Paramètres!$A$1:$I$88,3,0)*0.475*44/12</f>
        <v>0</v>
      </c>
      <c r="FS31" s="23">
        <f>EXP(-LN(2)/2)*FS30+(1-EXP(-LN(2)/2))/(LN(2)/2)*FM31*FP31*VLOOKUP('Données projet'!$B$16,Paramètres!$A$1:$I$88,3,0)*0.475*44/12</f>
        <v>0</v>
      </c>
      <c r="FT31" s="24">
        <f t="shared" si="24"/>
        <v>5.3861606068865022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26.166666666666668</v>
      </c>
      <c r="N32" s="14">
        <f>IF('Données projet'!$A$36&gt;35,N31+M32-V31,IF(A32&lt;'Données projet'!$A$36,$K$205^A32,IF(A32='Données projet'!$A$36,'Données projet'!$B$36,N31+M32-V31)))</f>
        <v>363.83333333333343</v>
      </c>
      <c r="O32" s="14">
        <f>N32*VLOOKUP('Données projet'!$B$9,Paramètres!$A$1:$I$88,3,0)*VLOOKUP('Données projet'!$B$9,Paramètres!$A$1:$I$88,5,0)</f>
        <v>203.38283333333339</v>
      </c>
      <c r="P32" s="14">
        <f t="shared" si="33"/>
        <v>50.486884819584603</v>
      </c>
      <c r="Q32" s="22">
        <f t="shared" si="2"/>
        <v>442.15642578299884</v>
      </c>
      <c r="R32" s="62">
        <f t="shared" si="0"/>
        <v>679.08432310577473</v>
      </c>
      <c r="S32" s="62">
        <f ca="1">AVERAGE(OFFSET($R$3,0,0,'Données projet'!$E$9+1,1))-AVERAGE(OFFSET($H$3,0,0,'Données projet'!$E$9+1,1))</f>
        <v>378.13552372917843</v>
      </c>
      <c r="T32" s="62">
        <f t="shared" si="34"/>
        <v>528.97123645404952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7.3141482534889288</v>
      </c>
      <c r="AA32" s="23">
        <f>EXP(-LN(2)/25)*AA31+(1-EXP(-LN(2)/25))/(LN(2)/25)*Calculateur!V32*Calculateur!X32*VLOOKUP('Données projet'!$B$9,Paramètres!$A$1:$I$88,3,0)*0.475*44/12</f>
        <v>16.338999974579416</v>
      </c>
      <c r="AB32" s="23">
        <f>EXP(-LN(2)/2)*AB31+(1-EXP(-LN(2)/2))/(LN(2)/2)*V32*Y32*VLOOKUP('Données projet'!$B$9,Paramètres!$A$1:$I$88,3,0)*0.475*44/12</f>
        <v>0</v>
      </c>
      <c r="AC32" s="24">
        <f t="shared" si="3"/>
        <v>23.653148228068346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>
        <f>VLOOKUP(A32,'Données projet'!$A$61:$I$81,2,0)</f>
        <v>95</v>
      </c>
      <c r="AG32" s="13">
        <f>VLOOKUP(A32,'Données projet'!$A$61:$I$81,9,0)</f>
        <v>3.2758620689655173</v>
      </c>
      <c r="AH32" s="13">
        <f t="array" ref="AH32">INDEX(AG:AG,MIN(IF(ISNUMBER(AG32:AG228),ROW(AG32:AG228),"")))</f>
        <v>3.2758620689655173</v>
      </c>
      <c r="AI32" s="14">
        <f>IF('Données projet'!$A$62&gt;35,AI31+AH32-AQ31,IF(A32&lt;'Données projet'!$A$62,$AF$205^A32,IF(A32='Données projet'!$A$62,'Données projet'!$B$62,AI31+AH32-AQ31)))</f>
        <v>95</v>
      </c>
      <c r="AJ32" s="14">
        <f>AI32*VLOOKUP('Données projet'!$B$10,Paramètres!$A$1:$I$88,3,0)*VLOOKUP('Données projet'!$B$10,Paramètres!$A$1:$I$88,5,0)</f>
        <v>85.955999999999989</v>
      </c>
      <c r="AK32" s="14">
        <f t="shared" si="35"/>
        <v>23.587315314606048</v>
      </c>
      <c r="AL32" s="22">
        <f t="shared" si="4"/>
        <v>190.78794083960551</v>
      </c>
      <c r="AM32" s="62">
        <f t="shared" si="5"/>
        <v>427.71583816238137</v>
      </c>
      <c r="AN32" s="62">
        <f ca="1">AVERAGE(OFFSET($AM$3,0,0,'Données projet'!$E$10+1,1))-AVERAGE(OFFSET($H$3,0,0,'Données projet'!$E$10+1,1))</f>
        <v>536.3707066106856</v>
      </c>
      <c r="AO32" s="62">
        <f t="shared" si="36"/>
        <v>217.6280015974086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20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133.10000000000002</v>
      </c>
      <c r="BE32" s="14">
        <f>BD32*VLOOKUP('Données projet'!$B$11,Paramètres!$A$1:$I$88,3,0)*VLOOKUP('Données projet'!$B$11,Paramètres!$A$1:$I$88,5,0)</f>
        <v>79.593800000000016</v>
      </c>
      <c r="BF32" s="14">
        <f t="shared" si="37"/>
        <v>22.037836711828103</v>
      </c>
      <c r="BG32" s="22">
        <f t="shared" si="7"/>
        <v>177.00843393976731</v>
      </c>
      <c r="BH32" s="62">
        <f t="shared" si="8"/>
        <v>413.93633126254315</v>
      </c>
      <c r="BI32" s="62">
        <f ca="1">AVERAGE(OFFSET($BH$3,0,0,'Données projet'!$E$11+1,1))-AVERAGE(OFFSET($H$3,0,0,'Données projet'!$E$11+1,1))</f>
        <v>248.66193174773525</v>
      </c>
      <c r="BJ32" s="62">
        <f t="shared" si="38"/>
        <v>249.61655682981151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9.0956015930306773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13.540500654598649</v>
      </c>
      <c r="BS32" s="24">
        <f t="shared" si="9"/>
        <v>22.636102247629324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34.799999999999997</v>
      </c>
      <c r="BY32" s="13">
        <f>IF('Données projet'!$A$114&gt;35,BY31+BX32-CG31,IF(A32&lt;'Données projet'!$A$114,$BV$205^A32,IF(A32='Données projet'!$A$114,'Données projet'!$B$114,BY31+BX32-CG31)))</f>
        <v>296.20000000000005</v>
      </c>
      <c r="BZ32" s="14">
        <f>BY32*VLOOKUP('Données projet'!$B$12,Paramètres!$A$1:$I$88,3,0)*VLOOKUP('Données projet'!$B$12,Paramètres!$A$1:$I$88,5,0)</f>
        <v>119.36860000000003</v>
      </c>
      <c r="CA32" s="14">
        <f t="shared" si="39"/>
        <v>31.527690427931041</v>
      </c>
      <c r="CB32" s="22">
        <f t="shared" si="10"/>
        <v>262.81103916197998</v>
      </c>
      <c r="CC32" s="62">
        <f t="shared" si="11"/>
        <v>499.73893648475581</v>
      </c>
      <c r="CD32" s="62">
        <f ca="1">AVERAGE(OFFSET($CC$3,0,0,'Données projet'!$E$12+1,1))-AVERAGE(OFFSET($H$3,0,0,'Données projet'!$E$12+1,1))</f>
        <v>432.59662347701629</v>
      </c>
      <c r="CE32" s="62">
        <f t="shared" si="40"/>
        <v>348.67401091099748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38.449241048510231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38.449241048510231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46.2</v>
      </c>
      <c r="CT32" s="13">
        <f>IF('Données projet'!$A$140&gt;35,CT31+CS32-DB31,IF(A32&lt;'Données projet'!$A$140,$CQ$205^A32,IF(A32='Données projet'!$A$140,'Données projet'!$B$140,CT31+CS32-DB31)))</f>
        <v>346.79999999999995</v>
      </c>
      <c r="CU32" s="18">
        <f>CT32*VLOOKUP('Données projet'!$B$13,Paramètres!$A$1:$I$88,3,0)*VLOOKUP('Données projet'!$B$13,Paramètres!$A$1:$I$88,5,0)</f>
        <v>153.28559999999999</v>
      </c>
      <c r="CV32" s="14">
        <f t="shared" si="41"/>
        <v>39.324305823537777</v>
      </c>
      <c r="CW32" s="22">
        <f t="shared" si="13"/>
        <v>335.46225264266161</v>
      </c>
      <c r="CX32" s="62">
        <f t="shared" si="14"/>
        <v>572.39014996543744</v>
      </c>
      <c r="CY32" s="62">
        <f ca="1">AVERAGE(OFFSET($CX$3,0,0,'Données projet'!$E$13+1,1))-AVERAGE(OFFSET($H$3,0,0,'Données projet'!$E$13+1,1))</f>
        <v>582.26951914082088</v>
      </c>
      <c r="CZ32" s="62">
        <f t="shared" si="42"/>
        <v>434.80429932654715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7.8205841774345615</v>
      </c>
      <c r="DG32" s="23">
        <f>EXP(-LN(2)/25)*DG31+(1-EXP(-LN(2)/25))/(LN(2)/25)*Calculateur!DB32*Calculateur!DD32*VLOOKUP('Données projet'!$B$13,Paramètres!$A$1:$I$88,3,0)*0.475*44/12</f>
        <v>51.752544766916323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59.573128944350884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</v>
      </c>
      <c r="DO32" s="13">
        <f>IF('Données projet'!$A$166&gt;35,DO31+DN32-DW31,IF(A32&lt;'Données projet'!$A$166,$DL$205^A32,IF(A32='Données projet'!$A$166,'Données projet'!$B$166,DO31+DN32-DW31)))</f>
        <v>187.99999999999994</v>
      </c>
      <c r="DP32" s="18">
        <f>DO32*VLOOKUP('Données projet'!$B$14,Paramètres!$A$1:$I$88,3,0)*VLOOKUP('Données projet'!$B$14,Paramètres!$A$1:$I$88,5,0)</f>
        <v>90.427999999999969</v>
      </c>
      <c r="DQ32" s="14">
        <f t="shared" si="43"/>
        <v>24.66841976866883</v>
      </c>
      <c r="DR32" s="22">
        <f t="shared" si="16"/>
        <v>200.4595977637648</v>
      </c>
      <c r="DS32" s="62">
        <f t="shared" si="17"/>
        <v>437.38749508654064</v>
      </c>
      <c r="DT32" s="62">
        <f ca="1">AVERAGE(OFFSET($DS$3,0,0,'Données projet'!$E$14+1,1))-AVERAGE(OFFSET($H$3,0,0,'Données projet'!$E$14+1,1))</f>
        <v>273.24375559399846</v>
      </c>
      <c r="DU32" s="62">
        <f t="shared" si="44"/>
        <v>270.77718895097848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projet'!$B$14,Paramètres!$A$1:$I$88,3,0)*0.475*44/12</f>
        <v>3.5015186972580952</v>
      </c>
      <c r="EB32" s="23">
        <f>EXP(-LN(2)/25)*EB31+(1-EXP(-LN(2)/25))/(LN(2)/25)*Calculateur!DW32*Calculateur!DY32*VLOOKUP('Données projet'!$B$14,Paramètres!$A$1:$I$88,3,0)*0.475*44/12</f>
        <v>15.729106548675935</v>
      </c>
      <c r="EC32" s="23">
        <f>EXP(-LN(2)/2)*EC31+(1-EXP(-LN(2)/2))/(LN(2)/2)*DW32*DZ32*VLOOKUP('Données projet'!$B$14,Paramètres!$A$1:$I$88,3,0)*0.475*44/12</f>
        <v>0</v>
      </c>
      <c r="ED32" s="24">
        <f t="shared" si="18"/>
        <v>19.230625245934029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</v>
      </c>
      <c r="EJ32" s="13">
        <f>IF('Données projet'!$A$192&gt;35,EJ31+EI32-ER31,IF(A32&lt;'Données projet'!$A$192,$EG$205^A32,IF(A32='Données projet'!$A$192,'Données projet'!$B$192,EJ31+EI32-ER31)))</f>
        <v>187.99999999999994</v>
      </c>
      <c r="EK32" s="18">
        <f>EJ32*VLOOKUP('Données projet'!$B$15,Paramètres!$A$1:$I$88,3,0)*VLOOKUP('Données projet'!$B$15,Paramètres!$A$1:$I$88,5,0)</f>
        <v>87.98399999999998</v>
      </c>
      <c r="EL32" s="14">
        <f t="shared" si="45"/>
        <v>24.078375128721785</v>
      </c>
      <c r="EM32" s="22">
        <f t="shared" si="19"/>
        <v>195.17530334919039</v>
      </c>
      <c r="EN32" s="62">
        <f t="shared" si="20"/>
        <v>432.10320067196619</v>
      </c>
      <c r="EO32" s="62">
        <f ca="1">AVERAGE(OFFSET($EN$3,0,0,'Données projet'!$E$15+1,1))-AVERAGE(OFFSET($H$3,0,0,'Données projet'!$E$15+1,1))</f>
        <v>267.26203506406682</v>
      </c>
      <c r="EP32" s="62">
        <f t="shared" si="46"/>
        <v>265.10857635664843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projet'!$B$15,Paramètres!$A$1:$I$88,3,0)*0.475*44/12</f>
        <v>3.4068830567916599</v>
      </c>
      <c r="EW32" s="23">
        <f>EXP(-LN(2)/25)*EW31+(1-EXP(-LN(2)/25))/(LN(2)/25)*Calculateur!ER32*Calculateur!ET32*VLOOKUP('Données projet'!$B$15,Paramètres!$A$1:$I$88,3,0)*0.475*44/12</f>
        <v>15.303995560873883</v>
      </c>
      <c r="EX32" s="23">
        <f>EXP(-LN(2)/2)*EX31+(1-EXP(-LN(2)/2))/(LN(2)/2)*ER32*EU32*VLOOKUP('Données projet'!$B$15,Paramètres!$A$1:$I$88,3,0)*0.475*44/12</f>
        <v>0</v>
      </c>
      <c r="EY32" s="24">
        <f t="shared" si="21"/>
        <v>18.710878617665543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7.2</v>
      </c>
      <c r="FE32" s="13">
        <f>IF('Données projet'!$A$218&gt;35,FE31+FD32-FM31,IF(A32&lt;'Données projet'!$A$218,$FB$205^A32,IF(A32='Données projet'!$A$218,'Données projet'!$B$218,FE31+FD32-FM31)))</f>
        <v>118.8</v>
      </c>
      <c r="FF32" s="18">
        <f>FE32*VLOOKUP('Données projet'!$B$16,Paramètres!$A$1:$I$88,3,0)*VLOOKUP('Données projet'!$B$16,Paramètres!$A$1:$I$88,5,0)</f>
        <v>87.104160000000007</v>
      </c>
      <c r="FG32" s="14">
        <f t="shared" si="47"/>
        <v>23.865494318543401</v>
      </c>
      <c r="FH32" s="22">
        <f t="shared" si="22"/>
        <v>193.27214793812973</v>
      </c>
      <c r="FI32" s="62">
        <f t="shared" si="23"/>
        <v>430.20004526090554</v>
      </c>
      <c r="FJ32" s="62">
        <f ca="1">AVERAGE(OFFSET($FI$3,0,0,'Données projet'!$E$16+1,1))-AVERAGE(OFFSET($H$3,0,0,'Données projet'!$E$16+1,1))</f>
        <v>207.66160354686221</v>
      </c>
      <c r="FK32" s="62">
        <f t="shared" si="48"/>
        <v>260.45879589483525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projet'!$B$16,Paramètres!$A$1:$I$88,3,0)*0.475*44/12</f>
        <v>5.2805412826190379</v>
      </c>
      <c r="FR32" s="23">
        <f>EXP(-LN(2)/25)*FR31+(1-EXP(-LN(2)/25))/(LN(2)/25)*Calculateur!FM32*Calculateur!FO32*VLOOKUP('Données projet'!$B$16,Paramètres!$A$1:$I$88,3,0)*0.475*44/12</f>
        <v>0</v>
      </c>
      <c r="FS32" s="23">
        <f>EXP(-LN(2)/2)*FS31+(1-EXP(-LN(2)/2))/(LN(2)/2)*FM32*FP32*VLOOKUP('Données projet'!$B$16,Paramètres!$A$1:$I$88,3,0)*0.475*44/12</f>
        <v>0</v>
      </c>
      <c r="FT32" s="24">
        <f t="shared" si="24"/>
        <v>5.2805412826190379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390</v>
      </c>
      <c r="L33" s="13">
        <f>VLOOKUP(A33,'Données projet'!$A$35:$I$55,9,0)</f>
        <v>26.166666666666668</v>
      </c>
      <c r="M33" s="13">
        <f t="array" ref="M33">INDEX(L:L,MIN(IF(ISNUMBER(L33:L229),ROW(L33:L229),"")))</f>
        <v>26.166666666666668</v>
      </c>
      <c r="N33" s="14">
        <f>IF('Données projet'!$A$36&gt;35,N32+M33-V32,IF(A33&lt;'Données projet'!$A$36,$K$205^A33,IF(A33='Données projet'!$A$36,'Données projet'!$B$36,N32+M33-V32)))</f>
        <v>390.00000000000011</v>
      </c>
      <c r="O33" s="14">
        <f>N33*VLOOKUP('Données projet'!$B$9,Paramètres!$A$1:$I$88,3,0)*VLOOKUP('Données projet'!$B$9,Paramètres!$A$1:$I$88,5,0)</f>
        <v>218.01000000000008</v>
      </c>
      <c r="P33" s="14">
        <f t="shared" si="33"/>
        <v>53.682140586224406</v>
      </c>
      <c r="Q33" s="22">
        <f t="shared" si="2"/>
        <v>473.19714485434088</v>
      </c>
      <c r="R33" s="62">
        <f t="shared" si="0"/>
        <v>712.30456978738289</v>
      </c>
      <c r="S33" s="62">
        <f ca="1">AVERAGE(OFFSET($R$3,0,0,'Données projet'!$E$9+1,1))-AVERAGE(OFFSET($H$3,0,0,'Données projet'!$E$9+1,1))</f>
        <v>378.13552372917843</v>
      </c>
      <c r="T33" s="62">
        <f t="shared" si="34"/>
        <v>528.97123645404952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79</v>
      </c>
      <c r="W33" s="17">
        <f>IF(ISNA(VLOOKUP(A33,'Données projet'!$A$35:$I$55,5,0)),0%,VLOOKUP(A33,'Données projet'!$A$35:$I$55,5,0)*VLOOKUP('Données projet'!$B$9,Paramètres!$A$1:$I$88,7,0))</f>
        <v>0.16500000000000001</v>
      </c>
      <c r="X33" s="17">
        <f>IF(ISNA(VLOOKUP(A33,'Données projet'!$A$35:$I$55,6,0)),0%,VLOOKUP(A33,'Données projet'!$A$35:$I$55,6,0)*VLOOKUP('Données projet'!$B$9,Paramètres!$A$1:$I$88,7,0))</f>
        <v>0.38500000000000001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16.836820398677755</v>
      </c>
      <c r="AA33" s="23">
        <f>EXP(-LN(2)/25)*AA32+(1-EXP(-LN(2)/25))/(LN(2)/25)*Calculateur!V33*Calculateur!X33*VLOOKUP('Données projet'!$B$9,Paramètres!$A$1:$I$88,3,0)*0.475*44/12</f>
        <v>38.357633540658753</v>
      </c>
      <c r="AB33" s="23">
        <f>EXP(-LN(2)/2)*AB32+(1-EXP(-LN(2)/2))/(LN(2)/2)*V33*Y33*VLOOKUP('Données projet'!$B$9,Paramètres!$A$1:$I$88,3,0)*0.475*44/12</f>
        <v>0</v>
      </c>
      <c r="AC33" s="24">
        <f t="shared" si="3"/>
        <v>55.194453939336512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5.25</v>
      </c>
      <c r="AI33" s="14">
        <f>IF('Données projet'!$A$62&gt;35,AI32+AH33-AQ32,IF(A33&lt;'Données projet'!$A$62,$AF$205^A33,IF(A33='Données projet'!$A$62,'Données projet'!$B$62,AI32+AH33-AQ32)))</f>
        <v>80.25</v>
      </c>
      <c r="AJ33" s="14">
        <f>AI33*VLOOKUP('Données projet'!$B$10,Paramètres!$A$1:$I$88,3,0)*VLOOKUP('Données projet'!$B$10,Paramètres!$A$1:$I$88,5,0)</f>
        <v>72.610199999999992</v>
      </c>
      <c r="AK33" s="14">
        <f t="shared" si="35"/>
        <v>20.320274639827741</v>
      </c>
      <c r="AL33" s="22">
        <f t="shared" si="4"/>
        <v>161.85390999769996</v>
      </c>
      <c r="AM33" s="62">
        <f t="shared" si="5"/>
        <v>400.96133493074194</v>
      </c>
      <c r="AN33" s="62">
        <f ca="1">AVERAGE(OFFSET($AM$3,0,0,'Données projet'!$E$10+1,1))-AVERAGE(OFFSET($H$3,0,0,'Données projet'!$E$10+1,1))</f>
        <v>536.3707066106856</v>
      </c>
      <c r="AO33" s="62">
        <f t="shared" si="36"/>
        <v>217.6280015974086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146.10000000000002</v>
      </c>
      <c r="BE33" s="14">
        <f>BD33*VLOOKUP('Données projet'!$B$11,Paramètres!$A$1:$I$88,3,0)*VLOOKUP('Données projet'!$B$11,Paramètres!$A$1:$I$88,5,0)</f>
        <v>87.367800000000031</v>
      </c>
      <c r="BF33" s="14">
        <f t="shared" si="37"/>
        <v>23.929309223025538</v>
      </c>
      <c r="BG33" s="22">
        <f t="shared" si="7"/>
        <v>193.84246523010287</v>
      </c>
      <c r="BH33" s="62">
        <f t="shared" si="8"/>
        <v>432.94989016314486</v>
      </c>
      <c r="BI33" s="62">
        <f ca="1">AVERAGE(OFFSET($BH$3,0,0,'Données projet'!$E$11+1,1))-AVERAGE(OFFSET($H$3,0,0,'Données projet'!$E$11+1,1))</f>
        <v>248.66193174773525</v>
      </c>
      <c r="BJ33" s="62">
        <f t="shared" si="38"/>
        <v>249.61655682981151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8.917242393560521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9.5745798335275918</v>
      </c>
      <c r="BS33" s="24">
        <f t="shared" si="9"/>
        <v>18.491822227088115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331</v>
      </c>
      <c r="BW33" s="13">
        <f>VLOOKUP(A33,'Données projet'!$A$113:$I$133,9,0)</f>
        <v>34.799999999999997</v>
      </c>
      <c r="BX33" s="13">
        <f t="array" ref="BX33">INDEX(BW:BW,MIN(IF(ISNUMBER(BW33:BW229),ROW(BW33:BW229),"")))</f>
        <v>34.799999999999997</v>
      </c>
      <c r="BY33" s="13">
        <f>IF('Données projet'!$A$114&gt;35,BY32+BX33-CG32,IF(A33&lt;'Données projet'!$A$114,$BV$205^A33,IF(A33='Données projet'!$A$114,'Données projet'!$B$114,BY32+BX33-CG32)))</f>
        <v>331.00000000000006</v>
      </c>
      <c r="BZ33" s="14">
        <f>BY33*VLOOKUP('Données projet'!$B$12,Paramètres!$A$1:$I$88,3,0)*VLOOKUP('Données projet'!$B$12,Paramètres!$A$1:$I$88,5,0)</f>
        <v>133.39300000000003</v>
      </c>
      <c r="CA33" s="14">
        <f t="shared" si="39"/>
        <v>34.779202475381169</v>
      </c>
      <c r="CB33" s="22">
        <f t="shared" si="10"/>
        <v>292.8999193112889</v>
      </c>
      <c r="CC33" s="62">
        <f t="shared" si="11"/>
        <v>532.00734424433085</v>
      </c>
      <c r="CD33" s="62">
        <f ca="1">AVERAGE(OFFSET($CC$3,0,0,'Données projet'!$E$12+1,1))-AVERAGE(OFFSET($H$3,0,0,'Données projet'!$E$12+1,1))</f>
        <v>432.59662347701629</v>
      </c>
      <c r="CE33" s="62">
        <f t="shared" si="40"/>
        <v>348.67401091099748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84</v>
      </c>
      <c r="CH33" s="17">
        <f>IF(ISNA(VLOOKUP(A33,'Données projet'!$A$113:$I$133,5,0)),0%,VLOOKUP(A33,'Données projet'!$A$113:$I$133,5,0)*VLOOKUP('Données projet'!$B$12,Paramètres!$A$1:$I$88,7,0))</f>
        <v>0.13750000000000001</v>
      </c>
      <c r="CI33" s="17">
        <f>IF(ISNA(VLOOKUP(A33,'Données projet'!$A$113:$I$133,6,0)),0%,VLOOKUP(A33,'Données projet'!$A$113:$I$133,6,0)*VLOOKUP('Données projet'!$B$12,Paramètres!$A$1:$I$88,7,0))</f>
        <v>0.41250000000000003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6.1746932425116547</v>
      </c>
      <c r="CL33" s="23">
        <f>EXP(-LN(2)/25)*CL32+(1-EXP(-LN(2)/25))/(LN(2)/25)*Calculateur!CG33*Calculateur!CI33*VLOOKUP('Données projet'!$B$12,Paramètres!$A$1:$I$88,3,0)*0.475*44/12</f>
        <v>55.848987897500947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62.023681140012599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393</v>
      </c>
      <c r="CR33" s="13">
        <f>VLOOKUP(A33,'Données projet'!$A$139:$I$159,9,0)</f>
        <v>46.2</v>
      </c>
      <c r="CS33" s="13">
        <f t="array" ref="CS33">INDEX(CR:CR,MIN(IF(ISNUMBER(CR33:CR229),ROW(CR33:CR229),"")))</f>
        <v>46.2</v>
      </c>
      <c r="CT33" s="13">
        <f>IF('Données projet'!$A$140&gt;35,CT32+CS33-DB32,IF(A33&lt;'Données projet'!$A$140,$CQ$205^A33,IF(A33='Données projet'!$A$140,'Données projet'!$B$140,CT32+CS33-DB32)))</f>
        <v>392.99999999999994</v>
      </c>
      <c r="CU33" s="18">
        <f>CT33*VLOOKUP('Données projet'!$B$13,Paramètres!$A$1:$I$88,3,0)*VLOOKUP('Données projet'!$B$13,Paramètres!$A$1:$I$88,5,0)</f>
        <v>173.70599999999999</v>
      </c>
      <c r="CV33" s="14">
        <f t="shared" si="41"/>
        <v>43.918999651773355</v>
      </c>
      <c r="CW33" s="22">
        <f t="shared" si="13"/>
        <v>379.03020772683857</v>
      </c>
      <c r="CX33" s="62">
        <f t="shared" si="14"/>
        <v>618.13763265988052</v>
      </c>
      <c r="CY33" s="62">
        <f ca="1">AVERAGE(OFFSET($CX$3,0,0,'Données projet'!$E$13+1,1))-AVERAGE(OFFSET($H$3,0,0,'Données projet'!$E$13+1,1))</f>
        <v>582.26951914082088</v>
      </c>
      <c r="CZ33" s="62">
        <f t="shared" si="42"/>
        <v>434.80429932654715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105</v>
      </c>
      <c r="DC33" s="17">
        <f>IF(ISNA(VLOOKUP(A33,'Données projet'!$A$139:$I$159,5,0)),0%,VLOOKUP(A33,'Données projet'!$A$139:$I$159,5,0)*VLOOKUP('Données projet'!$B$13,Paramètres!$A$1:$I$88,7,0))</f>
        <v>0.13750000000000001</v>
      </c>
      <c r="DD33" s="17">
        <f>IF(ISNA(VLOOKUP(A33,'Données projet'!$A$139:$I$159,6,0)),0%,VLOOKUP(A33,'Données projet'!$A$139:$I$159,6,0)*VLOOKUP('Données projet'!$B$13,Paramètres!$A$1:$I$88,7,0))</f>
        <v>0.41250000000000003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16.132532543630909</v>
      </c>
      <c r="DG33" s="23">
        <f>EXP(-LN(2)/25)*DG32+(1-EXP(-LN(2)/25))/(LN(2)/25)*Calculateur!DB33*Calculateur!DD33*VLOOKUP('Données projet'!$B$13,Paramètres!$A$1:$I$88,3,0)*0.475*44/12</f>
        <v>75.633291067276545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91.765823610907461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202</v>
      </c>
      <c r="DM33" s="13">
        <f>VLOOKUP(A33,'Données projet'!$A$165:$I$185,9,0)</f>
        <v>14</v>
      </c>
      <c r="DN33" s="13">
        <f t="array" ref="DN33">INDEX(DM:DM,MIN(IF(ISNUMBER(DM33:DM229),ROW(DM33:DM229),"")))</f>
        <v>14</v>
      </c>
      <c r="DO33" s="13">
        <f>IF('Données projet'!$A$166&gt;35,DO32+DN33-DW32,IF(A33&lt;'Données projet'!$A$166,$DL$205^A33,IF(A33='Données projet'!$A$166,'Données projet'!$B$166,DO32+DN33-DW32)))</f>
        <v>201.99999999999994</v>
      </c>
      <c r="DP33" s="18">
        <f>DO33*VLOOKUP('Données projet'!$B$14,Paramètres!$A$1:$I$88,3,0)*VLOOKUP('Données projet'!$B$14,Paramètres!$A$1:$I$88,5,0)</f>
        <v>97.161999999999978</v>
      </c>
      <c r="DQ33" s="14">
        <f t="shared" si="43"/>
        <v>26.284754460059258</v>
      </c>
      <c r="DR33" s="22">
        <f t="shared" si="16"/>
        <v>215.00309735126984</v>
      </c>
      <c r="DS33" s="62">
        <f t="shared" si="17"/>
        <v>454.11052228431186</v>
      </c>
      <c r="DT33" s="62">
        <f ca="1">AVERAGE(OFFSET($DS$3,0,0,'Données projet'!$E$14+1,1))-AVERAGE(OFFSET($H$3,0,0,'Données projet'!$E$14+1,1))</f>
        <v>273.24375559399846</v>
      </c>
      <c r="DU33" s="62">
        <f t="shared" si="44"/>
        <v>270.77718895097848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54</v>
      </c>
      <c r="DX33" s="17">
        <f>IF(ISNA(VLOOKUP(A33,'Données projet'!$A$165:$I$185,5,0)),0%,VLOOKUP(A33,'Données projet'!$A$165:$I$185,5,0)*VLOOKUP('Données projet'!$B$14,Paramètres!$A$1:$I$88,7,0))</f>
        <v>0.16500000000000001</v>
      </c>
      <c r="DY33" s="17">
        <f>IF(ISNA(VLOOKUP(A33,'Données projet'!$A$165:$I$185,6,0)),0%,VLOOKUP(A33,'Données projet'!$A$165:$I$185,6,0)*VLOOKUP('Données projet'!$B$14,Paramètres!$A$1:$I$88,7,0))</f>
        <v>0.38500000000000001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projet'!$B$14,Paramètres!$A$1:$I$88,3,0)*0.475*44/12</f>
        <v>9.1181266036421764</v>
      </c>
      <c r="EB33" s="23">
        <f>EXP(-LN(2)/25)*EB32+(1-EXP(-LN(2)/25))/(LN(2)/25)*Calculateur!DW33*Calculateur!DY33*VLOOKUP('Données projet'!$B$14,Paramètres!$A$1:$I$88,3,0)*0.475*44/12</f>
        <v>28.512392746709867</v>
      </c>
      <c r="EC33" s="23">
        <f>EXP(-LN(2)/2)*EC32+(1-EXP(-LN(2)/2))/(LN(2)/2)*DW33*DZ33*VLOOKUP('Données projet'!$B$14,Paramètres!$A$1:$I$88,3,0)*0.475*44/12</f>
        <v>0</v>
      </c>
      <c r="ED33" s="24">
        <f t="shared" si="18"/>
        <v>37.630519350352046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202</v>
      </c>
      <c r="EH33" s="13">
        <f>VLOOKUP(A33,'Données projet'!$A$191:$I$211,9,0)</f>
        <v>14</v>
      </c>
      <c r="EI33" s="13">
        <f t="array" ref="EI33">INDEX(EH:EH,MIN(IF(ISNUMBER(EH33:EH229),ROW(EH33:EH229),"")))</f>
        <v>14</v>
      </c>
      <c r="EJ33" s="13">
        <f>IF('Données projet'!$A$192&gt;35,EJ32+EI33-ER32,IF(A33&lt;'Données projet'!$A$192,$EG$205^A33,IF(A33='Données projet'!$A$192,'Données projet'!$B$192,EJ32+EI33-ER32)))</f>
        <v>201.99999999999994</v>
      </c>
      <c r="EK33" s="18">
        <f>EJ33*VLOOKUP('Données projet'!$B$15,Paramètres!$A$1:$I$88,3,0)*VLOOKUP('Données projet'!$B$15,Paramètres!$A$1:$I$88,5,0)</f>
        <v>94.535999999999959</v>
      </c>
      <c r="EL33" s="14">
        <f t="shared" si="45"/>
        <v>25.656048664271697</v>
      </c>
      <c r="EM33" s="22">
        <f t="shared" si="19"/>
        <v>209.33448475693979</v>
      </c>
      <c r="EN33" s="62">
        <f t="shared" si="20"/>
        <v>448.4419096899818</v>
      </c>
      <c r="EO33" s="62">
        <f ca="1">AVERAGE(OFFSET($EN$3,0,0,'Données projet'!$E$15+1,1))-AVERAGE(OFFSET($H$3,0,0,'Données projet'!$E$15+1,1))</f>
        <v>267.26203506406682</v>
      </c>
      <c r="EP33" s="62">
        <f t="shared" si="46"/>
        <v>265.10857635664843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54</v>
      </c>
      <c r="ES33" s="17">
        <f>IF(ISNA(VLOOKUP(A33,'Données projet'!$A$191:$I$211,5,0)),0%,VLOOKUP(A33,'Données projet'!$A$191:$I$211,5,0)*VLOOKUP('Données projet'!$B$15,Paramètres!$A$1:$I$88,7,0))</f>
        <v>0.16500000000000001</v>
      </c>
      <c r="ET33" s="17">
        <f>IF(ISNA(VLOOKUP(A33,'Données projet'!$A$191:$I$211,6,0)),0%,VLOOKUP(A33,'Données projet'!$A$191:$I$211,6,0)*VLOOKUP('Données projet'!$B$15,Paramètres!$A$1:$I$88,7,0))</f>
        <v>0.38500000000000001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projet'!$B$15,Paramètres!$A$1:$I$88,3,0)*0.475*44/12</f>
        <v>8.8716907494896837</v>
      </c>
      <c r="EW33" s="23">
        <f>EXP(-LN(2)/25)*EW32+(1-EXP(-LN(2)/25))/(LN(2)/25)*Calculateur!ER33*Calculateur!ET33*VLOOKUP('Données projet'!$B$15,Paramètres!$A$1:$I$88,3,0)*0.475*44/12</f>
        <v>27.741787537339331</v>
      </c>
      <c r="EX33" s="23">
        <f>EXP(-LN(2)/2)*EX32+(1-EXP(-LN(2)/2))/(LN(2)/2)*ER33*EU33*VLOOKUP('Données projet'!$B$15,Paramètres!$A$1:$I$88,3,0)*0.475*44/12</f>
        <v>0</v>
      </c>
      <c r="EY33" s="24">
        <f t="shared" si="21"/>
        <v>36.613478286829015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126</v>
      </c>
      <c r="FC33" s="13">
        <f>VLOOKUP(A33,'Données projet'!$A$217:$I$237,9,0)</f>
        <v>7.2</v>
      </c>
      <c r="FD33" s="13">
        <f t="array" ref="FD33">INDEX(FC:FC,MIN(IF(ISNUMBER(FC33:FC229),ROW(FC33:FC229),"")))</f>
        <v>7.2</v>
      </c>
      <c r="FE33" s="13">
        <f>IF('Données projet'!$A$218&gt;35,FE32+FD33-FM32,IF(A33&lt;'Données projet'!$A$218,$FB$205^A33,IF(A33='Données projet'!$A$218,'Données projet'!$B$218,FE32+FD33-FM32)))</f>
        <v>126</v>
      </c>
      <c r="FF33" s="18">
        <f>FE33*VLOOKUP('Données projet'!$B$16,Paramètres!$A$1:$I$88,3,0)*VLOOKUP('Données projet'!$B$16,Paramètres!$A$1:$I$88,5,0)</f>
        <v>92.383200000000002</v>
      </c>
      <c r="FG33" s="14">
        <f t="shared" si="47"/>
        <v>25.13911825557507</v>
      </c>
      <c r="FH33" s="22">
        <f t="shared" si="22"/>
        <v>204.68470429512658</v>
      </c>
      <c r="FI33" s="62">
        <f t="shared" si="23"/>
        <v>443.79212922816856</v>
      </c>
      <c r="FJ33" s="62">
        <f ca="1">AVERAGE(OFFSET($FI$3,0,0,'Données projet'!$E$16+1,1))-AVERAGE(OFFSET($H$3,0,0,'Données projet'!$E$16+1,1))</f>
        <v>207.66160354686221</v>
      </c>
      <c r="FK33" s="62">
        <f t="shared" si="48"/>
        <v>260.45879589483525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projet'!$B$16,Paramètres!$A$1:$I$88,3,0)*0.475*44/12</f>
        <v>5.1769930888790325</v>
      </c>
      <c r="FR33" s="23">
        <f>EXP(-LN(2)/25)*FR32+(1-EXP(-LN(2)/25))/(LN(2)/25)*Calculateur!FM33*Calculateur!FO33*VLOOKUP('Données projet'!$B$16,Paramètres!$A$1:$I$88,3,0)*0.475*44/12</f>
        <v>0</v>
      </c>
      <c r="FS33" s="23">
        <f>EXP(-LN(2)/2)*FS32+(1-EXP(-LN(2)/2))/(LN(2)/2)*FM33*FP33*VLOOKUP('Données projet'!$B$16,Paramètres!$A$1:$I$88,3,0)*0.475*44/12</f>
        <v>0</v>
      </c>
      <c r="FT33" s="24">
        <f t="shared" si="24"/>
        <v>5.1769930888790325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26.833333333333332</v>
      </c>
      <c r="N34" s="14">
        <f>IF('Données projet'!$A$36&gt;35,N33+M34-V33,IF(A34&lt;'Données projet'!$A$36,$K$205^A34,IF(A34='Données projet'!$A$36,'Données projet'!$B$36,N33+M34-V33)))</f>
        <v>337.83333333333343</v>
      </c>
      <c r="O34" s="14">
        <f>N34*VLOOKUP('Données projet'!$B$9,Paramètres!$A$1:$I$88,3,0)*VLOOKUP('Données projet'!$B$9,Paramètres!$A$1:$I$88,5,0)</f>
        <v>188.8488333333334</v>
      </c>
      <c r="P34" s="14">
        <f t="shared" si="33"/>
        <v>47.285356298490633</v>
      </c>
      <c r="Q34" s="22">
        <f t="shared" si="2"/>
        <v>411.26704694209349</v>
      </c>
      <c r="R34" s="62">
        <f t="shared" si="0"/>
        <v>651.31517015491102</v>
      </c>
      <c r="S34" s="62">
        <f ca="1">AVERAGE(OFFSET($R$3,0,0,'Données projet'!$E$9+1,1))-AVERAGE(OFFSET($H$3,0,0,'Données projet'!$E$9+1,1))</f>
        <v>378.13552372917843</v>
      </c>
      <c r="T34" s="62">
        <f t="shared" si="34"/>
        <v>528.97123645404952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16.506660620106103</v>
      </c>
      <c r="AA34" s="23">
        <f>EXP(-LN(2)/25)*AA33+(1-EXP(-LN(2)/25))/(LN(2)/25)*Calculateur!V34*Calculateur!X34*VLOOKUP('Données projet'!$B$9,Paramètres!$A$1:$I$88,3,0)*0.475*44/12</f>
        <v>37.308742034349159</v>
      </c>
      <c r="AB34" s="23">
        <f>EXP(-LN(2)/2)*AB33+(1-EXP(-LN(2)/2))/(LN(2)/2)*V34*Y34*VLOOKUP('Données projet'!$B$9,Paramètres!$A$1:$I$88,3,0)*0.475*44/12</f>
        <v>0</v>
      </c>
      <c r="AC34" s="24">
        <f t="shared" si="3"/>
        <v>53.815402654455262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5.25</v>
      </c>
      <c r="AI34" s="14">
        <f>IF('Données projet'!$A$62&gt;35,AI33+AH34-AQ33,IF(A34&lt;'Données projet'!$A$62,$AF$205^A34,IF(A34='Données projet'!$A$62,'Données projet'!$B$62,AI33+AH34-AQ33)))</f>
        <v>85.5</v>
      </c>
      <c r="AJ34" s="14">
        <f>AI34*VLOOKUP('Données projet'!$B$10,Paramètres!$A$1:$I$88,3,0)*VLOOKUP('Données projet'!$B$10,Paramètres!$A$1:$I$88,5,0)</f>
        <v>77.360399999999998</v>
      </c>
      <c r="AK34" s="14">
        <f t="shared" si="35"/>
        <v>21.490533357793495</v>
      </c>
      <c r="AL34" s="22">
        <f t="shared" si="4"/>
        <v>172.165375598157</v>
      </c>
      <c r="AM34" s="62">
        <f t="shared" si="5"/>
        <v>412.21349881097456</v>
      </c>
      <c r="AN34" s="62">
        <f ca="1">AVERAGE(OFFSET($AM$3,0,0,'Données projet'!$E$10+1,1))-AVERAGE(OFFSET($H$3,0,0,'Données projet'!$E$10+1,1))</f>
        <v>536.3707066106856</v>
      </c>
      <c r="AO34" s="62">
        <f t="shared" si="36"/>
        <v>217.6280015974086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</v>
      </c>
      <c r="BD34" s="13">
        <f>IF('Données projet'!$A$88&gt;35,BD33+BC34-BL33,IF(A34&lt;'Données projet'!$A$88,$BA$205^A34,IF(A34='Données projet'!$A$88,'Données projet'!$B$88,BD33+BC34-BL33)))</f>
        <v>159.10000000000002</v>
      </c>
      <c r="BE34" s="14">
        <f>BD34*VLOOKUP('Données projet'!$B$11,Paramètres!$A$1:$I$88,3,0)*VLOOKUP('Données projet'!$B$11,Paramètres!$A$1:$I$88,5,0)</f>
        <v>95.141800000000018</v>
      </c>
      <c r="BF34" s="14">
        <f t="shared" si="37"/>
        <v>25.801265144965679</v>
      </c>
      <c r="BG34" s="22">
        <f t="shared" si="7"/>
        <v>210.64250512748188</v>
      </c>
      <c r="BH34" s="62">
        <f t="shared" si="8"/>
        <v>450.69062834029944</v>
      </c>
      <c r="BI34" s="62">
        <f ca="1">AVERAGE(OFFSET($BH$3,0,0,'Données projet'!$E$11+1,1))-AVERAGE(OFFSET($H$3,0,0,'Données projet'!$E$11+1,1))</f>
        <v>248.66193174773525</v>
      </c>
      <c r="BJ34" s="62">
        <f t="shared" si="38"/>
        <v>249.61655682981151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8.742380709203605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6.7702503272993262</v>
      </c>
      <c r="BS34" s="24">
        <f t="shared" si="9"/>
        <v>15.512631036502931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34</v>
      </c>
      <c r="BY34" s="13">
        <f>IF('Données projet'!$A$114&gt;35,BY33+BX34-CG33,IF(A34&lt;'Données projet'!$A$114,$BV$205^A34,IF(A34='Données projet'!$A$114,'Données projet'!$B$114,BY33+BX34-CG33)))</f>
        <v>281.00000000000006</v>
      </c>
      <c r="BZ34" s="14">
        <f>BY34*VLOOKUP('Données projet'!$B$12,Paramètres!$A$1:$I$88,3,0)*VLOOKUP('Données projet'!$B$12,Paramètres!$A$1:$I$88,5,0)</f>
        <v>113.24300000000002</v>
      </c>
      <c r="CA34" s="14">
        <f t="shared" si="39"/>
        <v>30.093763796554228</v>
      </c>
      <c r="CB34" s="22">
        <f t="shared" si="10"/>
        <v>249.64486361233193</v>
      </c>
      <c r="CC34" s="62">
        <f t="shared" si="11"/>
        <v>489.69298682514949</v>
      </c>
      <c r="CD34" s="62">
        <f ca="1">AVERAGE(OFFSET($CC$3,0,0,'Données projet'!$E$12+1,1))-AVERAGE(OFFSET($H$3,0,0,'Données projet'!$E$12+1,1))</f>
        <v>432.59662347701629</v>
      </c>
      <c r="CE34" s="62">
        <f t="shared" si="40"/>
        <v>348.67401091099748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6.0536112742169985</v>
      </c>
      <c r="CL34" s="23">
        <f>EXP(-LN(2)/25)*CL33+(1-EXP(-LN(2)/25))/(LN(2)/25)*Calculateur!CG34*Calculateur!CI34*VLOOKUP('Données projet'!$B$12,Paramètres!$A$1:$I$88,3,0)*0.475*44/12</f>
        <v>54.321794386473158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60.375405660690156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44.6</v>
      </c>
      <c r="CT34" s="13">
        <f>IF('Données projet'!$A$140&gt;35,CT33+CS34-DB33,IF(A34&lt;'Données projet'!$A$140,$CQ$205^A34,IF(A34='Données projet'!$A$140,'Données projet'!$B$140,CT33+CS34-DB33)))</f>
        <v>332.59999999999997</v>
      </c>
      <c r="CU34" s="18">
        <f>CT34*VLOOKUP('Données projet'!$B$13,Paramètres!$A$1:$I$88,3,0)*VLOOKUP('Données projet'!$B$13,Paramètres!$A$1:$I$88,5,0)</f>
        <v>147.00920000000002</v>
      </c>
      <c r="CV34" s="14">
        <f t="shared" si="41"/>
        <v>37.89812096439055</v>
      </c>
      <c r="CW34" s="22">
        <f t="shared" si="13"/>
        <v>322.04691734631359</v>
      </c>
      <c r="CX34" s="62">
        <f t="shared" si="14"/>
        <v>562.09504055913112</v>
      </c>
      <c r="CY34" s="62">
        <f ca="1">AVERAGE(OFFSET($CX$3,0,0,'Données projet'!$E$13+1,1))-AVERAGE(OFFSET($H$3,0,0,'Données projet'!$E$13+1,1))</f>
        <v>582.26951914082088</v>
      </c>
      <c r="CZ34" s="62">
        <f t="shared" si="42"/>
        <v>434.80429932654715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15.816183420323551</v>
      </c>
      <c r="DG34" s="23">
        <f>EXP(-LN(2)/25)*DG33+(1-EXP(-LN(2)/25))/(LN(2)/25)*Calculateur!DB34*Calculateur!DD34*VLOOKUP('Données projet'!$B$13,Paramètres!$A$1:$I$88,3,0)*0.475*44/12</f>
        <v>73.565094745659948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89.381278165983503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19.2</v>
      </c>
      <c r="DO34" s="13">
        <f>IF('Données projet'!$A$166&gt;35,DO33+DN34-DW33,IF(A34&lt;'Données projet'!$A$166,$DL$205^A34,IF(A34='Données projet'!$A$166,'Données projet'!$B$166,DO33+DN34-DW33)))</f>
        <v>167.19999999999993</v>
      </c>
      <c r="DP34" s="18">
        <f>DO34*VLOOKUP('Données projet'!$B$14,Paramètres!$A$1:$I$88,3,0)*VLOOKUP('Données projet'!$B$14,Paramètres!$A$1:$I$88,5,0)</f>
        <v>80.423199999999966</v>
      </c>
      <c r="DQ34" s="14">
        <f t="shared" si="43"/>
        <v>22.240626933738049</v>
      </c>
      <c r="DR34" s="22">
        <f t="shared" si="16"/>
        <v>178.80616524292705</v>
      </c>
      <c r="DS34" s="62">
        <f t="shared" si="17"/>
        <v>418.85428845574461</v>
      </c>
      <c r="DT34" s="62">
        <f ca="1">AVERAGE(OFFSET($DS$3,0,0,'Données projet'!$E$14+1,1))-AVERAGE(OFFSET($H$3,0,0,'Données projet'!$E$14+1,1))</f>
        <v>273.24375559399846</v>
      </c>
      <c r="DU34" s="62">
        <f t="shared" si="44"/>
        <v>270.77718895097848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projet'!$B$14,Paramètres!$A$1:$I$88,3,0)*0.475*44/12</f>
        <v>8.9393257024528285</v>
      </c>
      <c r="EB34" s="23">
        <f>EXP(-LN(2)/25)*EB33+(1-EXP(-LN(2)/25))/(LN(2)/25)*Calculateur!DW34*Calculateur!DY34*VLOOKUP('Données projet'!$B$14,Paramètres!$A$1:$I$88,3,0)*0.475*44/12</f>
        <v>27.732719867649518</v>
      </c>
      <c r="EC34" s="23">
        <f>EXP(-LN(2)/2)*EC33+(1-EXP(-LN(2)/2))/(LN(2)/2)*DW34*DZ34*VLOOKUP('Données projet'!$B$14,Paramètres!$A$1:$I$88,3,0)*0.475*44/12</f>
        <v>0</v>
      </c>
      <c r="ED34" s="24">
        <f t="shared" si="18"/>
        <v>36.672045570102348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19.2</v>
      </c>
      <c r="EJ34" s="13">
        <f>IF('Données projet'!$A$192&gt;35,EJ33+EI34-ER33,IF(A34&lt;'Données projet'!$A$192,$EG$205^A34,IF(A34='Données projet'!$A$192,'Données projet'!$B$192,EJ33+EI34-ER33)))</f>
        <v>167.19999999999993</v>
      </c>
      <c r="EK34" s="18">
        <f>EJ34*VLOOKUP('Données projet'!$B$15,Paramètres!$A$1:$I$88,3,0)*VLOOKUP('Données projet'!$B$15,Paramètres!$A$1:$I$88,5,0)</f>
        <v>78.249599999999973</v>
      </c>
      <c r="EL34" s="14">
        <f t="shared" si="45"/>
        <v>21.708652740239781</v>
      </c>
      <c r="EM34" s="22">
        <f t="shared" si="19"/>
        <v>174.09395685591755</v>
      </c>
      <c r="EN34" s="62">
        <f t="shared" si="20"/>
        <v>414.14208006873514</v>
      </c>
      <c r="EO34" s="62">
        <f ca="1">AVERAGE(OFFSET($EN$3,0,0,'Données projet'!$E$15+1,1))-AVERAGE(OFFSET($H$3,0,0,'Données projet'!$E$15+1,1))</f>
        <v>267.26203506406682</v>
      </c>
      <c r="EP34" s="62">
        <f t="shared" si="46"/>
        <v>265.10857635664843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projet'!$B$15,Paramètres!$A$1:$I$88,3,0)*0.475*44/12</f>
        <v>8.6977223050892363</v>
      </c>
      <c r="EW34" s="23">
        <f>EXP(-LN(2)/25)*EW33+(1-EXP(-LN(2)/25))/(LN(2)/25)*Calculateur!ER34*Calculateur!ET34*VLOOKUP('Données projet'!$B$15,Paramètres!$A$1:$I$88,3,0)*0.475*44/12</f>
        <v>26.983186898253585</v>
      </c>
      <c r="EX34" s="23">
        <f>EXP(-LN(2)/2)*EX33+(1-EXP(-LN(2)/2))/(LN(2)/2)*ER34*EU34*VLOOKUP('Données projet'!$B$15,Paramètres!$A$1:$I$88,3,0)*0.475*44/12</f>
        <v>0</v>
      </c>
      <c r="EY34" s="24">
        <f t="shared" si="21"/>
        <v>35.680909203342821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7.2</v>
      </c>
      <c r="FE34" s="13">
        <f>IF('Données projet'!$A$218&gt;35,FE33+FD34-FM33,IF(A34&lt;'Données projet'!$A$218,$FB$205^A34,IF(A34='Données projet'!$A$218,'Données projet'!$B$218,FE33+FD34-FM33)))</f>
        <v>133.19999999999999</v>
      </c>
      <c r="FF34" s="18">
        <f>FE34*VLOOKUP('Données projet'!$B$16,Paramètres!$A$1:$I$88,3,0)*VLOOKUP('Données projet'!$B$16,Paramètres!$A$1:$I$88,5,0)</f>
        <v>97.662239999999997</v>
      </c>
      <c r="FG34" s="14">
        <f t="shared" si="47"/>
        <v>26.404294032217511</v>
      </c>
      <c r="FH34" s="22">
        <f t="shared" si="22"/>
        <v>216.08254677277884</v>
      </c>
      <c r="FI34" s="62">
        <f t="shared" si="23"/>
        <v>456.1306699855964</v>
      </c>
      <c r="FJ34" s="62">
        <f ca="1">AVERAGE(OFFSET($FI$3,0,0,'Données projet'!$E$16+1,1))-AVERAGE(OFFSET($H$3,0,0,'Données projet'!$E$16+1,1))</f>
        <v>207.66160354686221</v>
      </c>
      <c r="FK34" s="62">
        <f t="shared" si="48"/>
        <v>260.45879589483525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projet'!$B$16,Paramètres!$A$1:$I$88,3,0)*0.475*44/12</f>
        <v>5.0754754120601069</v>
      </c>
      <c r="FR34" s="23">
        <f>EXP(-LN(2)/25)*FR33+(1-EXP(-LN(2)/25))/(LN(2)/25)*Calculateur!FM34*Calculateur!FO34*VLOOKUP('Données projet'!$B$16,Paramètres!$A$1:$I$88,3,0)*0.475*44/12</f>
        <v>0</v>
      </c>
      <c r="FS34" s="23">
        <f>EXP(-LN(2)/2)*FS33+(1-EXP(-LN(2)/2))/(LN(2)/2)*FM34*FP34*VLOOKUP('Données projet'!$B$16,Paramètres!$A$1:$I$88,3,0)*0.475*44/12</f>
        <v>0</v>
      </c>
      <c r="FT34" s="24">
        <f t="shared" si="24"/>
        <v>5.0754754120601069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26.833333333333332</v>
      </c>
      <c r="N35" s="14">
        <f>IF('Données projet'!$A$36&gt;35,N34+M35-V34,IF(A35&lt;'Données projet'!$A$36,$K$205^A35,IF(A35='Données projet'!$A$36,'Données projet'!$B$36,N34+M35-V34)))</f>
        <v>364.66666666666674</v>
      </c>
      <c r="O35" s="14">
        <f>N35*VLOOKUP('Données projet'!$B$9,Paramètres!$A$1:$I$88,3,0)*VLOOKUP('Données projet'!$B$9,Paramètres!$A$1:$I$88,5,0)</f>
        <v>203.84866666666673</v>
      </c>
      <c r="P35" s="14">
        <f t="shared" si="33"/>
        <v>50.589047599756881</v>
      </c>
      <c r="Q35" s="22">
        <f t="shared" ref="Q35:Q66" si="53">(O35+P35)*0.475*44/12</f>
        <v>443.14568568068768</v>
      </c>
      <c r="R35" s="62">
        <f t="shared" si="0"/>
        <v>684.11818816121297</v>
      </c>
      <c r="S35" s="62">
        <f ca="1">AVERAGE(OFFSET($R$3,0,0,'Données projet'!$E$9+1,1))-AVERAGE(OFFSET($H$3,0,0,'Données projet'!$E$9+1,1))</f>
        <v>378.13552372917843</v>
      </c>
      <c r="T35" s="62">
        <f t="shared" si="34"/>
        <v>528.97123645404952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16.182975073414664</v>
      </c>
      <c r="AA35" s="23">
        <f>EXP(-LN(2)/25)*AA34+(1-EXP(-LN(2)/25))/(LN(2)/25)*Calculateur!V35*Calculateur!X35*VLOOKUP('Données projet'!$B$9,Paramètres!$A$1:$I$88,3,0)*0.475*44/12</f>
        <v>36.288532521438405</v>
      </c>
      <c r="AB35" s="23">
        <f>EXP(-LN(2)/2)*AB34+(1-EXP(-LN(2)/2))/(LN(2)/2)*V35*Y35*VLOOKUP('Données projet'!$B$9,Paramètres!$A$1:$I$88,3,0)*0.475*44/12</f>
        <v>0</v>
      </c>
      <c r="AC35" s="24">
        <f t="shared" si="3"/>
        <v>52.471507594853065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5.25</v>
      </c>
      <c r="AI35" s="14">
        <f>IF('Données projet'!$A$62&gt;35,AI34+AH35-AQ34,IF(A35&lt;'Données projet'!$A$62,$AF$205^A35,IF(A35='Données projet'!$A$62,'Données projet'!$B$62,AI34+AH35-AQ34)))</f>
        <v>90.75</v>
      </c>
      <c r="AJ35" s="14">
        <f>AI35*VLOOKUP('Données projet'!$B$10,Paramètres!$A$1:$I$88,3,0)*VLOOKUP('Données projet'!$B$10,Paramètres!$A$1:$I$88,5,0)</f>
        <v>82.110600000000005</v>
      </c>
      <c r="AK35" s="14">
        <f t="shared" si="35"/>
        <v>22.652452094615242</v>
      </c>
      <c r="AL35" s="22">
        <f t="shared" si="4"/>
        <v>182.46231573145488</v>
      </c>
      <c r="AM35" s="62">
        <f t="shared" si="5"/>
        <v>423.4348182119802</v>
      </c>
      <c r="AN35" s="62">
        <f ca="1">AVERAGE(OFFSET($AM$3,0,0,'Données projet'!$E$10+1,1))-AVERAGE(OFFSET($H$3,0,0,'Données projet'!$E$10+1,1))</f>
        <v>536.3707066106856</v>
      </c>
      <c r="AO35" s="62">
        <f t="shared" si="36"/>
        <v>217.6280015974086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</v>
      </c>
      <c r="BD35" s="13">
        <f>IF('Données projet'!$A$88&gt;35,BD34+BC35-BL34,IF(A35&lt;'Données projet'!$A$88,$BA$205^A35,IF(A35='Données projet'!$A$88,'Données projet'!$B$88,BD34+BC35-BL34)))</f>
        <v>172.10000000000002</v>
      </c>
      <c r="BE35" s="14">
        <f>BD35*VLOOKUP('Données projet'!$B$11,Paramètres!$A$1:$I$88,3,0)*VLOOKUP('Données projet'!$B$11,Paramètres!$A$1:$I$88,5,0)</f>
        <v>102.91580000000002</v>
      </c>
      <c r="BF35" s="14">
        <f t="shared" si="37"/>
        <v>27.655480471040217</v>
      </c>
      <c r="BG35" s="22">
        <f t="shared" si="7"/>
        <v>227.41164682039505</v>
      </c>
      <c r="BH35" s="62">
        <f t="shared" si="8"/>
        <v>468.3841493009204</v>
      </c>
      <c r="BI35" s="62">
        <f ca="1">AVERAGE(OFFSET($BH$3,0,0,'Données projet'!$E$11+1,1))-AVERAGE(OFFSET($H$3,0,0,'Données projet'!$E$11+1,1))</f>
        <v>248.66193174773525</v>
      </c>
      <c r="BJ35" s="62">
        <f t="shared" si="38"/>
        <v>249.61655682981151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8.5709479558218309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4.7872899167637968</v>
      </c>
      <c r="BS35" s="24">
        <f t="shared" si="9"/>
        <v>13.358237872585628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34</v>
      </c>
      <c r="BY35" s="13">
        <f>IF('Données projet'!$A$114&gt;35,BY34+BX35-CG34,IF(A35&lt;'Données projet'!$A$114,$BV$205^A35,IF(A35='Données projet'!$A$114,'Données projet'!$B$114,BY34+BX35-CG34)))</f>
        <v>315.00000000000006</v>
      </c>
      <c r="BZ35" s="14">
        <f>BY35*VLOOKUP('Données projet'!$B$12,Paramètres!$A$1:$I$88,3,0)*VLOOKUP('Données projet'!$B$12,Paramètres!$A$1:$I$88,5,0)</f>
        <v>126.94500000000004</v>
      </c>
      <c r="CA35" s="14">
        <f t="shared" si="39"/>
        <v>33.289464491608861</v>
      </c>
      <c r="CB35" s="22">
        <f t="shared" si="10"/>
        <v>279.07502565621877</v>
      </c>
      <c r="CC35" s="62">
        <f t="shared" si="11"/>
        <v>520.04752813674406</v>
      </c>
      <c r="CD35" s="62">
        <f ca="1">AVERAGE(OFFSET($CC$3,0,0,'Données projet'!$E$12+1,1))-AVERAGE(OFFSET($H$3,0,0,'Données projet'!$E$12+1,1))</f>
        <v>432.59662347701629</v>
      </c>
      <c r="CE35" s="62">
        <f t="shared" si="40"/>
        <v>348.67401091099748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5.9349036494678922</v>
      </c>
      <c r="CL35" s="23">
        <f>EXP(-LN(2)/25)*CL34+(1-EXP(-LN(2)/25))/(LN(2)/25)*Calculateur!CG35*Calculateur!CI35*VLOOKUP('Données projet'!$B$12,Paramètres!$A$1:$I$88,3,0)*0.475*44/12</f>
        <v>52.836362062316034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58.771265711783926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44.6</v>
      </c>
      <c r="CT35" s="13">
        <f>IF('Données projet'!$A$140&gt;35,CT34+CS35-DB34,IF(A35&lt;'Données projet'!$A$140,$CQ$205^A35,IF(A35='Données projet'!$A$140,'Données projet'!$B$140,CT34+CS35-DB34)))</f>
        <v>377.2</v>
      </c>
      <c r="CU35" s="18">
        <f>CT35*VLOOKUP('Données projet'!$B$13,Paramètres!$A$1:$I$88,3,0)*VLOOKUP('Données projet'!$B$13,Paramètres!$A$1:$I$88,5,0)</f>
        <v>166.72240000000002</v>
      </c>
      <c r="CV35" s="14">
        <f t="shared" si="41"/>
        <v>42.35512054515479</v>
      </c>
      <c r="CW35" s="22">
        <f t="shared" si="13"/>
        <v>364.14334828281125</v>
      </c>
      <c r="CX35" s="62">
        <f t="shared" si="14"/>
        <v>605.11585076333654</v>
      </c>
      <c r="CY35" s="62">
        <f ca="1">AVERAGE(OFFSET($CX$3,0,0,'Données projet'!$E$13+1,1))-AVERAGE(OFFSET($H$3,0,0,'Données projet'!$E$13+1,1))</f>
        <v>582.26951914082088</v>
      </c>
      <c r="CZ35" s="62">
        <f t="shared" si="42"/>
        <v>434.80429932654715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15.506037710370338</v>
      </c>
      <c r="DG35" s="23">
        <f>EXP(-LN(2)/25)*DG34+(1-EXP(-LN(2)/25))/(LN(2)/25)*Calculateur!DB35*Calculateur!DD35*VLOOKUP('Données projet'!$B$13,Paramètres!$A$1:$I$88,3,0)*0.475*44/12</f>
        <v>71.553453361219681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87.059491071590017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19.2</v>
      </c>
      <c r="DO35" s="13">
        <f>IF('Données projet'!$A$166&gt;35,DO34+DN35-DW34,IF(A35&lt;'Données projet'!$A$166,$DL$205^A35,IF(A35='Données projet'!$A$166,'Données projet'!$B$166,DO34+DN35-DW34)))</f>
        <v>186.39999999999992</v>
      </c>
      <c r="DP35" s="18">
        <f>DO35*VLOOKUP('Données projet'!$B$14,Paramètres!$A$1:$I$88,3,0)*VLOOKUP('Données projet'!$B$14,Paramètres!$A$1:$I$88,5,0)</f>
        <v>89.658399999999972</v>
      </c>
      <c r="DQ35" s="14">
        <f t="shared" si="43"/>
        <v>24.482821074753055</v>
      </c>
      <c r="DR35" s="22">
        <f t="shared" si="16"/>
        <v>198.79596003852816</v>
      </c>
      <c r="DS35" s="62">
        <f t="shared" si="17"/>
        <v>439.76846251905351</v>
      </c>
      <c r="DT35" s="62">
        <f ca="1">AVERAGE(OFFSET($DS$3,0,0,'Données projet'!$E$14+1,1))-AVERAGE(OFFSET($H$3,0,0,'Données projet'!$E$14+1,1))</f>
        <v>273.24375559399846</v>
      </c>
      <c r="DU35" s="62">
        <f t="shared" si="44"/>
        <v>270.77718895097848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projet'!$B$14,Paramètres!$A$1:$I$88,3,0)*0.475*44/12</f>
        <v>8.7640309778780221</v>
      </c>
      <c r="EB35" s="23">
        <f>EXP(-LN(2)/25)*EB34+(1-EXP(-LN(2)/25))/(LN(2)/25)*Calculateur!DW35*Calculateur!DY35*VLOOKUP('Données projet'!$B$14,Paramètres!$A$1:$I$88,3,0)*0.475*44/12</f>
        <v>26.974367184468289</v>
      </c>
      <c r="EC35" s="23">
        <f>EXP(-LN(2)/2)*EC34+(1-EXP(-LN(2)/2))/(LN(2)/2)*DW35*DZ35*VLOOKUP('Données projet'!$B$14,Paramètres!$A$1:$I$88,3,0)*0.475*44/12</f>
        <v>0</v>
      </c>
      <c r="ED35" s="24">
        <f t="shared" si="18"/>
        <v>35.738398162346314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19.2</v>
      </c>
      <c r="EJ35" s="13">
        <f>IF('Données projet'!$A$192&gt;35,EJ34+EI35-ER34,IF(A35&lt;'Données projet'!$A$192,$EG$205^A35,IF(A35='Données projet'!$A$192,'Données projet'!$B$192,EJ34+EI35-ER34)))</f>
        <v>186.39999999999992</v>
      </c>
      <c r="EK35" s="18">
        <f>EJ35*VLOOKUP('Données projet'!$B$15,Paramètres!$A$1:$I$88,3,0)*VLOOKUP('Données projet'!$B$15,Paramètres!$A$1:$I$88,5,0)</f>
        <v>87.235199999999963</v>
      </c>
      <c r="EL35" s="14">
        <f t="shared" si="45"/>
        <v>23.897215775288807</v>
      </c>
      <c r="EM35" s="22">
        <f t="shared" si="19"/>
        <v>193.55562414196126</v>
      </c>
      <c r="EN35" s="62">
        <f t="shared" si="20"/>
        <v>434.52812662248658</v>
      </c>
      <c r="EO35" s="62">
        <f ca="1">AVERAGE(OFFSET($EN$3,0,0,'Données projet'!$E$15+1,1))-AVERAGE(OFFSET($H$3,0,0,'Données projet'!$E$15+1,1))</f>
        <v>267.26203506406682</v>
      </c>
      <c r="EP35" s="62">
        <f t="shared" si="46"/>
        <v>265.10857635664843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projet'!$B$15,Paramètres!$A$1:$I$88,3,0)*0.475*44/12</f>
        <v>8.5271652757732088</v>
      </c>
      <c r="EW35" s="23">
        <f>EXP(-LN(2)/25)*EW34+(1-EXP(-LN(2)/25))/(LN(2)/25)*Calculateur!ER35*Calculateur!ET35*VLOOKUP('Données projet'!$B$15,Paramètres!$A$1:$I$88,3,0)*0.475*44/12</f>
        <v>26.245330233536713</v>
      </c>
      <c r="EX35" s="23">
        <f>EXP(-LN(2)/2)*EX34+(1-EXP(-LN(2)/2))/(LN(2)/2)*ER35*EU35*VLOOKUP('Données projet'!$B$15,Paramètres!$A$1:$I$88,3,0)*0.475*44/12</f>
        <v>0</v>
      </c>
      <c r="EY35" s="24">
        <f t="shared" si="21"/>
        <v>34.77249550930992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7.2</v>
      </c>
      <c r="FE35" s="13">
        <f>IF('Données projet'!$A$218&gt;35,FE34+FD35-FM34,IF(A35&lt;'Données projet'!$A$218,$FB$205^A35,IF(A35='Données projet'!$A$218,'Données projet'!$B$218,FE34+FD35-FM34)))</f>
        <v>140.39999999999998</v>
      </c>
      <c r="FF35" s="18">
        <f>FE35*VLOOKUP('Données projet'!$B$16,Paramètres!$A$1:$I$88,3,0)*VLOOKUP('Données projet'!$B$16,Paramètres!$A$1:$I$88,5,0)</f>
        <v>102.94127999999998</v>
      </c>
      <c r="FG35" s="14">
        <f t="shared" si="47"/>
        <v>27.661530368687725</v>
      </c>
      <c r="FH35" s="22">
        <f t="shared" si="22"/>
        <v>227.46656139213107</v>
      </c>
      <c r="FI35" s="62">
        <f t="shared" si="23"/>
        <v>468.43906387265639</v>
      </c>
      <c r="FJ35" s="62">
        <f ca="1">AVERAGE(OFFSET($FI$3,0,0,'Données projet'!$E$16+1,1))-AVERAGE(OFFSET($H$3,0,0,'Données projet'!$E$16+1,1))</f>
        <v>207.66160354686221</v>
      </c>
      <c r="FK35" s="62">
        <f t="shared" si="48"/>
        <v>260.45879589483525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projet'!$B$16,Paramètres!$A$1:$I$88,3,0)*0.475*44/12</f>
        <v>4.9759484349639314</v>
      </c>
      <c r="FR35" s="23">
        <f>EXP(-LN(2)/25)*FR34+(1-EXP(-LN(2)/25))/(LN(2)/25)*Calculateur!FM35*Calculateur!FO35*VLOOKUP('Données projet'!$B$16,Paramètres!$A$1:$I$88,3,0)*0.475*44/12</f>
        <v>0</v>
      </c>
      <c r="FS35" s="23">
        <f>EXP(-LN(2)/2)*FS34+(1-EXP(-LN(2)/2))/(LN(2)/2)*FM35*FP35*VLOOKUP('Données projet'!$B$16,Paramètres!$A$1:$I$88,3,0)*0.475*44/12</f>
        <v>0</v>
      </c>
      <c r="FT35" s="24">
        <f t="shared" si="24"/>
        <v>4.9759484349639314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26.833333333333332</v>
      </c>
      <c r="N36" s="14">
        <f>IF('Données projet'!$A$36&gt;35,N35+M36-V35,IF(A36&lt;'Données projet'!$A$36,$K$205^A36,IF(A36='Données projet'!$A$36,'Données projet'!$B$36,N35+M36-V35)))</f>
        <v>391.50000000000006</v>
      </c>
      <c r="O36" s="14">
        <f>N36*VLOOKUP('Données projet'!$B$9,Paramètres!$A$1:$I$88,3,0)*VLOOKUP('Données projet'!$B$9,Paramètres!$A$1:$I$88,5,0)</f>
        <v>218.84850000000003</v>
      </c>
      <c r="P36" s="14">
        <f t="shared" si="33"/>
        <v>53.864536496889208</v>
      </c>
      <c r="Q36" s="22">
        <f t="shared" si="53"/>
        <v>474.97520523208203</v>
      </c>
      <c r="R36" s="62">
        <f t="shared" si="0"/>
        <v>716.85605106662274</v>
      </c>
      <c r="S36" s="62">
        <f ca="1">AVERAGE(OFFSET($R$3,0,0,'Données projet'!$E$9+1,1))-AVERAGE(OFFSET($H$3,0,0,'Données projet'!$E$9+1,1))</f>
        <v>378.13552372917843</v>
      </c>
      <c r="T36" s="62">
        <f t="shared" si="34"/>
        <v>528.97123645404952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15.865636802865152</v>
      </c>
      <c r="AA36" s="23">
        <f>EXP(-LN(2)/25)*AA35+(1-EXP(-LN(2)/25))/(LN(2)/25)*Calculateur!V36*Calculateur!X36*VLOOKUP('Données projet'!$B$9,Paramètres!$A$1:$I$88,3,0)*0.475*44/12</f>
        <v>35.296220691308683</v>
      </c>
      <c r="AB36" s="23">
        <f>EXP(-LN(2)/2)*AB35+(1-EXP(-LN(2)/2))/(LN(2)/2)*V36*Y36*VLOOKUP('Données projet'!$B$9,Paramètres!$A$1:$I$88,3,0)*0.475*44/12</f>
        <v>0</v>
      </c>
      <c r="AC36" s="24">
        <f t="shared" si="3"/>
        <v>51.161857494173837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5.25</v>
      </c>
      <c r="AI36" s="14">
        <f>IF('Données projet'!$A$62&gt;35,AI35+AH36-AQ35,IF(A36&lt;'Données projet'!$A$62,$AF$205^A36,IF(A36='Données projet'!$A$62,'Données projet'!$B$62,AI35+AH36-AQ35)))</f>
        <v>96</v>
      </c>
      <c r="AJ36" s="14">
        <f>AI36*VLOOKUP('Données projet'!$B$10,Paramètres!$A$1:$I$88,3,0)*VLOOKUP('Données projet'!$B$10,Paramètres!$A$1:$I$88,5,0)</f>
        <v>86.860799999999998</v>
      </c>
      <c r="AK36" s="14">
        <f t="shared" si="35"/>
        <v>23.806568296036275</v>
      </c>
      <c r="AL36" s="22">
        <f t="shared" si="4"/>
        <v>192.74566644892982</v>
      </c>
      <c r="AM36" s="62">
        <f t="shared" si="5"/>
        <v>434.62651228347056</v>
      </c>
      <c r="AN36" s="62">
        <f ca="1">AVERAGE(OFFSET($AM$3,0,0,'Données projet'!$E$10+1,1))-AVERAGE(OFFSET($H$3,0,0,'Données projet'!$E$10+1,1))</f>
        <v>536.3707066106856</v>
      </c>
      <c r="AO36" s="62">
        <f t="shared" si="36"/>
        <v>217.6280015974086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</v>
      </c>
      <c r="BD36" s="13">
        <f>IF('Données projet'!$A$88&gt;35,BD35+BC36-BL35,IF(A36&lt;'Données projet'!$A$88,$BA$205^A36,IF(A36='Données projet'!$A$88,'Données projet'!$B$88,BD35+BC36-BL35)))</f>
        <v>185.10000000000002</v>
      </c>
      <c r="BE36" s="14">
        <f>BD36*VLOOKUP('Données projet'!$B$11,Paramètres!$A$1:$I$88,3,0)*VLOOKUP('Données projet'!$B$11,Paramètres!$A$1:$I$88,5,0)</f>
        <v>110.68980000000002</v>
      </c>
      <c r="BF36" s="14">
        <f t="shared" si="37"/>
        <v>29.493447655514782</v>
      </c>
      <c r="BG36" s="22">
        <f t="shared" si="7"/>
        <v>244.1524896666883</v>
      </c>
      <c r="BH36" s="62">
        <f t="shared" si="8"/>
        <v>486.03333550122903</v>
      </c>
      <c r="BI36" s="62">
        <f ca="1">AVERAGE(OFFSET($BH$3,0,0,'Données projet'!$E$11+1,1))-AVERAGE(OFFSET($H$3,0,0,'Données projet'!$E$11+1,1))</f>
        <v>248.66193174773525</v>
      </c>
      <c r="BJ36" s="62">
        <f t="shared" si="38"/>
        <v>249.61655682981151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8.4028768941702197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3.3851251636496635</v>
      </c>
      <c r="BS36" s="24">
        <f t="shared" si="9"/>
        <v>11.788002057819883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34</v>
      </c>
      <c r="BY36" s="13">
        <f>IF('Données projet'!$A$114&gt;35,BY35+BX36-CG35,IF(A36&lt;'Données projet'!$A$114,$BV$205^A36,IF(A36='Données projet'!$A$114,'Données projet'!$B$114,BY35+BX36-CG35)))</f>
        <v>349.00000000000006</v>
      </c>
      <c r="BZ36" s="14">
        <f>BY36*VLOOKUP('Données projet'!$B$12,Paramètres!$A$1:$I$88,3,0)*VLOOKUP('Données projet'!$B$12,Paramètres!$A$1:$I$88,5,0)</f>
        <v>140.64700000000002</v>
      </c>
      <c r="CA36" s="14">
        <f t="shared" si="39"/>
        <v>36.445184311991923</v>
      </c>
      <c r="CB36" s="22">
        <f t="shared" si="10"/>
        <v>308.435554343386</v>
      </c>
      <c r="CC36" s="62">
        <f t="shared" si="11"/>
        <v>550.31640017792677</v>
      </c>
      <c r="CD36" s="62">
        <f ca="1">AVERAGE(OFFSET($CC$3,0,0,'Données projet'!$E$12+1,1))-AVERAGE(OFFSET($H$3,0,0,'Données projet'!$E$12+1,1))</f>
        <v>432.59662347701629</v>
      </c>
      <c r="CE36" s="62">
        <f t="shared" si="40"/>
        <v>348.67401091099748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5.8185238088356144</v>
      </c>
      <c r="CL36" s="23">
        <f>EXP(-LN(2)/25)*CL35+(1-EXP(-LN(2)/25))/(LN(2)/25)*Calculateur!CG36*Calculateur!CI36*VLOOKUP('Données projet'!$B$12,Paramètres!$A$1:$I$88,3,0)*0.475*44/12</f>
        <v>51.391548963178479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57.210072772014094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44.6</v>
      </c>
      <c r="CT36" s="13">
        <f>IF('Données projet'!$A$140&gt;35,CT35+CS36-DB35,IF(A36&lt;'Données projet'!$A$140,$CQ$205^A36,IF(A36='Données projet'!$A$140,'Données projet'!$B$140,CT35+CS36-DB35)))</f>
        <v>421.8</v>
      </c>
      <c r="CU36" s="18">
        <f>CT36*VLOOKUP('Données projet'!$B$13,Paramètres!$A$1:$I$88,3,0)*VLOOKUP('Données projet'!$B$13,Paramètres!$A$1:$I$88,5,0)</f>
        <v>186.43560000000002</v>
      </c>
      <c r="CV36" s="14">
        <f t="shared" si="41"/>
        <v>46.751048146974846</v>
      </c>
      <c r="CW36" s="22">
        <f t="shared" si="13"/>
        <v>406.13341218931458</v>
      </c>
      <c r="CX36" s="62">
        <f t="shared" si="14"/>
        <v>648.01425802385529</v>
      </c>
      <c r="CY36" s="62">
        <f ca="1">AVERAGE(OFFSET($CX$3,0,0,'Données projet'!$E$13+1,1))-AVERAGE(OFFSET($H$3,0,0,'Données projet'!$E$13+1,1))</f>
        <v>582.26951914082088</v>
      </c>
      <c r="CZ36" s="62">
        <f t="shared" si="42"/>
        <v>434.80429932654715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15.201973768619103</v>
      </c>
      <c r="DG36" s="23">
        <f>EXP(-LN(2)/25)*DG35+(1-EXP(-LN(2)/25))/(LN(2)/25)*Calculateur!DB36*Calculateur!DD36*VLOOKUP('Données projet'!$B$13,Paramètres!$A$1:$I$88,3,0)*0.475*44/12</f>
        <v>69.59682041622456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84.798794184843658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19.2</v>
      </c>
      <c r="DO36" s="13">
        <f>IF('Données projet'!$A$166&gt;35,DO35+DN36-DW35,IF(A36&lt;'Données projet'!$A$166,$DL$205^A36,IF(A36='Données projet'!$A$166,'Données projet'!$B$166,DO35+DN36-DW35)))</f>
        <v>205.59999999999991</v>
      </c>
      <c r="DP36" s="18">
        <f>DO36*VLOOKUP('Données projet'!$B$14,Paramètres!$A$1:$I$88,3,0)*VLOOKUP('Données projet'!$B$14,Paramètres!$A$1:$I$88,5,0)</f>
        <v>98.89359999999995</v>
      </c>
      <c r="DQ36" s="14">
        <f t="shared" si="43"/>
        <v>26.698242573669557</v>
      </c>
      <c r="DR36" s="22">
        <f t="shared" si="16"/>
        <v>218.73912581580771</v>
      </c>
      <c r="DS36" s="62">
        <f t="shared" si="17"/>
        <v>460.61997165034848</v>
      </c>
      <c r="DT36" s="62">
        <f ca="1">AVERAGE(OFFSET($DS$3,0,0,'Données projet'!$E$14+1,1))-AVERAGE(OFFSET($H$3,0,0,'Données projet'!$E$14+1,1))</f>
        <v>273.24375559399846</v>
      </c>
      <c r="DU36" s="62">
        <f t="shared" si="44"/>
        <v>270.77718895097848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projet'!$B$14,Paramètres!$A$1:$I$88,3,0)*0.475*44/12</f>
        <v>8.5921736759329033</v>
      </c>
      <c r="EB36" s="23">
        <f>EXP(-LN(2)/25)*EB35+(1-EXP(-LN(2)/25))/(LN(2)/25)*Calculateur!DW36*Calculateur!DY36*VLOOKUP('Données projet'!$B$14,Paramètres!$A$1:$I$88,3,0)*0.475*44/12</f>
        <v>26.236751695288685</v>
      </c>
      <c r="EC36" s="23">
        <f>EXP(-LN(2)/2)*EC35+(1-EXP(-LN(2)/2))/(LN(2)/2)*DW36*DZ36*VLOOKUP('Données projet'!$B$14,Paramètres!$A$1:$I$88,3,0)*0.475*44/12</f>
        <v>0</v>
      </c>
      <c r="ED36" s="24">
        <f t="shared" si="18"/>
        <v>34.828925371221587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19.2</v>
      </c>
      <c r="EJ36" s="13">
        <f>IF('Données projet'!$A$192&gt;35,EJ35+EI36-ER35,IF(A36&lt;'Données projet'!$A$192,$EG$205^A36,IF(A36='Données projet'!$A$192,'Données projet'!$B$192,EJ35+EI36-ER35)))</f>
        <v>205.59999999999991</v>
      </c>
      <c r="EK36" s="18">
        <f>EJ36*VLOOKUP('Données projet'!$B$15,Paramètres!$A$1:$I$88,3,0)*VLOOKUP('Données projet'!$B$15,Paramètres!$A$1:$I$88,5,0)</f>
        <v>96.220799999999954</v>
      </c>
      <c r="EL36" s="14">
        <f t="shared" si="45"/>
        <v>26.059646543833527</v>
      </c>
      <c r="EM36" s="22">
        <f t="shared" si="19"/>
        <v>212.97177773050998</v>
      </c>
      <c r="EN36" s="62">
        <f t="shared" si="20"/>
        <v>454.85262356505075</v>
      </c>
      <c r="EO36" s="62">
        <f ca="1">AVERAGE(OFFSET($EN$3,0,0,'Données projet'!$E$15+1,1))-AVERAGE(OFFSET($H$3,0,0,'Données projet'!$E$15+1,1))</f>
        <v>267.26203506406682</v>
      </c>
      <c r="EP36" s="62">
        <f t="shared" si="46"/>
        <v>265.10857635664843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projet'!$B$15,Paramètres!$A$1:$I$88,3,0)*0.475*44/12</f>
        <v>8.3599527657725528</v>
      </c>
      <c r="EW36" s="23">
        <f>EXP(-LN(2)/25)*EW35+(1-EXP(-LN(2)/25))/(LN(2)/25)*Calculateur!ER36*Calculateur!ET36*VLOOKUP('Données projet'!$B$15,Paramètres!$A$1:$I$88,3,0)*0.475*44/12</f>
        <v>25.527650298118719</v>
      </c>
      <c r="EX36" s="23">
        <f>EXP(-LN(2)/2)*EX35+(1-EXP(-LN(2)/2))/(LN(2)/2)*ER36*EU36*VLOOKUP('Données projet'!$B$15,Paramètres!$A$1:$I$88,3,0)*0.475*44/12</f>
        <v>0</v>
      </c>
      <c r="EY36" s="24">
        <f t="shared" si="21"/>
        <v>33.88760306389127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7.2</v>
      </c>
      <c r="FE36" s="13">
        <f>IF('Données projet'!$A$218&gt;35,FE35+FD36-FM35,IF(A36&lt;'Données projet'!$A$218,$FB$205^A36,IF(A36='Données projet'!$A$218,'Données projet'!$B$218,FE35+FD36-FM35)))</f>
        <v>147.59999999999997</v>
      </c>
      <c r="FF36" s="18">
        <f>FE36*VLOOKUP('Données projet'!$B$16,Paramètres!$A$1:$I$88,3,0)*VLOOKUP('Données projet'!$B$16,Paramètres!$A$1:$I$88,5,0)</f>
        <v>108.22031999999999</v>
      </c>
      <c r="FG36" s="14">
        <f t="shared" si="47"/>
        <v>28.911280861653452</v>
      </c>
      <c r="FH36" s="22">
        <f t="shared" si="22"/>
        <v>238.83753816737973</v>
      </c>
      <c r="FI36" s="62">
        <f t="shared" si="23"/>
        <v>480.71838400192047</v>
      </c>
      <c r="FJ36" s="62">
        <f ca="1">AVERAGE(OFFSET($FI$3,0,0,'Données projet'!$E$16+1,1))-AVERAGE(OFFSET($H$3,0,0,'Données projet'!$E$16+1,1))</f>
        <v>207.66160354686221</v>
      </c>
      <c r="FK36" s="62">
        <f t="shared" si="48"/>
        <v>260.45879589483525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projet'!$B$16,Paramètres!$A$1:$I$88,3,0)*0.475*44/12</f>
        <v>4.8783731211831496</v>
      </c>
      <c r="FR36" s="23">
        <f>EXP(-LN(2)/25)*FR35+(1-EXP(-LN(2)/25))/(LN(2)/25)*Calculateur!FM36*Calculateur!FO36*VLOOKUP('Données projet'!$B$16,Paramètres!$A$1:$I$88,3,0)*0.475*44/12</f>
        <v>0</v>
      </c>
      <c r="FS36" s="23">
        <f>EXP(-LN(2)/2)*FS35+(1-EXP(-LN(2)/2))/(LN(2)/2)*FM36*FP36*VLOOKUP('Données projet'!$B$16,Paramètres!$A$1:$I$88,3,0)*0.475*44/12</f>
        <v>0</v>
      </c>
      <c r="FT36" s="24">
        <f t="shared" si="24"/>
        <v>4.8783731211831496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26.833333333333332</v>
      </c>
      <c r="N37" s="14">
        <f>IF('Données projet'!$A$36&gt;35,N36+M37-V36,IF(A37&lt;'Données projet'!$A$36,$K$205^A37,IF(A37='Données projet'!$A$36,'Données projet'!$B$36,N36+M37-V36)))</f>
        <v>418.33333333333337</v>
      </c>
      <c r="O37" s="14">
        <f>N37*VLOOKUP('Données projet'!$B$9,Paramètres!$A$1:$I$88,3,0)*VLOOKUP('Données projet'!$B$9,Paramètres!$A$1:$I$88,5,0)</f>
        <v>233.84833333333336</v>
      </c>
      <c r="P37" s="14">
        <f t="shared" si="33"/>
        <v>57.113975877934628</v>
      </c>
      <c r="Q37" s="22">
        <f t="shared" si="53"/>
        <v>506.75935520962508</v>
      </c>
      <c r="R37" s="62">
        <f t="shared" si="0"/>
        <v>749.53278667174072</v>
      </c>
      <c r="S37" s="62">
        <f ca="1">AVERAGE(OFFSET($R$3,0,0,'Données projet'!$E$9+1,1))-AVERAGE(OFFSET($H$3,0,0,'Données projet'!$E$9+1,1))</f>
        <v>378.13552372917843</v>
      </c>
      <c r="T37" s="62">
        <f t="shared" si="34"/>
        <v>528.97123645404952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15.554521342243884</v>
      </c>
      <c r="AA37" s="23">
        <f>EXP(-LN(2)/25)*AA36+(1-EXP(-LN(2)/25))/(LN(2)/25)*Calculateur!V37*Calculateur!X37*VLOOKUP('Données projet'!$B$9,Paramètres!$A$1:$I$88,3,0)*0.475*44/12</f>
        <v>34.331043680357268</v>
      </c>
      <c r="AB37" s="23">
        <f>EXP(-LN(2)/2)*AB36+(1-EXP(-LN(2)/2))/(LN(2)/2)*V37*Y37*VLOOKUP('Données projet'!$B$9,Paramètres!$A$1:$I$88,3,0)*0.475*44/12</f>
        <v>0</v>
      </c>
      <c r="AC37" s="24">
        <f t="shared" si="3"/>
        <v>49.885565022601156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5.25</v>
      </c>
      <c r="AI37" s="14">
        <f>IF('Données projet'!$A$62&gt;35,AI36+AH37-AQ36,IF(A37&lt;'Données projet'!$A$62,$AF$205^A37,IF(A37='Données projet'!$A$62,'Données projet'!$B$62,AI36+AH37-AQ36)))</f>
        <v>101.25</v>
      </c>
      <c r="AJ37" s="14">
        <f>AI37*VLOOKUP('Données projet'!$B$10,Paramètres!$A$1:$I$88,3,0)*VLOOKUP('Données projet'!$B$10,Paramètres!$A$1:$I$88,5,0)</f>
        <v>91.61099999999999</v>
      </c>
      <c r="AK37" s="14">
        <f t="shared" si="35"/>
        <v>24.953357304714149</v>
      </c>
      <c r="AL37" s="22">
        <f t="shared" si="4"/>
        <v>203.01625563904375</v>
      </c>
      <c r="AM37" s="62">
        <f t="shared" si="5"/>
        <v>445.7896871011593</v>
      </c>
      <c r="AN37" s="62">
        <f ca="1">AVERAGE(OFFSET($AM$3,0,0,'Données projet'!$E$10+1,1))-AVERAGE(OFFSET($H$3,0,0,'Données projet'!$E$10+1,1))</f>
        <v>536.3707066106856</v>
      </c>
      <c r="AO37" s="62">
        <f t="shared" si="36"/>
        <v>217.6280015974086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198.1</v>
      </c>
      <c r="BB37" s="13">
        <f>VLOOKUP(A37,'Données projet'!$A$87:$I$107,9,0)</f>
        <v>13</v>
      </c>
      <c r="BC37" s="13">
        <f t="array" ref="BC37">INDEX(BB:BB,MIN(IF(ISNUMBER(BB37:BB233),ROW(BB37:BB233),"")))</f>
        <v>13</v>
      </c>
      <c r="BD37" s="13">
        <f>IF('Données projet'!$A$88&gt;35,BD36+BC37-BL36,IF(A37&lt;'Données projet'!$A$88,$BA$205^A37,IF(A37='Données projet'!$A$88,'Données projet'!$B$88,BD36+BC37-BL36)))</f>
        <v>198.10000000000002</v>
      </c>
      <c r="BE37" s="14">
        <f>BD37*VLOOKUP('Données projet'!$B$11,Paramètres!$A$1:$I$88,3,0)*VLOOKUP('Données projet'!$B$11,Paramètres!$A$1:$I$88,5,0)</f>
        <v>118.46380000000003</v>
      </c>
      <c r="BF37" s="14">
        <f t="shared" si="37"/>
        <v>31.316437641959446</v>
      </c>
      <c r="BG37" s="22">
        <f t="shared" si="7"/>
        <v>260.86724722641276</v>
      </c>
      <c r="BH37" s="62">
        <f t="shared" si="8"/>
        <v>503.64067868852834</v>
      </c>
      <c r="BI37" s="62">
        <f ca="1">AVERAGE(OFFSET($BH$3,0,0,'Données projet'!$E$11+1,1))-AVERAGE(OFFSET($H$3,0,0,'Données projet'!$E$11+1,1))</f>
        <v>248.66193174773525</v>
      </c>
      <c r="BJ37" s="62">
        <f t="shared" si="38"/>
        <v>249.61655682981151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46.2</v>
      </c>
      <c r="BM37" s="17">
        <f>IF(ISNA(VLOOKUP(A37,'Données projet'!$A$87:$I$107,5,0)),0%,VLOOKUP(A37,'Données projet'!$A$87:$I$107,5,0)*VLOOKUP('Données projet'!$B$11,Paramètres!$A$1:$I$88,7,0))</f>
        <v>0.18000000000000002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0.6</v>
      </c>
      <c r="BP37" s="23">
        <f>EXP(-LN(2)/35)*BP36+(1-EXP(-LN(2)/35))/(LN(2)/35)*BL37*BM37*VLOOKUP('Données projet'!$B$11,Paramètres!$A$1:$I$88,3,0)*0.475*44/12</f>
        <v>14.83506419036263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21.162161572267216</v>
      </c>
      <c r="BS37" s="24">
        <f t="shared" si="9"/>
        <v>35.997225762629846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34</v>
      </c>
      <c r="BY37" s="13">
        <f>IF('Données projet'!$A$114&gt;35,BY36+BX37-CG36,IF(A37&lt;'Données projet'!$A$114,$BV$205^A37,IF(A37='Données projet'!$A$114,'Données projet'!$B$114,BY36+BX37-CG36)))</f>
        <v>383.00000000000006</v>
      </c>
      <c r="BZ37" s="14">
        <f>BY37*VLOOKUP('Données projet'!$B$12,Paramètres!$A$1:$I$88,3,0)*VLOOKUP('Données projet'!$B$12,Paramètres!$A$1:$I$88,5,0)</f>
        <v>154.34900000000002</v>
      </c>
      <c r="CA37" s="14">
        <f t="shared" si="39"/>
        <v>39.565261486199752</v>
      </c>
      <c r="CB37" s="22">
        <f t="shared" si="10"/>
        <v>337.73400542179792</v>
      </c>
      <c r="CC37" s="62">
        <f t="shared" si="11"/>
        <v>580.50743688391344</v>
      </c>
      <c r="CD37" s="62">
        <f ca="1">AVERAGE(OFFSET($CC$3,0,0,'Données projet'!$E$12+1,1))-AVERAGE(OFFSET($H$3,0,0,'Données projet'!$E$12+1,1))</f>
        <v>432.59662347701629</v>
      </c>
      <c r="CE37" s="62">
        <f t="shared" si="40"/>
        <v>348.67401091099748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5.7044261058934413</v>
      </c>
      <c r="CL37" s="23">
        <f>EXP(-LN(2)/25)*CL36+(1-EXP(-LN(2)/25))/(LN(2)/25)*Calculateur!CG37*Calculateur!CI37*VLOOKUP('Données projet'!$B$12,Paramètres!$A$1:$I$88,3,0)*0.475*44/12</f>
        <v>49.986244354216261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55.6906704601097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44.6</v>
      </c>
      <c r="CT37" s="13">
        <f>IF('Données projet'!$A$140&gt;35,CT36+CS37-DB36,IF(A37&lt;'Données projet'!$A$140,$CQ$205^A37,IF(A37='Données projet'!$A$140,'Données projet'!$B$140,CT36+CS37-DB36)))</f>
        <v>466.40000000000003</v>
      </c>
      <c r="CU37" s="18">
        <f>CT37*VLOOKUP('Données projet'!$B$13,Paramètres!$A$1:$I$88,3,0)*VLOOKUP('Données projet'!$B$13,Paramètres!$A$1:$I$88,5,0)</f>
        <v>206.14880000000002</v>
      </c>
      <c r="CV37" s="14">
        <f t="shared" si="41"/>
        <v>51.093097163062346</v>
      </c>
      <c r="CW37" s="22">
        <f t="shared" si="13"/>
        <v>448.02963755900032</v>
      </c>
      <c r="CX37" s="62">
        <f t="shared" si="14"/>
        <v>690.8030690211159</v>
      </c>
      <c r="CY37" s="62">
        <f ca="1">AVERAGE(OFFSET($CX$3,0,0,'Données projet'!$E$13+1,1))-AVERAGE(OFFSET($H$3,0,0,'Données projet'!$E$13+1,1))</f>
        <v>582.26951914082088</v>
      </c>
      <c r="CZ37" s="62">
        <f t="shared" si="42"/>
        <v>434.80429932654715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14.90387233530492</v>
      </c>
      <c r="DG37" s="23">
        <f>EXP(-LN(2)/25)*DG36+(1-EXP(-LN(2)/25))/(LN(2)/25)*Calculateur!DB37*Calculateur!DD37*VLOOKUP('Données projet'!$B$13,Paramètres!$A$1:$I$88,3,0)*0.475*44/12</f>
        <v>67.693691702005182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82.597564037310107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19.2</v>
      </c>
      <c r="DO37" s="13">
        <f>IF('Données projet'!$A$166&gt;35,DO36+DN37-DW36,IF(A37&lt;'Données projet'!$A$166,$DL$205^A37,IF(A37='Données projet'!$A$166,'Données projet'!$B$166,DO36+DN37-DW36)))</f>
        <v>224.7999999999999</v>
      </c>
      <c r="DP37" s="18">
        <f>DO37*VLOOKUP('Données projet'!$B$14,Paramètres!$A$1:$I$88,3,0)*VLOOKUP('Données projet'!$B$14,Paramètres!$A$1:$I$88,5,0)</f>
        <v>108.12879999999996</v>
      </c>
      <c r="DQ37" s="14">
        <f t="shared" si="43"/>
        <v>28.889675993555052</v>
      </c>
      <c r="DR37" s="22">
        <f t="shared" si="16"/>
        <v>238.64051235544162</v>
      </c>
      <c r="DS37" s="62">
        <f t="shared" si="17"/>
        <v>481.4139438175572</v>
      </c>
      <c r="DT37" s="62">
        <f ca="1">AVERAGE(OFFSET($DS$3,0,0,'Données projet'!$E$14+1,1))-AVERAGE(OFFSET($H$3,0,0,'Données projet'!$E$14+1,1))</f>
        <v>273.24375559399846</v>
      </c>
      <c r="DU37" s="62">
        <f t="shared" si="44"/>
        <v>270.77718895097848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projet'!$B$14,Paramètres!$A$1:$I$88,3,0)*0.475*44/12</f>
        <v>8.4236863908563251</v>
      </c>
      <c r="EB37" s="23">
        <f>EXP(-LN(2)/25)*EB36+(1-EXP(-LN(2)/25))/(LN(2)/25)*Calculateur!DW37*Calculateur!DY37*VLOOKUP('Données projet'!$B$14,Paramètres!$A$1:$I$88,3,0)*0.475*44/12</f>
        <v>25.519306340450211</v>
      </c>
      <c r="EC37" s="23">
        <f>EXP(-LN(2)/2)*EC36+(1-EXP(-LN(2)/2))/(LN(2)/2)*DW37*DZ37*VLOOKUP('Données projet'!$B$14,Paramètres!$A$1:$I$88,3,0)*0.475*44/12</f>
        <v>0</v>
      </c>
      <c r="ED37" s="24">
        <f t="shared" si="18"/>
        <v>33.942992731306532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19.2</v>
      </c>
      <c r="EJ37" s="13">
        <f>IF('Données projet'!$A$192&gt;35,EJ36+EI37-ER36,IF(A37&lt;'Données projet'!$A$192,$EG$205^A37,IF(A37='Données projet'!$A$192,'Données projet'!$B$192,EJ36+EI37-ER36)))</f>
        <v>224.7999999999999</v>
      </c>
      <c r="EK37" s="18">
        <f>EJ37*VLOOKUP('Données projet'!$B$15,Paramètres!$A$1:$I$88,3,0)*VLOOKUP('Données projet'!$B$15,Paramètres!$A$1:$I$88,5,0)</f>
        <v>105.20639999999995</v>
      </c>
      <c r="EL37" s="14">
        <f t="shared" si="45"/>
        <v>28.198663004897575</v>
      </c>
      <c r="EM37" s="22">
        <f t="shared" si="19"/>
        <v>232.34715140019651</v>
      </c>
      <c r="EN37" s="62">
        <f t="shared" si="20"/>
        <v>475.12058286231206</v>
      </c>
      <c r="EO37" s="62">
        <f ca="1">AVERAGE(OFFSET($EN$3,0,0,'Données projet'!$E$15+1,1))-AVERAGE(OFFSET($H$3,0,0,'Données projet'!$E$15+1,1))</f>
        <v>267.26203506406682</v>
      </c>
      <c r="EP37" s="62">
        <f t="shared" si="46"/>
        <v>265.10857635664843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projet'!$B$15,Paramètres!$A$1:$I$88,3,0)*0.475*44/12</f>
        <v>8.1960191911034492</v>
      </c>
      <c r="EW37" s="23">
        <f>EXP(-LN(2)/25)*EW36+(1-EXP(-LN(2)/25))/(LN(2)/25)*Calculateur!ER37*Calculateur!ET37*VLOOKUP('Données projet'!$B$15,Paramètres!$A$1:$I$88,3,0)*0.475*44/12</f>
        <v>24.829595358275878</v>
      </c>
      <c r="EX37" s="23">
        <f>EXP(-LN(2)/2)*EX36+(1-EXP(-LN(2)/2))/(LN(2)/2)*ER37*EU37*VLOOKUP('Données projet'!$B$15,Paramètres!$A$1:$I$88,3,0)*0.475*44/12</f>
        <v>0</v>
      </c>
      <c r="EY37" s="24">
        <f t="shared" si="21"/>
        <v>33.025614549379327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7.2</v>
      </c>
      <c r="FE37" s="13">
        <f>IF('Données projet'!$A$218&gt;35,FE36+FD37-FM36,IF(A37&lt;'Données projet'!$A$218,$FB$205^A37,IF(A37='Données projet'!$A$218,'Données projet'!$B$218,FE36+FD37-FM36)))</f>
        <v>154.79999999999995</v>
      </c>
      <c r="FF37" s="18">
        <f>FE37*VLOOKUP('Données projet'!$B$16,Paramètres!$A$1:$I$88,3,0)*VLOOKUP('Données projet'!$B$16,Paramètres!$A$1:$I$88,5,0)</f>
        <v>113.49935999999995</v>
      </c>
      <c r="FG37" s="14">
        <f t="shared" si="47"/>
        <v>30.153952354273027</v>
      </c>
      <c r="FH37" s="22">
        <f t="shared" si="22"/>
        <v>250.19618568369205</v>
      </c>
      <c r="FI37" s="62">
        <f t="shared" si="23"/>
        <v>492.96961714580766</v>
      </c>
      <c r="FJ37" s="62">
        <f ca="1">AVERAGE(OFFSET($FI$3,0,0,'Données projet'!$E$16+1,1))-AVERAGE(OFFSET($H$3,0,0,'Données projet'!$E$16+1,1))</f>
        <v>207.66160354686221</v>
      </c>
      <c r="FK37" s="62">
        <f t="shared" si="48"/>
        <v>260.45879589483525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projet'!$B$16,Paramètres!$A$1:$I$88,3,0)*0.475*44/12</f>
        <v>4.782711199790544</v>
      </c>
      <c r="FR37" s="23">
        <f>EXP(-LN(2)/25)*FR36+(1-EXP(-LN(2)/25))/(LN(2)/25)*Calculateur!FM37*Calculateur!FO37*VLOOKUP('Données projet'!$B$16,Paramètres!$A$1:$I$88,3,0)*0.475*44/12</f>
        <v>0</v>
      </c>
      <c r="FS37" s="23">
        <f>EXP(-LN(2)/2)*FS36+(1-EXP(-LN(2)/2))/(LN(2)/2)*FM37*FP37*VLOOKUP('Données projet'!$B$16,Paramètres!$A$1:$I$88,3,0)*0.475*44/12</f>
        <v>0</v>
      </c>
      <c r="FT37" s="24">
        <f t="shared" si="24"/>
        <v>4.782711199790544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26.833333333333332</v>
      </c>
      <c r="N38" s="14">
        <f>IF('Données projet'!$A$36&gt;35,N37+M38-V37,IF(A38&lt;'Données projet'!$A$36,$K$205^A38,IF(A38='Données projet'!$A$36,'Données projet'!$B$36,N37+M38-V37)))</f>
        <v>445.16666666666669</v>
      </c>
      <c r="O38" s="14">
        <f>N38*VLOOKUP('Données projet'!$B$9,Paramètres!$A$1:$I$88,3,0)*VLOOKUP('Données projet'!$B$9,Paramètres!$A$1:$I$88,5,0)</f>
        <v>248.84816666666669</v>
      </c>
      <c r="P38" s="14">
        <f t="shared" si="33"/>
        <v>60.339226828369291</v>
      </c>
      <c r="Q38" s="22">
        <f t="shared" si="53"/>
        <v>538.50137700385426</v>
      </c>
      <c r="R38" s="62">
        <f t="shared" si="0"/>
        <v>782.15190972842879</v>
      </c>
      <c r="S38" s="62">
        <f ca="1">AVERAGE(OFFSET($R$3,0,0,'Données projet'!$E$9+1,1))-AVERAGE(OFFSET($H$3,0,0,'Données projet'!$E$9+1,1))</f>
        <v>378.13552372917843</v>
      </c>
      <c r="T38" s="62">
        <f t="shared" si="34"/>
        <v>528.97123645404952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15.249506666043706</v>
      </c>
      <c r="AA38" s="23">
        <f>EXP(-LN(2)/25)*AA37+(1-EXP(-LN(2)/25))/(LN(2)/25)*Calculateur!V38*Calculateur!X38*VLOOKUP('Données projet'!$B$9,Paramètres!$A$1:$I$88,3,0)*0.475*44/12</f>
        <v>33.392259485526779</v>
      </c>
      <c r="AB38" s="23">
        <f>EXP(-LN(2)/2)*AB37+(1-EXP(-LN(2)/2))/(LN(2)/2)*V38*Y38*VLOOKUP('Données projet'!$B$9,Paramètres!$A$1:$I$88,3,0)*0.475*44/12</f>
        <v>0</v>
      </c>
      <c r="AC38" s="24">
        <f t="shared" si="3"/>
        <v>48.641766151570486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5.25</v>
      </c>
      <c r="AI38" s="14">
        <f>IF('Données projet'!$A$62&gt;35,AI37+AH38-AQ37,IF(A38&lt;'Données projet'!$A$62,$AF$205^A38,IF(A38='Données projet'!$A$62,'Données projet'!$B$62,AI37+AH38-AQ37)))</f>
        <v>106.5</v>
      </c>
      <c r="AJ38" s="14">
        <f>AI38*VLOOKUP('Données projet'!$B$10,Paramètres!$A$1:$I$88,3,0)*VLOOKUP('Données projet'!$B$10,Paramètres!$A$1:$I$88,5,0)</f>
        <v>96.361199999999997</v>
      </c>
      <c r="AK38" s="14">
        <f t="shared" si="35"/>
        <v>26.093242384256545</v>
      </c>
      <c r="AL38" s="22">
        <f t="shared" si="4"/>
        <v>213.27482048591344</v>
      </c>
      <c r="AM38" s="62">
        <f t="shared" si="5"/>
        <v>456.92535321048797</v>
      </c>
      <c r="AN38" s="62">
        <f ca="1">AVERAGE(OFFSET($AM$3,0,0,'Données projet'!$E$10+1,1))-AVERAGE(OFFSET($H$3,0,0,'Données projet'!$E$10+1,1))</f>
        <v>536.3707066106856</v>
      </c>
      <c r="AO38" s="62">
        <f t="shared" si="36"/>
        <v>217.6280015974086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13.700000000000003</v>
      </c>
      <c r="BD38" s="13">
        <f>IF('Données projet'!$A$88&gt;35,BD37+BC38-BL37,IF(A38&lt;'Données projet'!$A$88,$BA$205^A38,IF(A38='Données projet'!$A$88,'Données projet'!$B$88,BD37+BC38-BL37)))</f>
        <v>165.60000000000002</v>
      </c>
      <c r="BE38" s="14">
        <f>BD38*VLOOKUP('Données projet'!$B$11,Paramètres!$A$1:$I$88,3,0)*VLOOKUP('Données projet'!$B$11,Paramètres!$A$1:$I$88,5,0)</f>
        <v>99.028800000000018</v>
      </c>
      <c r="BF38" s="14">
        <f t="shared" si="37"/>
        <v>26.730491283721712</v>
      </c>
      <c r="BG38" s="22">
        <f t="shared" si="7"/>
        <v>219.03076565248196</v>
      </c>
      <c r="BH38" s="62">
        <f t="shared" si="8"/>
        <v>462.68129837705646</v>
      </c>
      <c r="BI38" s="62">
        <f ca="1">AVERAGE(OFFSET($BH$3,0,0,'Données projet'!$E$11+1,1))-AVERAGE(OFFSET($H$3,0,0,'Données projet'!$E$11+1,1))</f>
        <v>248.66193174773525</v>
      </c>
      <c r="BJ38" s="62">
        <f t="shared" si="38"/>
        <v>249.61655682981151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14.54415763008531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14.96390795231552</v>
      </c>
      <c r="BS38" s="24">
        <f t="shared" si="9"/>
        <v>29.508065582400832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417</v>
      </c>
      <c r="BW38" s="13">
        <f>VLOOKUP(A38,'Données projet'!$A$113:$I$133,9,0)</f>
        <v>34</v>
      </c>
      <c r="BX38" s="13">
        <f t="array" ref="BX38">INDEX(BW:BW,MIN(IF(ISNUMBER(BW38:BW234),ROW(BW38:BW234),"")))</f>
        <v>34</v>
      </c>
      <c r="BY38" s="13">
        <f>IF('Données projet'!$A$114&gt;35,BY37+BX38-CG37,IF(A38&lt;'Données projet'!$A$114,$BV$205^A38,IF(A38='Données projet'!$A$114,'Données projet'!$B$114,BY37+BX38-CG37)))</f>
        <v>417.00000000000006</v>
      </c>
      <c r="BZ38" s="14">
        <f>BY38*VLOOKUP('Données projet'!$B$12,Paramètres!$A$1:$I$88,3,0)*VLOOKUP('Données projet'!$B$12,Paramètres!$A$1:$I$88,5,0)</f>
        <v>168.05100000000002</v>
      </c>
      <c r="CA38" s="14">
        <f t="shared" si="39"/>
        <v>42.65321990955615</v>
      </c>
      <c r="CB38" s="22">
        <f t="shared" si="10"/>
        <v>366.976516342477</v>
      </c>
      <c r="CC38" s="62">
        <f t="shared" si="11"/>
        <v>610.62704906705153</v>
      </c>
      <c r="CD38" s="62">
        <f ca="1">AVERAGE(OFFSET($CC$3,0,0,'Données projet'!$E$12+1,1))-AVERAGE(OFFSET($H$3,0,0,'Données projet'!$E$12+1,1))</f>
        <v>432.59662347701629</v>
      </c>
      <c r="CE38" s="62">
        <f t="shared" si="40"/>
        <v>348.67401091099748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84</v>
      </c>
      <c r="CH38" s="17">
        <f>IF(ISNA(VLOOKUP(A38,'Données projet'!$A$113:$I$133,5,0)),0%,VLOOKUP(A38,'Données projet'!$A$113:$I$133,5,0)*VLOOKUP('Données projet'!$B$12,Paramètres!$A$1:$I$88,7,0))</f>
        <v>0.13750000000000001</v>
      </c>
      <c r="CI38" s="17">
        <f>IF(ISNA(VLOOKUP(A38,'Données projet'!$A$113:$I$133,6,0)),0%,VLOOKUP(A38,'Données projet'!$A$113:$I$133,6,0)*VLOOKUP('Données projet'!$B$12,Paramètres!$A$1:$I$88,7,0))</f>
        <v>0.41250000000000003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11.767259031824892</v>
      </c>
      <c r="CL38" s="23">
        <f>EXP(-LN(2)/25)*CL37+(1-EXP(-LN(2)/25))/(LN(2)/25)*Calculateur!CG38*Calculateur!CI38*VLOOKUP('Données projet'!$B$12,Paramètres!$A$1:$I$88,3,0)*0.475*44/12</f>
        <v>67.070511241107809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78.837770272932701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511</v>
      </c>
      <c r="CR38" s="13">
        <f>VLOOKUP(A38,'Données projet'!$A$139:$I$159,9,0)</f>
        <v>44.6</v>
      </c>
      <c r="CS38" s="13">
        <f t="array" ref="CS38">INDEX(CR:CR,MIN(IF(ISNUMBER(CR38:CR234),ROW(CR38:CR234),"")))</f>
        <v>44.6</v>
      </c>
      <c r="CT38" s="13">
        <f>IF('Données projet'!$A$140&gt;35,CT37+CS38-DB37,IF(A38&lt;'Données projet'!$A$140,$CQ$205^A38,IF(A38='Données projet'!$A$140,'Données projet'!$B$140,CT37+CS38-DB37)))</f>
        <v>511.00000000000006</v>
      </c>
      <c r="CU38" s="18">
        <f>CT38*VLOOKUP('Données projet'!$B$13,Paramètres!$A$1:$I$88,3,0)*VLOOKUP('Données projet'!$B$13,Paramètres!$A$1:$I$88,5,0)</f>
        <v>225.86200000000005</v>
      </c>
      <c r="CV38" s="14">
        <f t="shared" si="41"/>
        <v>55.387005983013452</v>
      </c>
      <c r="CW38" s="22">
        <f t="shared" si="13"/>
        <v>489.8420187537485</v>
      </c>
      <c r="CX38" s="62">
        <f t="shared" si="14"/>
        <v>733.49255147832298</v>
      </c>
      <c r="CY38" s="62">
        <f ca="1">AVERAGE(OFFSET($CX$3,0,0,'Données projet'!$E$13+1,1))-AVERAGE(OFFSET($H$3,0,0,'Données projet'!$E$13+1,1))</f>
        <v>582.26951914082088</v>
      </c>
      <c r="CZ38" s="62">
        <f t="shared" si="42"/>
        <v>434.80429932654715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105</v>
      </c>
      <c r="DC38" s="17">
        <f>IF(ISNA(VLOOKUP(A38,'Données projet'!$A$139:$I$159,5,0)),0%,VLOOKUP(A38,'Données projet'!$A$139:$I$159,5,0)*VLOOKUP('Données projet'!$B$13,Paramètres!$A$1:$I$88,7,0))</f>
        <v>0.16500000000000001</v>
      </c>
      <c r="DD38" s="17">
        <f>IF(ISNA(VLOOKUP(A38,'Données projet'!$A$139:$I$159,6,0)),0%,VLOOKUP(A38,'Données projet'!$A$139:$I$159,6,0)*VLOOKUP('Données projet'!$B$13,Paramètres!$A$1:$I$88,7,0))</f>
        <v>0.38500000000000001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24.769982791470703</v>
      </c>
      <c r="DG38" s="23">
        <f>EXP(-LN(2)/25)*DG37+(1-EXP(-LN(2)/25))/(LN(2)/25)*Calculateur!DB38*Calculateur!DD38*VLOOKUP('Données projet'!$B$13,Paramètres!$A$1:$I$88,3,0)*0.475*44/12</f>
        <v>89.452131677212932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114.22211446868363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244</v>
      </c>
      <c r="DM38" s="13">
        <f>VLOOKUP(A38,'Données projet'!$A$165:$I$185,9,0)</f>
        <v>19.2</v>
      </c>
      <c r="DN38" s="13">
        <f t="array" ref="DN38">INDEX(DM:DM,MIN(IF(ISNUMBER(DM38:DM234),ROW(DM38:DM234),"")))</f>
        <v>19.2</v>
      </c>
      <c r="DO38" s="13">
        <f>IF('Données projet'!$A$166&gt;35,DO37+DN38-DW37,IF(A38&lt;'Données projet'!$A$166,$DL$205^A38,IF(A38='Données projet'!$A$166,'Données projet'!$B$166,DO37+DN38-DW37)))</f>
        <v>243.99999999999989</v>
      </c>
      <c r="DP38" s="18">
        <f>DO38*VLOOKUP('Données projet'!$B$14,Paramètres!$A$1:$I$88,3,0)*VLOOKUP('Données projet'!$B$14,Paramètres!$A$1:$I$88,5,0)</f>
        <v>117.36399999999995</v>
      </c>
      <c r="DQ38" s="14">
        <f t="shared" si="43"/>
        <v>31.059403079292657</v>
      </c>
      <c r="DR38" s="22">
        <f t="shared" si="16"/>
        <v>258.50409369643461</v>
      </c>
      <c r="DS38" s="62">
        <f t="shared" si="17"/>
        <v>502.15462642100908</v>
      </c>
      <c r="DT38" s="62">
        <f ca="1">AVERAGE(OFFSET($DS$3,0,0,'Données projet'!$E$14+1,1))-AVERAGE(OFFSET($H$3,0,0,'Données projet'!$E$14+1,1))</f>
        <v>273.24375559399846</v>
      </c>
      <c r="DU38" s="62">
        <f t="shared" si="44"/>
        <v>270.77718895097848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52</v>
      </c>
      <c r="DX38" s="17">
        <f>IF(ISNA(VLOOKUP(A38,'Données projet'!$A$165:$I$185,5,0)),0%,VLOOKUP(A38,'Données projet'!$A$165:$I$185,5,0)*VLOOKUP('Données projet'!$B$14,Paramètres!$A$1:$I$88,7,0))</f>
        <v>0.16500000000000001</v>
      </c>
      <c r="DY38" s="17">
        <f>IF(ISNA(VLOOKUP(A38,'Données projet'!$A$165:$I$185,6,0)),0%,VLOOKUP(A38,'Données projet'!$A$165:$I$185,6,0)*VLOOKUP('Données projet'!$B$14,Paramètres!$A$1:$I$88,7,0))</f>
        <v>0.38500000000000001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projet'!$B$14,Paramètres!$A$1:$I$88,3,0)*0.475*44/12</f>
        <v>13.733208014982875</v>
      </c>
      <c r="EB38" s="23">
        <f>EXP(-LN(2)/25)*EB37+(1-EXP(-LN(2)/25))/(LN(2)/25)*Calculateur!DW38*Calculateur!DY38*VLOOKUP('Données projet'!$B$14,Paramètres!$A$1:$I$88,3,0)*0.475*44/12</f>
        <v>37.545493845749945</v>
      </c>
      <c r="EC38" s="23">
        <f>EXP(-LN(2)/2)*EC37+(1-EXP(-LN(2)/2))/(LN(2)/2)*DW38*DZ38*VLOOKUP('Données projet'!$B$14,Paramètres!$A$1:$I$88,3,0)*0.475*44/12</f>
        <v>0</v>
      </c>
      <c r="ED38" s="24">
        <f t="shared" si="18"/>
        <v>51.278701860732824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244</v>
      </c>
      <c r="EH38" s="13">
        <f>VLOOKUP(A38,'Données projet'!$A$191:$I$211,9,0)</f>
        <v>19.2</v>
      </c>
      <c r="EI38" s="13">
        <f t="array" ref="EI38">INDEX(EH:EH,MIN(IF(ISNUMBER(EH38:EH234),ROW(EH38:EH234),"")))</f>
        <v>19.2</v>
      </c>
      <c r="EJ38" s="13">
        <f>IF('Données projet'!$A$192&gt;35,EJ37+EI38-ER37,IF(A38&lt;'Données projet'!$A$192,$EG$205^A38,IF(A38='Données projet'!$A$192,'Données projet'!$B$192,EJ37+EI38-ER37)))</f>
        <v>243.99999999999989</v>
      </c>
      <c r="EK38" s="18">
        <f>EJ38*VLOOKUP('Données projet'!$B$15,Paramètres!$A$1:$I$88,3,0)*VLOOKUP('Données projet'!$B$15,Paramètres!$A$1:$I$88,5,0)</f>
        <v>114.19199999999995</v>
      </c>
      <c r="EL38" s="14">
        <f t="shared" si="45"/>
        <v>30.316492326242802</v>
      </c>
      <c r="EM38" s="22">
        <f t="shared" si="19"/>
        <v>251.6856241348728</v>
      </c>
      <c r="EN38" s="62">
        <f t="shared" si="20"/>
        <v>495.33615685944733</v>
      </c>
      <c r="EO38" s="62">
        <f ca="1">AVERAGE(OFFSET($EN$3,0,0,'Données projet'!$E$15+1,1))-AVERAGE(OFFSET($H$3,0,0,'Données projet'!$E$15+1,1))</f>
        <v>267.26203506406682</v>
      </c>
      <c r="EP38" s="62">
        <f t="shared" si="46"/>
        <v>265.10857635664843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52</v>
      </c>
      <c r="ES38" s="17">
        <f>IF(ISNA(VLOOKUP(A38,'Données projet'!$A$191:$I$211,5,0)),0%,VLOOKUP(A38,'Données projet'!$A$191:$I$211,5,0)*VLOOKUP('Données projet'!$B$15,Paramètres!$A$1:$I$88,7,0))</f>
        <v>0.16500000000000001</v>
      </c>
      <c r="ET38" s="17">
        <f>IF(ISNA(VLOOKUP(A38,'Données projet'!$A$191:$I$211,6,0)),0%,VLOOKUP(A38,'Données projet'!$A$191:$I$211,6,0)*VLOOKUP('Données projet'!$B$15,Paramètres!$A$1:$I$88,7,0))</f>
        <v>0.38500000000000001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projet'!$B$15,Paramètres!$A$1:$I$88,3,0)*0.475*44/12</f>
        <v>13.362040230794147</v>
      </c>
      <c r="EW38" s="23">
        <f>EXP(-LN(2)/25)*EW37+(1-EXP(-LN(2)/25))/(LN(2)/25)*Calculateur!ER38*Calculateur!ET38*VLOOKUP('Données projet'!$B$15,Paramètres!$A$1:$I$88,3,0)*0.475*44/12</f>
        <v>36.530750768837784</v>
      </c>
      <c r="EX38" s="23">
        <f>EXP(-LN(2)/2)*EX37+(1-EXP(-LN(2)/2))/(LN(2)/2)*ER38*EU38*VLOOKUP('Données projet'!$B$15,Paramètres!$A$1:$I$88,3,0)*0.475*44/12</f>
        <v>0</v>
      </c>
      <c r="EY38" s="24">
        <f t="shared" si="21"/>
        <v>49.892790999631927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162</v>
      </c>
      <c r="FC38" s="13">
        <f>VLOOKUP(A38,'Données projet'!$A$217:$I$237,9,0)</f>
        <v>7.2</v>
      </c>
      <c r="FD38" s="13">
        <f t="array" ref="FD38">INDEX(FC:FC,MIN(IF(ISNUMBER(FC38:FC234),ROW(FC38:FC234),"")))</f>
        <v>7.2</v>
      </c>
      <c r="FE38" s="13">
        <f>IF('Données projet'!$A$218&gt;35,FE37+FD38-FM37,IF(A38&lt;'Données projet'!$A$218,$FB$205^A38,IF(A38='Données projet'!$A$218,'Données projet'!$B$218,FE37+FD38-FM37)))</f>
        <v>161.99999999999994</v>
      </c>
      <c r="FF38" s="18">
        <f>FE38*VLOOKUP('Données projet'!$B$16,Paramètres!$A$1:$I$88,3,0)*VLOOKUP('Données projet'!$B$16,Paramètres!$A$1:$I$88,5,0)</f>
        <v>118.77839999999996</v>
      </c>
      <c r="FG38" s="14">
        <f t="shared" si="47"/>
        <v>31.389911704951505</v>
      </c>
      <c r="FH38" s="22">
        <f t="shared" si="22"/>
        <v>261.5431428861238</v>
      </c>
      <c r="FI38" s="62">
        <f t="shared" si="23"/>
        <v>505.19367561069828</v>
      </c>
      <c r="FJ38" s="62">
        <f ca="1">AVERAGE(OFFSET($FI$3,0,0,'Données projet'!$E$16+1,1))-AVERAGE(OFFSET($H$3,0,0,'Données projet'!$E$16+1,1))</f>
        <v>207.66160354686221</v>
      </c>
      <c r="FK38" s="62">
        <f t="shared" si="48"/>
        <v>260.45879589483525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projet'!$B$16,Paramètres!$A$1:$I$88,3,0)*0.475*44/12</f>
        <v>4.688925150328437</v>
      </c>
      <c r="FR38" s="23">
        <f>EXP(-LN(2)/25)*FR37+(1-EXP(-LN(2)/25))/(LN(2)/25)*Calculateur!FM38*Calculateur!FO38*VLOOKUP('Données projet'!$B$16,Paramètres!$A$1:$I$88,3,0)*0.475*44/12</f>
        <v>0</v>
      </c>
      <c r="FS38" s="23">
        <f>EXP(-LN(2)/2)*FS37+(1-EXP(-LN(2)/2))/(LN(2)/2)*FM38*FP38*VLOOKUP('Données projet'!$B$16,Paramètres!$A$1:$I$88,3,0)*0.475*44/12</f>
        <v>0</v>
      </c>
      <c r="FT38" s="24">
        <f t="shared" si="24"/>
        <v>4.688925150328437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472</v>
      </c>
      <c r="L39" s="13">
        <f>VLOOKUP(A39,'Données projet'!$A$35:$I$55,9,0)</f>
        <v>26.833333333333332</v>
      </c>
      <c r="M39" s="13">
        <f t="array" ref="M39">INDEX(L:L,MIN(IF(ISNUMBER(L39:L235),ROW(L39:L235),"")))</f>
        <v>26.833333333333332</v>
      </c>
      <c r="N39" s="14">
        <f>IF('Données projet'!$A$36&gt;35,N38+M39-V38,IF(A39&lt;'Données projet'!$A$36,$K$205^A39,IF(A39='Données projet'!$A$36,'Données projet'!$B$36,N38+M39-V38)))</f>
        <v>472</v>
      </c>
      <c r="O39" s="14">
        <f>N39*VLOOKUP('Données projet'!$B$9,Paramètres!$A$1:$I$88,3,0)*VLOOKUP('Données projet'!$B$9,Paramètres!$A$1:$I$88,5,0)</f>
        <v>263.84800000000001</v>
      </c>
      <c r="P39" s="14">
        <f t="shared" si="33"/>
        <v>63.541913395692205</v>
      </c>
      <c r="Q39" s="22">
        <f t="shared" si="53"/>
        <v>570.20409916416395</v>
      </c>
      <c r="R39" s="62">
        <f t="shared" si="0"/>
        <v>814.71651740519837</v>
      </c>
      <c r="S39" s="62">
        <f ca="1">AVERAGE(OFFSET($R$3,0,0,'Données projet'!$E$9+1,1))-AVERAGE(OFFSET($H$3,0,0,'Données projet'!$E$9+1,1))</f>
        <v>378.13552372917843</v>
      </c>
      <c r="T39" s="62">
        <f t="shared" si="34"/>
        <v>528.97123645404952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92</v>
      </c>
      <c r="W39" s="17">
        <f>IF(ISNA(VLOOKUP(A39,'Données projet'!$A$35:$I$55,5,0)),0%,VLOOKUP(A39,'Données projet'!$A$35:$I$55,5,0)*VLOOKUP('Données projet'!$B$9,Paramètres!$A$1:$I$88,7,0))</f>
        <v>0.22000000000000003</v>
      </c>
      <c r="X39" s="17">
        <f>IF(ISNA(VLOOKUP(A39,'Données projet'!$A$35:$I$55,6,0)),0%,VLOOKUP(A39,'Données projet'!$A$35:$I$55,6,0)*VLOOKUP('Données projet'!$B$9,Paramètres!$A$1:$I$88,7,0))</f>
        <v>0.33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29.959435640759061</v>
      </c>
      <c r="AA39" s="23">
        <f>EXP(-LN(2)/25)*AA38+(1-EXP(-LN(2)/25))/(LN(2)/25)*Calculateur!V39*Calculateur!X39*VLOOKUP('Données projet'!$B$9,Paramètres!$A$1:$I$88,3,0)*0.475*44/12</f>
        <v>54.903946136272822</v>
      </c>
      <c r="AB39" s="23">
        <f>EXP(-LN(2)/2)*AB38+(1-EXP(-LN(2)/2))/(LN(2)/2)*V39*Y39*VLOOKUP('Données projet'!$B$9,Paramètres!$A$1:$I$88,3,0)*0.475*44/12</f>
        <v>0</v>
      </c>
      <c r="AC39" s="24">
        <f t="shared" si="3"/>
        <v>84.86338177703189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5.25</v>
      </c>
      <c r="AI39" s="14">
        <f>IF('Données projet'!$A$62&gt;35,AI38+AH39-AQ38,IF(A39&lt;'Données projet'!$A$62,$AF$205^A39,IF(A39='Données projet'!$A$62,'Données projet'!$B$62,AI38+AH39-AQ38)))</f>
        <v>111.75</v>
      </c>
      <c r="AJ39" s="14">
        <f>AI39*VLOOKUP('Données projet'!$B$10,Paramètres!$A$1:$I$88,3,0)*VLOOKUP('Données projet'!$B$10,Paramètres!$A$1:$I$88,5,0)</f>
        <v>101.1114</v>
      </c>
      <c r="AK39" s="14">
        <f t="shared" si="35"/>
        <v>27.226602710568443</v>
      </c>
      <c r="AL39" s="22">
        <f t="shared" si="4"/>
        <v>223.5220213875734</v>
      </c>
      <c r="AM39" s="62">
        <f t="shared" si="5"/>
        <v>468.03443962860786</v>
      </c>
      <c r="AN39" s="62">
        <f ca="1">AVERAGE(OFFSET($AM$3,0,0,'Données projet'!$E$10+1,1))-AVERAGE(OFFSET($H$3,0,0,'Données projet'!$E$10+1,1))</f>
        <v>536.3707066106856</v>
      </c>
      <c r="AO39" s="62">
        <f t="shared" si="36"/>
        <v>217.6280015974086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13.700000000000003</v>
      </c>
      <c r="BD39" s="13">
        <f>IF('Données projet'!$A$88&gt;35,BD38+BC39-BL38,IF(A39&lt;'Données projet'!$A$88,$BA$205^A39,IF(A39='Données projet'!$A$88,'Données projet'!$B$88,BD38+BC39-BL38)))</f>
        <v>179.3</v>
      </c>
      <c r="BE39" s="14">
        <f>BD39*VLOOKUP('Données projet'!$B$11,Paramètres!$A$1:$I$88,3,0)*VLOOKUP('Données projet'!$B$11,Paramètres!$A$1:$I$88,5,0)</f>
        <v>107.22140000000002</v>
      </c>
      <c r="BF39" s="14">
        <f t="shared" si="37"/>
        <v>28.67535313407349</v>
      </c>
      <c r="BG39" s="22">
        <f t="shared" si="7"/>
        <v>236.68684504184463</v>
      </c>
      <c r="BH39" s="62">
        <f t="shared" si="8"/>
        <v>481.19926328287909</v>
      </c>
      <c r="BI39" s="62">
        <f ca="1">AVERAGE(OFFSET($BH$3,0,0,'Données projet'!$E$11+1,1))-AVERAGE(OFFSET($H$3,0,0,'Données projet'!$E$11+1,1))</f>
        <v>248.66193174773525</v>
      </c>
      <c r="BJ39" s="62">
        <f t="shared" si="38"/>
        <v>249.61655682981151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14.258955570019546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10.58108078613361</v>
      </c>
      <c r="BS39" s="24">
        <f t="shared" si="9"/>
        <v>24.840036356153156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32</v>
      </c>
      <c r="BY39" s="13">
        <f>IF('Données projet'!$A$114&gt;35,BY38+BX39-CG38,IF(A39&lt;'Données projet'!$A$114,$BV$205^A39,IF(A39='Données projet'!$A$114,'Données projet'!$B$114,BY38+BX39-CG38)))</f>
        <v>365.00000000000006</v>
      </c>
      <c r="BZ39" s="14">
        <f>BY39*VLOOKUP('Données projet'!$B$12,Paramètres!$A$1:$I$88,3,0)*VLOOKUP('Données projet'!$B$12,Paramètres!$A$1:$I$88,5,0)</f>
        <v>147.09500000000003</v>
      </c>
      <c r="CA39" s="14">
        <f t="shared" si="39"/>
        <v>37.917664422373754</v>
      </c>
      <c r="CB39" s="22">
        <f t="shared" si="10"/>
        <v>322.23039053563429</v>
      </c>
      <c r="CC39" s="62">
        <f t="shared" si="11"/>
        <v>566.74280877666865</v>
      </c>
      <c r="CD39" s="62">
        <f ca="1">AVERAGE(OFFSET($CC$3,0,0,'Données projet'!$E$12+1,1))-AVERAGE(OFFSET($H$3,0,0,'Données projet'!$E$12+1,1))</f>
        <v>432.59662347701629</v>
      </c>
      <c r="CE39" s="62">
        <f t="shared" si="40"/>
        <v>348.67401091099748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11.536510259530115</v>
      </c>
      <c r="CL39" s="23">
        <f>EXP(-LN(2)/25)*CL38+(1-EXP(-LN(2)/25))/(LN(2)/25)*Calculateur!CG39*Calculateur!CI39*VLOOKUP('Données projet'!$B$12,Paramètres!$A$1:$I$88,3,0)*0.475*44/12</f>
        <v>65.236464584134822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76.77297484366494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42</v>
      </c>
      <c r="CT39" s="13">
        <f>IF('Données projet'!$A$140&gt;35,CT38+CS39-DB38,IF(A39&lt;'Données projet'!$A$140,$CQ$205^A39,IF(A39='Données projet'!$A$140,'Données projet'!$B$140,CT38+CS39-DB38)))</f>
        <v>448</v>
      </c>
      <c r="CU39" s="18">
        <f>CT39*VLOOKUP('Données projet'!$B$13,Paramètres!$A$1:$I$88,3,0)*VLOOKUP('Données projet'!$B$13,Paramètres!$A$1:$I$88,5,0)</f>
        <v>198.01600000000005</v>
      </c>
      <c r="CV39" s="14">
        <f t="shared" si="41"/>
        <v>49.307891905535449</v>
      </c>
      <c r="CW39" s="22">
        <f t="shared" si="13"/>
        <v>430.755778402141</v>
      </c>
      <c r="CX39" s="62">
        <f t="shared" si="14"/>
        <v>675.26819664317543</v>
      </c>
      <c r="CY39" s="62">
        <f ca="1">AVERAGE(OFFSET($CX$3,0,0,'Données projet'!$E$13+1,1))-AVERAGE(OFFSET($H$3,0,0,'Données projet'!$E$13+1,1))</f>
        <v>582.26951914082088</v>
      </c>
      <c r="CZ39" s="62">
        <f t="shared" si="42"/>
        <v>434.80429932654715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24.284258537127656</v>
      </c>
      <c r="DG39" s="23">
        <f>EXP(-LN(2)/25)*DG38+(1-EXP(-LN(2)/25))/(LN(2)/25)*Calculateur!DB39*Calculateur!DD39*VLOOKUP('Données projet'!$B$13,Paramètres!$A$1:$I$88,3,0)*0.475*44/12</f>
        <v>87.006058432416381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111.29031696954404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18.399999999999999</v>
      </c>
      <c r="DO39" s="13">
        <f>IF('Données projet'!$A$166&gt;35,DO38+DN39-DW38,IF(A39&lt;'Données projet'!$A$166,$DL$205^A39,IF(A39='Données projet'!$A$166,'Données projet'!$B$166,DO38+DN39-DW38)))</f>
        <v>210.39999999999986</v>
      </c>
      <c r="DP39" s="18">
        <f>DO39*VLOOKUP('Données projet'!$B$14,Paramètres!$A$1:$I$88,3,0)*VLOOKUP('Données projet'!$B$14,Paramètres!$A$1:$I$88,5,0)</f>
        <v>101.20239999999993</v>
      </c>
      <c r="DQ39" s="14">
        <f t="shared" si="43"/>
        <v>27.248253198517165</v>
      </c>
      <c r="DR39" s="22">
        <f t="shared" si="16"/>
        <v>223.71822098741725</v>
      </c>
      <c r="DS39" s="62">
        <f t="shared" si="17"/>
        <v>468.23063922845165</v>
      </c>
      <c r="DT39" s="62">
        <f ca="1">AVERAGE(OFFSET($DS$3,0,0,'Données projet'!$E$14+1,1))-AVERAGE(OFFSET($H$3,0,0,'Données projet'!$E$14+1,1))</f>
        <v>273.24375559399846</v>
      </c>
      <c r="DU39" s="62">
        <f t="shared" si="44"/>
        <v>270.77718895097848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projet'!$B$14,Paramètres!$A$1:$I$88,3,0)*0.475*44/12</f>
        <v>13.463908182238846</v>
      </c>
      <c r="EB39" s="23">
        <f>EXP(-LN(2)/25)*EB38+(1-EXP(-LN(2)/25))/(LN(2)/25)*Calculateur!DW39*Calculateur!DY39*VLOOKUP('Données projet'!$B$14,Paramètres!$A$1:$I$88,3,0)*0.475*44/12</f>
        <v>36.5188103421062</v>
      </c>
      <c r="EC39" s="23">
        <f>EXP(-LN(2)/2)*EC38+(1-EXP(-LN(2)/2))/(LN(2)/2)*DW39*DZ39*VLOOKUP('Données projet'!$B$14,Paramètres!$A$1:$I$88,3,0)*0.475*44/12</f>
        <v>0</v>
      </c>
      <c r="ED39" s="24">
        <f t="shared" si="18"/>
        <v>49.982718524345046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18.399999999999999</v>
      </c>
      <c r="EJ39" s="13">
        <f>IF('Données projet'!$A$192&gt;35,EJ38+EI39-ER38,IF(A39&lt;'Données projet'!$A$192,$EG$205^A39,IF(A39='Données projet'!$A$192,'Données projet'!$B$192,EJ38+EI39-ER38)))</f>
        <v>210.39999999999986</v>
      </c>
      <c r="EK39" s="18">
        <f>EJ39*VLOOKUP('Données projet'!$B$15,Paramètres!$A$1:$I$88,3,0)*VLOOKUP('Données projet'!$B$15,Paramètres!$A$1:$I$88,5,0)</f>
        <v>98.467199999999934</v>
      </c>
      <c r="EL39" s="14">
        <f t="shared" si="45"/>
        <v>26.596501448770873</v>
      </c>
      <c r="EM39" s="22">
        <f t="shared" si="19"/>
        <v>217.81928002327584</v>
      </c>
      <c r="EN39" s="62">
        <f t="shared" si="20"/>
        <v>462.33169826431026</v>
      </c>
      <c r="EO39" s="62">
        <f ca="1">AVERAGE(OFFSET($EN$3,0,0,'Données projet'!$E$15+1,1))-AVERAGE(OFFSET($H$3,0,0,'Données projet'!$E$15+1,1))</f>
        <v>267.26203506406682</v>
      </c>
      <c r="EP39" s="62">
        <f t="shared" si="46"/>
        <v>265.10857635664843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projet'!$B$15,Paramètres!$A$1:$I$88,3,0)*0.475*44/12</f>
        <v>13.100018771908065</v>
      </c>
      <c r="EW39" s="23">
        <f>EXP(-LN(2)/25)*EW38+(1-EXP(-LN(2)/25))/(LN(2)/25)*Calculateur!ER39*Calculateur!ET39*VLOOKUP('Données projet'!$B$15,Paramètres!$A$1:$I$88,3,0)*0.475*44/12</f>
        <v>35.531815467995223</v>
      </c>
      <c r="EX39" s="23">
        <f>EXP(-LN(2)/2)*EX38+(1-EXP(-LN(2)/2))/(LN(2)/2)*ER39*EU39*VLOOKUP('Données projet'!$B$15,Paramètres!$A$1:$I$88,3,0)*0.475*44/12</f>
        <v>0</v>
      </c>
      <c r="EY39" s="24">
        <f t="shared" si="21"/>
        <v>48.631834239903284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</v>
      </c>
      <c r="FE39" s="13">
        <f>IF('Données projet'!$A$218&gt;35,FE38+FD39-FM38,IF(A39&lt;'Données projet'!$A$218,$FB$205^A39,IF(A39='Données projet'!$A$218,'Données projet'!$B$218,FE38+FD39-FM38)))</f>
        <v>168.99999999999994</v>
      </c>
      <c r="FF39" s="18">
        <f>FE39*VLOOKUP('Données projet'!$B$16,Paramètres!$A$1:$I$88,3,0)*VLOOKUP('Données projet'!$B$16,Paramètres!$A$1:$I$88,5,0)</f>
        <v>123.91079999999995</v>
      </c>
      <c r="FG39" s="14">
        <f t="shared" si="47"/>
        <v>32.585419727488862</v>
      </c>
      <c r="FH39" s="22">
        <f t="shared" si="22"/>
        <v>272.56424935870967</v>
      </c>
      <c r="FI39" s="62">
        <f t="shared" si="23"/>
        <v>517.07666759974404</v>
      </c>
      <c r="FJ39" s="62">
        <f ca="1">AVERAGE(OFFSET($FI$3,0,0,'Données projet'!$E$16+1,1))-AVERAGE(OFFSET($H$3,0,0,'Données projet'!$E$16+1,1))</f>
        <v>207.66160354686221</v>
      </c>
      <c r="FK39" s="62">
        <f t="shared" si="48"/>
        <v>260.45879589483525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projet'!$B$16,Paramètres!$A$1:$I$88,3,0)*0.475*44/12</f>
        <v>4.5969781880924403</v>
      </c>
      <c r="FR39" s="23">
        <f>EXP(-LN(2)/25)*FR38+(1-EXP(-LN(2)/25))/(LN(2)/25)*Calculateur!FM39*Calculateur!FO39*VLOOKUP('Données projet'!$B$16,Paramètres!$A$1:$I$88,3,0)*0.475*44/12</f>
        <v>0</v>
      </c>
      <c r="FS39" s="23">
        <f>EXP(-LN(2)/2)*FS38+(1-EXP(-LN(2)/2))/(LN(2)/2)*FM39*FP39*VLOOKUP('Données projet'!$B$16,Paramètres!$A$1:$I$88,3,0)*0.475*44/12</f>
        <v>0</v>
      </c>
      <c r="FT39" s="24">
        <f t="shared" si="24"/>
        <v>4.5969781880924403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26.333333333333332</v>
      </c>
      <c r="N40" s="14">
        <f>IF('Données projet'!$A$36&gt;35,N39+M40-V39,IF(A40&lt;'Données projet'!$A$36,$K$205^A40,IF(A40='Données projet'!$A$36,'Données projet'!$B$36,N39+M40-V39)))</f>
        <v>406.33333333333331</v>
      </c>
      <c r="O40" s="14">
        <f>N40*VLOOKUP('Données projet'!$B$9,Paramètres!$A$1:$I$88,3,0)*VLOOKUP('Données projet'!$B$9,Paramètres!$A$1:$I$88,5,0)</f>
        <v>227.14033333333333</v>
      </c>
      <c r="P40" s="14">
        <f t="shared" si="33"/>
        <v>55.663905221219039</v>
      </c>
      <c r="Q40" s="22">
        <f t="shared" si="53"/>
        <v>492.55071548251203</v>
      </c>
      <c r="R40" s="62">
        <f t="shared" si="0"/>
        <v>737.91006745318316</v>
      </c>
      <c r="S40" s="62">
        <f ca="1">AVERAGE(OFFSET($R$3,0,0,'Données projet'!$E$9+1,1))-AVERAGE(OFFSET($H$3,0,0,'Données projet'!$E$9+1,1))</f>
        <v>378.13552372917843</v>
      </c>
      <c r="T40" s="62">
        <f t="shared" si="34"/>
        <v>528.97123645404952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29.371949381295163</v>
      </c>
      <c r="AA40" s="23">
        <f>EXP(-LN(2)/25)*AA39+(1-EXP(-LN(2)/25))/(LN(2)/25)*Calculateur!V40*Calculateur!X40*VLOOKUP('Données projet'!$B$9,Paramètres!$A$1:$I$88,3,0)*0.475*44/12</f>
        <v>53.402594841903401</v>
      </c>
      <c r="AB40" s="23">
        <f>EXP(-LN(2)/2)*AB39+(1-EXP(-LN(2)/2))/(LN(2)/2)*V40*Y40*VLOOKUP('Données projet'!$B$9,Paramètres!$A$1:$I$88,3,0)*0.475*44/12</f>
        <v>0</v>
      </c>
      <c r="AC40" s="24">
        <f t="shared" si="3"/>
        <v>82.774544223198561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117</v>
      </c>
      <c r="AG40" s="13">
        <f>VLOOKUP(A40,'Données projet'!$A$61:$I$81,9,0)</f>
        <v>5.25</v>
      </c>
      <c r="AH40" s="13">
        <f t="array" ref="AH40">INDEX(AG:AG,MIN(IF(ISNUMBER(AG40:AG236),ROW(AG40:AG236),"")))</f>
        <v>5.25</v>
      </c>
      <c r="AI40" s="14">
        <f>IF('Données projet'!$A$62&gt;35,AI39+AH40-AQ39,IF(A40&lt;'Données projet'!$A$62,$AF$205^A40,IF(A40='Données projet'!$A$62,'Données projet'!$B$62,AI39+AH40-AQ39)))</f>
        <v>117</v>
      </c>
      <c r="AJ40" s="14">
        <f>AI40*VLOOKUP('Données projet'!$B$10,Paramètres!$A$1:$I$88,3,0)*VLOOKUP('Données projet'!$B$10,Paramètres!$A$1:$I$88,5,0)</f>
        <v>105.8616</v>
      </c>
      <c r="AK40" s="14">
        <f t="shared" si="35"/>
        <v>28.353779818951288</v>
      </c>
      <c r="AL40" s="22">
        <f t="shared" si="4"/>
        <v>233.75845318467347</v>
      </c>
      <c r="AM40" s="62">
        <f t="shared" si="5"/>
        <v>479.11780515534457</v>
      </c>
      <c r="AN40" s="62">
        <f ca="1">AVERAGE(OFFSET($AM$3,0,0,'Données projet'!$E$10+1,1))-AVERAGE(OFFSET($H$3,0,0,'Données projet'!$E$10+1,1))</f>
        <v>536.3707066106856</v>
      </c>
      <c r="AO40" s="62">
        <f t="shared" si="36"/>
        <v>217.6280015974086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20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13.700000000000003</v>
      </c>
      <c r="BD40" s="13">
        <f>IF('Données projet'!$A$88&gt;35,BD39+BC40-BL39,IF(A40&lt;'Données projet'!$A$88,$BA$205^A40,IF(A40='Données projet'!$A$88,'Données projet'!$B$88,BD39+BC40-BL39)))</f>
        <v>193</v>
      </c>
      <c r="BE40" s="14">
        <f>BD40*VLOOKUP('Données projet'!$B$11,Paramètres!$A$1:$I$88,3,0)*VLOOKUP('Données projet'!$B$11,Paramètres!$A$1:$I$88,5,0)</f>
        <v>115.414</v>
      </c>
      <c r="BF40" s="14">
        <f t="shared" si="37"/>
        <v>30.602976534547519</v>
      </c>
      <c r="BG40" s="22">
        <f t="shared" si="7"/>
        <v>254.31290079767027</v>
      </c>
      <c r="BH40" s="62">
        <f t="shared" si="8"/>
        <v>499.67225276834137</v>
      </c>
      <c r="BI40" s="62">
        <f ca="1">AVERAGE(OFFSET($BH$3,0,0,'Données projet'!$E$11+1,1))-AVERAGE(OFFSET($H$3,0,0,'Données projet'!$E$11+1,1))</f>
        <v>248.66193174773525</v>
      </c>
      <c r="BJ40" s="62">
        <f t="shared" si="38"/>
        <v>249.61655682981151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13.979346148395594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7.4819539761577616</v>
      </c>
      <c r="BS40" s="24">
        <f t="shared" si="9"/>
        <v>21.461300124553354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32</v>
      </c>
      <c r="BY40" s="13">
        <f>IF('Données projet'!$A$114&gt;35,BY39+BX40-CG39,IF(A40&lt;'Données projet'!$A$114,$BV$205^A40,IF(A40='Données projet'!$A$114,'Données projet'!$B$114,BY39+BX40-CG39)))</f>
        <v>397.00000000000006</v>
      </c>
      <c r="BZ40" s="14">
        <f>BY40*VLOOKUP('Données projet'!$B$12,Paramètres!$A$1:$I$88,3,0)*VLOOKUP('Données projet'!$B$12,Paramètres!$A$1:$I$88,5,0)</f>
        <v>159.99100000000004</v>
      </c>
      <c r="CA40" s="14">
        <f t="shared" si="39"/>
        <v>40.840485424928069</v>
      </c>
      <c r="CB40" s="22">
        <f t="shared" si="10"/>
        <v>349.78150378174973</v>
      </c>
      <c r="CC40" s="62">
        <f t="shared" si="11"/>
        <v>595.14085575242086</v>
      </c>
      <c r="CD40" s="62">
        <f ca="1">AVERAGE(OFFSET($CC$3,0,0,'Données projet'!$E$12+1,1))-AVERAGE(OFFSET($H$3,0,0,'Données projet'!$E$12+1,1))</f>
        <v>432.59662347701629</v>
      </c>
      <c r="CE40" s="62">
        <f t="shared" si="40"/>
        <v>348.67401091099748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11.310286329917183</v>
      </c>
      <c r="CL40" s="23">
        <f>EXP(-LN(2)/25)*CL39+(1-EXP(-LN(2)/25))/(LN(2)/25)*Calculateur!CG40*Calculateur!CI40*VLOOKUP('Données projet'!$B$12,Paramètres!$A$1:$I$88,3,0)*0.475*44/12</f>
        <v>63.452570029445084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74.762856359362274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42</v>
      </c>
      <c r="CT40" s="13">
        <f>IF('Données projet'!$A$140&gt;35,CT39+CS40-DB39,IF(A40&lt;'Données projet'!$A$140,$CQ$205^A40,IF(A40='Données projet'!$A$140,'Données projet'!$B$140,CT39+CS40-DB39)))</f>
        <v>490</v>
      </c>
      <c r="CU40" s="18">
        <f>CT40*VLOOKUP('Données projet'!$B$13,Paramètres!$A$1:$I$88,3,0)*VLOOKUP('Données projet'!$B$13,Paramètres!$A$1:$I$88,5,0)</f>
        <v>216.58000000000004</v>
      </c>
      <c r="CV40" s="14">
        <f t="shared" si="41"/>
        <v>53.37088917986506</v>
      </c>
      <c r="CW40" s="22">
        <f t="shared" si="13"/>
        <v>470.16446532159836</v>
      </c>
      <c r="CX40" s="62">
        <f t="shared" si="14"/>
        <v>715.52381729226943</v>
      </c>
      <c r="CY40" s="62">
        <f ca="1">AVERAGE(OFFSET($CX$3,0,0,'Données projet'!$E$13+1,1))-AVERAGE(OFFSET($H$3,0,0,'Données projet'!$E$13+1,1))</f>
        <v>582.26951914082088</v>
      </c>
      <c r="CZ40" s="62">
        <f t="shared" si="42"/>
        <v>434.80429932654715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23.808059039149732</v>
      </c>
      <c r="DG40" s="23">
        <f>EXP(-LN(2)/25)*DG39+(1-EXP(-LN(2)/25))/(LN(2)/25)*Calculateur!DB40*Calculateur!DD40*VLOOKUP('Données projet'!$B$13,Paramètres!$A$1:$I$88,3,0)*0.475*44/12</f>
        <v>84.626873189132198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108.43493222828192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18.399999999999999</v>
      </c>
      <c r="DO40" s="13">
        <f>IF('Données projet'!$A$166&gt;35,DO39+DN40-DW39,IF(A40&lt;'Données projet'!$A$166,$DL$205^A40,IF(A40='Données projet'!$A$166,'Données projet'!$B$166,DO39+DN40-DW39)))</f>
        <v>228.79999999999987</v>
      </c>
      <c r="DP40" s="18">
        <f>DO40*VLOOKUP('Données projet'!$B$14,Paramètres!$A$1:$I$88,3,0)*VLOOKUP('Données projet'!$B$14,Paramètres!$A$1:$I$88,5,0)</f>
        <v>110.05279999999993</v>
      </c>
      <c r="DQ40" s="14">
        <f t="shared" si="43"/>
        <v>29.343424316919467</v>
      </c>
      <c r="DR40" s="22">
        <f t="shared" si="16"/>
        <v>242.78175735196797</v>
      </c>
      <c r="DS40" s="62">
        <f t="shared" si="17"/>
        <v>488.14110932263907</v>
      </c>
      <c r="DT40" s="62">
        <f ca="1">AVERAGE(OFFSET($DS$3,0,0,'Données projet'!$E$14+1,1))-AVERAGE(OFFSET($H$3,0,0,'Données projet'!$E$14+1,1))</f>
        <v>273.24375559399846</v>
      </c>
      <c r="DU40" s="62">
        <f t="shared" si="44"/>
        <v>270.77718895097848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projet'!$B$14,Paramètres!$A$1:$I$88,3,0)*0.475*44/12</f>
        <v>13.19988915495825</v>
      </c>
      <c r="EB40" s="23">
        <f>EXP(-LN(2)/25)*EB39+(1-EXP(-LN(2)/25))/(LN(2)/25)*Calculateur!DW40*Calculateur!DY40*VLOOKUP('Données projet'!$B$14,Paramètres!$A$1:$I$88,3,0)*0.475*44/12</f>
        <v>35.520201552860534</v>
      </c>
      <c r="EC40" s="23">
        <f>EXP(-LN(2)/2)*EC39+(1-EXP(-LN(2)/2))/(LN(2)/2)*DW40*DZ40*VLOOKUP('Données projet'!$B$14,Paramètres!$A$1:$I$88,3,0)*0.475*44/12</f>
        <v>0</v>
      </c>
      <c r="ED40" s="24">
        <f t="shared" si="18"/>
        <v>48.720090707818784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18.399999999999999</v>
      </c>
      <c r="EJ40" s="13">
        <f>IF('Données projet'!$A$192&gt;35,EJ39+EI40-ER39,IF(A40&lt;'Données projet'!$A$192,$EG$205^A40,IF(A40='Données projet'!$A$192,'Données projet'!$B$192,EJ39+EI40-ER39)))</f>
        <v>228.79999999999987</v>
      </c>
      <c r="EK40" s="18">
        <f>EJ40*VLOOKUP('Données projet'!$B$15,Paramètres!$A$1:$I$88,3,0)*VLOOKUP('Données projet'!$B$15,Paramètres!$A$1:$I$88,5,0)</f>
        <v>107.07839999999995</v>
      </c>
      <c r="EL40" s="14">
        <f t="shared" si="45"/>
        <v>28.64155810910178</v>
      </c>
      <c r="EM40" s="22">
        <f t="shared" si="19"/>
        <v>236.37892704001879</v>
      </c>
      <c r="EN40" s="62">
        <f t="shared" si="20"/>
        <v>481.73827901068989</v>
      </c>
      <c r="EO40" s="62">
        <f ca="1">AVERAGE(OFFSET($EN$3,0,0,'Données projet'!$E$15+1,1))-AVERAGE(OFFSET($H$3,0,0,'Données projet'!$E$15+1,1))</f>
        <v>267.26203506406682</v>
      </c>
      <c r="EP40" s="62">
        <f t="shared" si="46"/>
        <v>265.10857635664843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projet'!$B$15,Paramètres!$A$1:$I$88,3,0)*0.475*44/12</f>
        <v>12.84313539401343</v>
      </c>
      <c r="EW40" s="23">
        <f>EXP(-LN(2)/25)*EW39+(1-EXP(-LN(2)/25))/(LN(2)/25)*Calculateur!ER40*Calculateur!ET40*VLOOKUP('Données projet'!$B$15,Paramètres!$A$1:$I$88,3,0)*0.475*44/12</f>
        <v>34.560196105485929</v>
      </c>
      <c r="EX40" s="23">
        <f>EXP(-LN(2)/2)*EX39+(1-EXP(-LN(2)/2))/(LN(2)/2)*ER40*EU40*VLOOKUP('Données projet'!$B$15,Paramètres!$A$1:$I$88,3,0)*0.475*44/12</f>
        <v>0</v>
      </c>
      <c r="EY40" s="24">
        <f t="shared" si="21"/>
        <v>47.403331499499359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</v>
      </c>
      <c r="FE40" s="13">
        <f>IF('Données projet'!$A$218&gt;35,FE39+FD40-FM39,IF(A40&lt;'Données projet'!$A$218,$FB$205^A40,IF(A40='Données projet'!$A$218,'Données projet'!$B$218,FE39+FD40-FM39)))</f>
        <v>175.99999999999994</v>
      </c>
      <c r="FF40" s="18">
        <f>FE40*VLOOKUP('Données projet'!$B$16,Paramètres!$A$1:$I$88,3,0)*VLOOKUP('Données projet'!$B$16,Paramètres!$A$1:$I$88,5,0)</f>
        <v>129.04319999999996</v>
      </c>
      <c r="FG40" s="14">
        <f t="shared" si="47"/>
        <v>33.775175980637393</v>
      </c>
      <c r="FH40" s="22">
        <f t="shared" si="22"/>
        <v>283.57533816627671</v>
      </c>
      <c r="FI40" s="62">
        <f t="shared" si="23"/>
        <v>528.93469013694778</v>
      </c>
      <c r="FJ40" s="62">
        <f ca="1">AVERAGE(OFFSET($FI$3,0,0,'Données projet'!$E$16+1,1))-AVERAGE(OFFSET($H$3,0,0,'Données projet'!$E$16+1,1))</f>
        <v>207.66160354686221</v>
      </c>
      <c r="FK40" s="62">
        <f t="shared" si="48"/>
        <v>260.45879589483525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projet'!$B$16,Paramètres!$A$1:$I$88,3,0)*0.475*44/12</f>
        <v>4.5068342497037825</v>
      </c>
      <c r="FR40" s="23">
        <f>EXP(-LN(2)/25)*FR39+(1-EXP(-LN(2)/25))/(LN(2)/25)*Calculateur!FM40*Calculateur!FO40*VLOOKUP('Données projet'!$B$16,Paramètres!$A$1:$I$88,3,0)*0.475*44/12</f>
        <v>0</v>
      </c>
      <c r="FS40" s="23">
        <f>EXP(-LN(2)/2)*FS39+(1-EXP(-LN(2)/2))/(LN(2)/2)*FM40*FP40*VLOOKUP('Données projet'!$B$16,Paramètres!$A$1:$I$88,3,0)*0.475*44/12</f>
        <v>0</v>
      </c>
      <c r="FT40" s="24">
        <f t="shared" si="24"/>
        <v>4.5068342497037825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26.333333333333332</v>
      </c>
      <c r="N41" s="14">
        <f>IF('Données projet'!$A$36&gt;35,N40+M41-V40,IF(A41&lt;'Données projet'!$A$36,$K$205^A41,IF(A41='Données projet'!$A$36,'Données projet'!$B$36,N40+M41-V40)))</f>
        <v>432.66666666666663</v>
      </c>
      <c r="O41" s="14">
        <f>N41*VLOOKUP('Données projet'!$B$9,Paramètres!$A$1:$I$88,3,0)*VLOOKUP('Données projet'!$B$9,Paramètres!$A$1:$I$88,5,0)</f>
        <v>241.86066666666665</v>
      </c>
      <c r="P41" s="14">
        <f t="shared" si="33"/>
        <v>58.839681864356905</v>
      </c>
      <c r="Q41" s="22">
        <f t="shared" si="53"/>
        <v>523.71977369153274</v>
      </c>
      <c r="R41" s="62">
        <f t="shared" si="0"/>
        <v>769.91136698509149</v>
      </c>
      <c r="S41" s="62">
        <f ca="1">AVERAGE(OFFSET($R$3,0,0,'Données projet'!$E$9+1,1))-AVERAGE(OFFSET($H$3,0,0,'Données projet'!$E$9+1,1))</f>
        <v>378.13552372917843</v>
      </c>
      <c r="T41" s="62">
        <f t="shared" si="34"/>
        <v>528.97123645404952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28.795983369048116</v>
      </c>
      <c r="AA41" s="23">
        <f>EXP(-LN(2)/25)*AA40+(1-EXP(-LN(2)/25))/(LN(2)/25)*Calculateur!V41*Calculateur!X41*VLOOKUP('Données projet'!$B$9,Paramètres!$A$1:$I$88,3,0)*0.475*44/12</f>
        <v>51.942298077631143</v>
      </c>
      <c r="AB41" s="23">
        <f>EXP(-LN(2)/2)*AB40+(1-EXP(-LN(2)/2))/(LN(2)/2)*V41*Y41*VLOOKUP('Données projet'!$B$9,Paramètres!$A$1:$I$88,3,0)*0.475*44/12</f>
        <v>0</v>
      </c>
      <c r="AC41" s="24">
        <f t="shared" si="3"/>
        <v>80.738281446679252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5.75</v>
      </c>
      <c r="AI41" s="14">
        <f>IF('Données projet'!$A$62&gt;35,AI40+AH41-AQ40,IF(A41&lt;'Données projet'!$A$62,$AF$205^A41,IF(A41='Données projet'!$A$62,'Données projet'!$B$62,AI40+AH41-AQ40)))</f>
        <v>102.75</v>
      </c>
      <c r="AJ41" s="14">
        <f>AI41*VLOOKUP('Données projet'!$B$10,Paramètres!$A$1:$I$88,3,0)*VLOOKUP('Données projet'!$B$10,Paramètres!$A$1:$I$88,5,0)</f>
        <v>92.968199999999996</v>
      </c>
      <c r="AK41" s="14">
        <f t="shared" si="35"/>
        <v>25.279725890724997</v>
      </c>
      <c r="AL41" s="22">
        <f t="shared" si="4"/>
        <v>205.948470926346</v>
      </c>
      <c r="AM41" s="62">
        <f t="shared" si="5"/>
        <v>452.14006421990473</v>
      </c>
      <c r="AN41" s="62">
        <f ca="1">AVERAGE(OFFSET($AM$3,0,0,'Données projet'!$E$10+1,1))-AVERAGE(OFFSET($H$3,0,0,'Données projet'!$E$10+1,1))</f>
        <v>536.3707066106856</v>
      </c>
      <c r="AO41" s="62">
        <f t="shared" si="36"/>
        <v>217.6280015974086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13.700000000000003</v>
      </c>
      <c r="BD41" s="13">
        <f>IF('Données projet'!$A$88&gt;35,BD40+BC41-BL40,IF(A41&lt;'Données projet'!$A$88,$BA$205^A41,IF(A41='Données projet'!$A$88,'Données projet'!$B$88,BD40+BC41-BL40)))</f>
        <v>206.7</v>
      </c>
      <c r="BE41" s="14">
        <f>BD41*VLOOKUP('Données projet'!$B$11,Paramètres!$A$1:$I$88,3,0)*VLOOKUP('Données projet'!$B$11,Paramètres!$A$1:$I$88,5,0)</f>
        <v>123.6066</v>
      </c>
      <c r="BF41" s="14">
        <f t="shared" si="37"/>
        <v>32.514724323596916</v>
      </c>
      <c r="BG41" s="22">
        <f t="shared" si="7"/>
        <v>271.91130653026465</v>
      </c>
      <c r="BH41" s="62">
        <f t="shared" si="8"/>
        <v>518.10289982382335</v>
      </c>
      <c r="BI41" s="62">
        <f ca="1">AVERAGE(OFFSET($BH$3,0,0,'Données projet'!$E$11+1,1))-AVERAGE(OFFSET($H$3,0,0,'Données projet'!$E$11+1,1))</f>
        <v>248.66193174773525</v>
      </c>
      <c r="BJ41" s="62">
        <f t="shared" si="38"/>
        <v>249.61655682981151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13.705219696984779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5.2905403930668058</v>
      </c>
      <c r="BS41" s="24">
        <f t="shared" si="9"/>
        <v>18.995760090051583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32</v>
      </c>
      <c r="BY41" s="13">
        <f>IF('Données projet'!$A$114&gt;35,BY40+BX41-CG40,IF(A41&lt;'Données projet'!$A$114,$BV$205^A41,IF(A41='Données projet'!$A$114,'Données projet'!$B$114,BY40+BX41-CG40)))</f>
        <v>429.00000000000006</v>
      </c>
      <c r="BZ41" s="14">
        <f>BY41*VLOOKUP('Données projet'!$B$12,Paramètres!$A$1:$I$88,3,0)*VLOOKUP('Données projet'!$B$12,Paramètres!$A$1:$I$88,5,0)</f>
        <v>172.88700000000003</v>
      </c>
      <c r="CA41" s="14">
        <f t="shared" si="39"/>
        <v>43.73598047623517</v>
      </c>
      <c r="CB41" s="22">
        <f t="shared" si="10"/>
        <v>377.28502432944293</v>
      </c>
      <c r="CC41" s="62">
        <f t="shared" si="11"/>
        <v>623.47661762300163</v>
      </c>
      <c r="CD41" s="62">
        <f ca="1">AVERAGE(OFFSET($CC$3,0,0,'Données projet'!$E$12+1,1))-AVERAGE(OFFSET($H$3,0,0,'Données projet'!$E$12+1,1))</f>
        <v>432.59662347701629</v>
      </c>
      <c r="CE41" s="62">
        <f t="shared" si="40"/>
        <v>348.67401091099748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11.088498513580989</v>
      </c>
      <c r="CL41" s="23">
        <f>EXP(-LN(2)/25)*CL40+(1-EXP(-LN(2)/25))/(LN(2)/25)*Calculateur!CG41*Calculateur!CI41*VLOOKUP('Données projet'!$B$12,Paramètres!$A$1:$I$88,3,0)*0.475*44/12</f>
        <v>61.717456165164272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72.805954678745266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42</v>
      </c>
      <c r="CT41" s="13">
        <f>IF('Données projet'!$A$140&gt;35,CT40+CS41-DB40,IF(A41&lt;'Données projet'!$A$140,$CQ$205^A41,IF(A41='Données projet'!$A$140,'Données projet'!$B$140,CT40+CS41-DB40)))</f>
        <v>532</v>
      </c>
      <c r="CU41" s="18">
        <f>CT41*VLOOKUP('Données projet'!$B$13,Paramètres!$A$1:$I$88,3,0)*VLOOKUP('Données projet'!$B$13,Paramètres!$A$1:$I$88,5,0)</f>
        <v>235.14400000000003</v>
      </c>
      <c r="CV41" s="14">
        <f t="shared" si="41"/>
        <v>57.393498736326748</v>
      </c>
      <c r="CW41" s="22">
        <f t="shared" si="13"/>
        <v>509.50281029910246</v>
      </c>
      <c r="CX41" s="62">
        <f t="shared" si="14"/>
        <v>755.69440359266116</v>
      </c>
      <c r="CY41" s="62">
        <f ca="1">AVERAGE(OFFSET($CX$3,0,0,'Données projet'!$E$13+1,1))-AVERAGE(OFFSET($H$3,0,0,'Données projet'!$E$13+1,1))</f>
        <v>582.26951914082088</v>
      </c>
      <c r="CZ41" s="62">
        <f t="shared" si="42"/>
        <v>434.80429932654715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23.341197522874143</v>
      </c>
      <c r="DG41" s="23">
        <f>EXP(-LN(2)/25)*DG40+(1-EXP(-LN(2)/25))/(LN(2)/25)*Calculateur!DB41*Calculateur!DD41*VLOOKUP('Données projet'!$B$13,Paramètres!$A$1:$I$88,3,0)*0.475*44/12</f>
        <v>82.312746891441535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105.65394441431567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18.399999999999999</v>
      </c>
      <c r="DO41" s="13">
        <f>IF('Données projet'!$A$166&gt;35,DO40+DN41-DW40,IF(A41&lt;'Données projet'!$A$166,$DL$205^A41,IF(A41='Données projet'!$A$166,'Données projet'!$B$166,DO40+DN41-DW40)))</f>
        <v>247.19999999999987</v>
      </c>
      <c r="DP41" s="18">
        <f>DO41*VLOOKUP('Données projet'!$B$14,Paramètres!$A$1:$I$88,3,0)*VLOOKUP('Données projet'!$B$14,Paramètres!$A$1:$I$88,5,0)</f>
        <v>118.90319999999994</v>
      </c>
      <c r="DQ41" s="14">
        <f t="shared" si="43"/>
        <v>31.41905216260005</v>
      </c>
      <c r="DR41" s="22">
        <f t="shared" si="16"/>
        <v>261.81125584986165</v>
      </c>
      <c r="DS41" s="62">
        <f t="shared" si="17"/>
        <v>508.00284914342035</v>
      </c>
      <c r="DT41" s="62">
        <f ca="1">AVERAGE(OFFSET($DS$3,0,0,'Données projet'!$E$14+1,1))-AVERAGE(OFFSET($H$3,0,0,'Données projet'!$E$14+1,1))</f>
        <v>273.24375559399846</v>
      </c>
      <c r="DU41" s="62">
        <f t="shared" si="44"/>
        <v>270.77718895097848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projet'!$B$14,Paramètres!$A$1:$I$88,3,0)*0.475*44/12</f>
        <v>12.941047379766919</v>
      </c>
      <c r="EB41" s="23">
        <f>EXP(-LN(2)/25)*EB40+(1-EXP(-LN(2)/25))/(LN(2)/25)*Calculateur!DW41*Calculateur!DY41*VLOOKUP('Données projet'!$B$14,Paramètres!$A$1:$I$88,3,0)*0.475*44/12</f>
        <v>34.548899773471348</v>
      </c>
      <c r="EC41" s="23">
        <f>EXP(-LN(2)/2)*EC40+(1-EXP(-LN(2)/2))/(LN(2)/2)*DW41*DZ41*VLOOKUP('Données projet'!$B$14,Paramètres!$A$1:$I$88,3,0)*0.475*44/12</f>
        <v>0</v>
      </c>
      <c r="ED41" s="24">
        <f t="shared" si="18"/>
        <v>47.489947153238269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18.399999999999999</v>
      </c>
      <c r="EJ41" s="13">
        <f>IF('Données projet'!$A$192&gt;35,EJ40+EI41-ER40,IF(A41&lt;'Données projet'!$A$192,$EG$205^A41,IF(A41='Données projet'!$A$192,'Données projet'!$B$192,EJ40+EI41-ER40)))</f>
        <v>247.19999999999987</v>
      </c>
      <c r="EK41" s="18">
        <f>EJ41*VLOOKUP('Données projet'!$B$15,Paramètres!$A$1:$I$88,3,0)*VLOOKUP('Données projet'!$B$15,Paramètres!$A$1:$I$88,5,0)</f>
        <v>115.68959999999994</v>
      </c>
      <c r="EL41" s="14">
        <f t="shared" si="45"/>
        <v>30.667538952811654</v>
      </c>
      <c r="EM41" s="22">
        <f t="shared" si="19"/>
        <v>254.90535034281348</v>
      </c>
      <c r="EN41" s="62">
        <f t="shared" si="20"/>
        <v>501.0969436363722</v>
      </c>
      <c r="EO41" s="62">
        <f ca="1">AVERAGE(OFFSET($EN$3,0,0,'Données projet'!$E$15+1,1))-AVERAGE(OFFSET($H$3,0,0,'Données projet'!$E$15+1,1))</f>
        <v>267.26203506406682</v>
      </c>
      <c r="EP41" s="62">
        <f t="shared" si="46"/>
        <v>265.10857635664843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projet'!$B$15,Paramètres!$A$1:$I$88,3,0)*0.475*44/12</f>
        <v>12.591289342475919</v>
      </c>
      <c r="EW41" s="23">
        <f>EXP(-LN(2)/25)*EW40+(1-EXP(-LN(2)/25))/(LN(2)/25)*Calculateur!ER41*Calculateur!ET41*VLOOKUP('Données projet'!$B$15,Paramètres!$A$1:$I$88,3,0)*0.475*44/12</f>
        <v>33.615145725539691</v>
      </c>
      <c r="EX41" s="23">
        <f>EXP(-LN(2)/2)*EX40+(1-EXP(-LN(2)/2))/(LN(2)/2)*ER41*EU41*VLOOKUP('Données projet'!$B$15,Paramètres!$A$1:$I$88,3,0)*0.475*44/12</f>
        <v>0</v>
      </c>
      <c r="EY41" s="24">
        <f t="shared" si="21"/>
        <v>46.206435068015608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</v>
      </c>
      <c r="FE41" s="13">
        <f>IF('Données projet'!$A$218&gt;35,FE40+FD41-FM40,IF(A41&lt;'Données projet'!$A$218,$FB$205^A41,IF(A41='Données projet'!$A$218,'Données projet'!$B$218,FE40+FD41-FM40)))</f>
        <v>182.99999999999994</v>
      </c>
      <c r="FF41" s="18">
        <f>FE41*VLOOKUP('Données projet'!$B$16,Paramètres!$A$1:$I$88,3,0)*VLOOKUP('Données projet'!$B$16,Paramètres!$A$1:$I$88,5,0)</f>
        <v>134.17559999999995</v>
      </c>
      <c r="FG41" s="14">
        <f t="shared" si="47"/>
        <v>34.959435402722733</v>
      </c>
      <c r="FH41" s="22">
        <f t="shared" si="22"/>
        <v>294.57685332640864</v>
      </c>
      <c r="FI41" s="62">
        <f t="shared" si="23"/>
        <v>540.76844661996734</v>
      </c>
      <c r="FJ41" s="62">
        <f ca="1">AVERAGE(OFFSET($FI$3,0,0,'Données projet'!$E$16+1,1))-AVERAGE(OFFSET($H$3,0,0,'Données projet'!$E$16+1,1))</f>
        <v>207.66160354686221</v>
      </c>
      <c r="FK41" s="62">
        <f t="shared" si="48"/>
        <v>260.45879589483525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projet'!$B$16,Paramètres!$A$1:$I$88,3,0)*0.475*44/12</f>
        <v>4.4184579789645522</v>
      </c>
      <c r="FR41" s="23">
        <f>EXP(-LN(2)/25)*FR40+(1-EXP(-LN(2)/25))/(LN(2)/25)*Calculateur!FM41*Calculateur!FO41*VLOOKUP('Données projet'!$B$16,Paramètres!$A$1:$I$88,3,0)*0.475*44/12</f>
        <v>0</v>
      </c>
      <c r="FS41" s="23">
        <f>EXP(-LN(2)/2)*FS40+(1-EXP(-LN(2)/2))/(LN(2)/2)*FM41*FP41*VLOOKUP('Données projet'!$B$16,Paramètres!$A$1:$I$88,3,0)*0.475*44/12</f>
        <v>0</v>
      </c>
      <c r="FT41" s="24">
        <f t="shared" si="24"/>
        <v>4.4184579789645522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26.333333333333332</v>
      </c>
      <c r="N42" s="14">
        <f>IF('Données projet'!$A$36&gt;35,N41+M42-V41,IF(A42&lt;'Données projet'!$A$36,$K$205^A42,IF(A42='Données projet'!$A$36,'Données projet'!$B$36,N41+M42-V41)))</f>
        <v>458.99999999999994</v>
      </c>
      <c r="O42" s="14">
        <f>N42*VLOOKUP('Données projet'!$B$9,Paramètres!$A$1:$I$88,3,0)*VLOOKUP('Données projet'!$B$9,Paramètres!$A$1:$I$88,5,0)</f>
        <v>256.58099999999996</v>
      </c>
      <c r="P42" s="14">
        <f t="shared" si="33"/>
        <v>61.993024805604456</v>
      </c>
      <c r="Q42" s="22">
        <f t="shared" si="53"/>
        <v>554.84975986976099</v>
      </c>
      <c r="R42" s="62">
        <f t="shared" si="0"/>
        <v>801.85915695986807</v>
      </c>
      <c r="S42" s="62">
        <f ca="1">AVERAGE(OFFSET($R$3,0,0,'Données projet'!$E$9+1,1))-AVERAGE(OFFSET($H$3,0,0,'Données projet'!$E$9+1,1))</f>
        <v>378.13552372917843</v>
      </c>
      <c r="T42" s="62">
        <f t="shared" si="34"/>
        <v>528.97123645404952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28.231311698996656</v>
      </c>
      <c r="AA42" s="23">
        <f>EXP(-LN(2)/25)*AA41+(1-EXP(-LN(2)/25))/(LN(2)/25)*Calculateur!V42*Calculateur!X42*VLOOKUP('Données projet'!$B$9,Paramètres!$A$1:$I$88,3,0)*0.475*44/12</f>
        <v>50.521933205171578</v>
      </c>
      <c r="AB42" s="23">
        <f>EXP(-LN(2)/2)*AB41+(1-EXP(-LN(2)/2))/(LN(2)/2)*V42*Y42*VLOOKUP('Données projet'!$B$9,Paramètres!$A$1:$I$88,3,0)*0.475*44/12</f>
        <v>0</v>
      </c>
      <c r="AC42" s="24">
        <f t="shared" si="3"/>
        <v>78.753244904168241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5.75</v>
      </c>
      <c r="AI42" s="14">
        <f>IF('Données projet'!$A$62&gt;35,AI41+AH42-AQ41,IF(A42&lt;'Données projet'!$A$62,$AF$205^A42,IF(A42='Données projet'!$A$62,'Données projet'!$B$62,AI41+AH42-AQ41)))</f>
        <v>108.5</v>
      </c>
      <c r="AJ42" s="14">
        <f>AI42*VLOOKUP('Données projet'!$B$10,Paramètres!$A$1:$I$88,3,0)*VLOOKUP('Données projet'!$B$10,Paramètres!$A$1:$I$88,5,0)</f>
        <v>98.170799999999986</v>
      </c>
      <c r="AK42" s="14">
        <f t="shared" si="35"/>
        <v>26.525748752747578</v>
      </c>
      <c r="AL42" s="22">
        <f t="shared" si="4"/>
        <v>217.17982241103536</v>
      </c>
      <c r="AM42" s="62">
        <f t="shared" si="5"/>
        <v>464.18921950114247</v>
      </c>
      <c r="AN42" s="62">
        <f ca="1">AVERAGE(OFFSET($AM$3,0,0,'Données projet'!$E$10+1,1))-AVERAGE(OFFSET($H$3,0,0,'Données projet'!$E$10+1,1))</f>
        <v>536.3707066106856</v>
      </c>
      <c r="AO42" s="62">
        <f t="shared" si="36"/>
        <v>217.6280015974086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13.700000000000003</v>
      </c>
      <c r="BD42" s="13">
        <f>IF('Données projet'!$A$88&gt;35,BD41+BC42-BL41,IF(A42&lt;'Données projet'!$A$88,$BA$205^A42,IF(A42='Données projet'!$A$88,'Données projet'!$B$88,BD41+BC42-BL41)))</f>
        <v>220.39999999999998</v>
      </c>
      <c r="BE42" s="14">
        <f>BD42*VLOOKUP('Données projet'!$B$11,Paramètres!$A$1:$I$88,3,0)*VLOOKUP('Données projet'!$B$11,Paramètres!$A$1:$I$88,5,0)</f>
        <v>131.79920000000001</v>
      </c>
      <c r="BF42" s="14">
        <f t="shared" si="37"/>
        <v>34.411768463304291</v>
      </c>
      <c r="BG42" s="22">
        <f t="shared" si="7"/>
        <v>289.48410340692169</v>
      </c>
      <c r="BH42" s="62">
        <f t="shared" si="8"/>
        <v>536.49350049702878</v>
      </c>
      <c r="BI42" s="62">
        <f ca="1">AVERAGE(OFFSET($BH$3,0,0,'Données projet'!$E$11+1,1))-AVERAGE(OFFSET($H$3,0,0,'Données projet'!$E$11+1,1))</f>
        <v>248.66193174773525</v>
      </c>
      <c r="BJ42" s="62">
        <f t="shared" si="38"/>
        <v>249.61655682981151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13.436468698085504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3.7409769880788812</v>
      </c>
      <c r="BS42" s="24">
        <f t="shared" si="9"/>
        <v>17.177445686164386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32</v>
      </c>
      <c r="BY42" s="13">
        <f>IF('Données projet'!$A$114&gt;35,BY41+BX42-CG41,IF(A42&lt;'Données projet'!$A$114,$BV$205^A42,IF(A42='Données projet'!$A$114,'Données projet'!$B$114,BY41+BX42-CG41)))</f>
        <v>461.00000000000006</v>
      </c>
      <c r="BZ42" s="14">
        <f>BY42*VLOOKUP('Données projet'!$B$12,Paramètres!$A$1:$I$88,3,0)*VLOOKUP('Données projet'!$B$12,Paramètres!$A$1:$I$88,5,0)</f>
        <v>185.78300000000004</v>
      </c>
      <c r="CA42" s="14">
        <f t="shared" si="39"/>
        <v>46.606419652154862</v>
      </c>
      <c r="CB42" s="22">
        <f t="shared" si="10"/>
        <v>404.74490589416973</v>
      </c>
      <c r="CC42" s="62">
        <f t="shared" si="11"/>
        <v>651.75430298427682</v>
      </c>
      <c r="CD42" s="62">
        <f ca="1">AVERAGE(OFFSET($CC$3,0,0,'Données projet'!$E$12+1,1))-AVERAGE(OFFSET($H$3,0,0,'Données projet'!$E$12+1,1))</f>
        <v>432.59662347701629</v>
      </c>
      <c r="CE42" s="62">
        <f t="shared" si="40"/>
        <v>348.67401091099748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10.871059821045938</v>
      </c>
      <c r="CL42" s="23">
        <f>EXP(-LN(2)/25)*CL41+(1-EXP(-LN(2)/25))/(LN(2)/25)*Calculateur!CG42*Calculateur!CI42*VLOOKUP('Données projet'!$B$12,Paramètres!$A$1:$I$88,3,0)*0.475*44/12</f>
        <v>60.029789080747889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70.900848901793822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42</v>
      </c>
      <c r="CT42" s="13">
        <f>IF('Données projet'!$A$140&gt;35,CT41+CS42-DB41,IF(A42&lt;'Données projet'!$A$140,$CQ$205^A42,IF(A42='Données projet'!$A$140,'Données projet'!$B$140,CT41+CS42-DB41)))</f>
        <v>574</v>
      </c>
      <c r="CU42" s="18">
        <f>CT42*VLOOKUP('Données projet'!$B$13,Paramètres!$A$1:$I$88,3,0)*VLOOKUP('Données projet'!$B$13,Paramètres!$A$1:$I$88,5,0)</f>
        <v>253.70800000000006</v>
      </c>
      <c r="CV42" s="14">
        <f t="shared" si="41"/>
        <v>61.379271588933619</v>
      </c>
      <c r="CW42" s="22">
        <f t="shared" si="13"/>
        <v>548.77699801739277</v>
      </c>
      <c r="CX42" s="62">
        <f t="shared" si="14"/>
        <v>795.78639510749986</v>
      </c>
      <c r="CY42" s="62">
        <f ca="1">AVERAGE(OFFSET($CX$3,0,0,'Données projet'!$E$13+1,1))-AVERAGE(OFFSET($H$3,0,0,'Données projet'!$E$13+1,1))</f>
        <v>582.26951914082088</v>
      </c>
      <c r="CZ42" s="62">
        <f t="shared" si="42"/>
        <v>434.80429932654715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22.883490876175312</v>
      </c>
      <c r="DG42" s="23">
        <f>EXP(-LN(2)/25)*DG41+(1-EXP(-LN(2)/25))/(LN(2)/25)*Calculateur!DB42*Calculateur!DD42*VLOOKUP('Données projet'!$B$13,Paramètres!$A$1:$I$88,3,0)*0.475*44/12</f>
        <v>80.061900499055838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102.94539137523115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18.399999999999999</v>
      </c>
      <c r="DO42" s="13">
        <f>IF('Données projet'!$A$166&gt;35,DO41+DN42-DW41,IF(A42&lt;'Données projet'!$A$166,$DL$205^A42,IF(A42='Données projet'!$A$166,'Données projet'!$B$166,DO41+DN42-DW41)))</f>
        <v>265.59999999999985</v>
      </c>
      <c r="DP42" s="18">
        <f>DO42*VLOOKUP('Données projet'!$B$14,Paramètres!$A$1:$I$88,3,0)*VLOOKUP('Données projet'!$B$14,Paramètres!$A$1:$I$88,5,0)</f>
        <v>127.75359999999993</v>
      </c>
      <c r="DQ42" s="14">
        <f t="shared" si="43"/>
        <v>33.476756826584293</v>
      </c>
      <c r="DR42" s="22">
        <f t="shared" si="16"/>
        <v>280.80953813963418</v>
      </c>
      <c r="DS42" s="62">
        <f t="shared" si="17"/>
        <v>527.81893522974133</v>
      </c>
      <c r="DT42" s="62">
        <f ca="1">AVERAGE(OFFSET($DS$3,0,0,'Données projet'!$E$14+1,1))-AVERAGE(OFFSET($H$3,0,0,'Données projet'!$E$14+1,1))</f>
        <v>273.24375559399846</v>
      </c>
      <c r="DU42" s="62">
        <f t="shared" si="44"/>
        <v>270.77718895097848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projet'!$B$14,Paramètres!$A$1:$I$88,3,0)*0.475*44/12</f>
        <v>12.687281333909198</v>
      </c>
      <c r="EB42" s="23">
        <f>EXP(-LN(2)/25)*EB41+(1-EXP(-LN(2)/25))/(LN(2)/25)*Calculateur!DW42*Calculateur!DY42*VLOOKUP('Données projet'!$B$14,Paramètres!$A$1:$I$88,3,0)*0.475*44/12</f>
        <v>33.604158292318097</v>
      </c>
      <c r="EC42" s="23">
        <f>EXP(-LN(2)/2)*EC41+(1-EXP(-LN(2)/2))/(LN(2)/2)*DW42*DZ42*VLOOKUP('Données projet'!$B$14,Paramètres!$A$1:$I$88,3,0)*0.475*44/12</f>
        <v>0</v>
      </c>
      <c r="ED42" s="24">
        <f t="shared" si="18"/>
        <v>46.291439626227294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18.399999999999999</v>
      </c>
      <c r="EJ42" s="13">
        <f>IF('Données projet'!$A$192&gt;35,EJ41+EI42-ER41,IF(A42&lt;'Données projet'!$A$192,$EG$205^A42,IF(A42='Données projet'!$A$192,'Données projet'!$B$192,EJ41+EI42-ER41)))</f>
        <v>265.59999999999985</v>
      </c>
      <c r="EK42" s="18">
        <f>EJ42*VLOOKUP('Données projet'!$B$15,Paramètres!$A$1:$I$88,3,0)*VLOOKUP('Données projet'!$B$15,Paramètres!$A$1:$I$88,5,0)</f>
        <v>124.30079999999992</v>
      </c>
      <c r="EL42" s="14">
        <f t="shared" si="45"/>
        <v>32.676025319922253</v>
      </c>
      <c r="EM42" s="22">
        <f t="shared" si="19"/>
        <v>273.40130409886439</v>
      </c>
      <c r="EN42" s="62">
        <f t="shared" si="20"/>
        <v>520.41070118897153</v>
      </c>
      <c r="EO42" s="62">
        <f ca="1">AVERAGE(OFFSET($EN$3,0,0,'Données projet'!$E$15+1,1))-AVERAGE(OFFSET($H$3,0,0,'Données projet'!$E$15+1,1))</f>
        <v>267.26203506406682</v>
      </c>
      <c r="EP42" s="62">
        <f t="shared" si="46"/>
        <v>265.10857635664843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projet'!$B$15,Paramètres!$A$1:$I$88,3,0)*0.475*44/12</f>
        <v>12.344381838398135</v>
      </c>
      <c r="EW42" s="23">
        <f>EXP(-LN(2)/25)*EW41+(1-EXP(-LN(2)/25))/(LN(2)/25)*Calculateur!ER42*Calculateur!ET42*VLOOKUP('Données projet'!$B$15,Paramètres!$A$1:$I$88,3,0)*0.475*44/12</f>
        <v>32.695937797931123</v>
      </c>
      <c r="EX42" s="23">
        <f>EXP(-LN(2)/2)*EX41+(1-EXP(-LN(2)/2))/(LN(2)/2)*ER42*EU42*VLOOKUP('Données projet'!$B$15,Paramètres!$A$1:$I$88,3,0)*0.475*44/12</f>
        <v>0</v>
      </c>
      <c r="EY42" s="24">
        <f t="shared" si="21"/>
        <v>45.040319636329258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</v>
      </c>
      <c r="FE42" s="13">
        <f>IF('Données projet'!$A$218&gt;35,FE41+FD42-FM41,IF(A42&lt;'Données projet'!$A$218,$FB$205^A42,IF(A42='Données projet'!$A$218,'Données projet'!$B$218,FE41+FD42-FM41)))</f>
        <v>189.99999999999994</v>
      </c>
      <c r="FF42" s="18">
        <f>FE42*VLOOKUP('Données projet'!$B$16,Paramètres!$A$1:$I$88,3,0)*VLOOKUP('Données projet'!$B$16,Paramètres!$A$1:$I$88,5,0)</f>
        <v>139.30799999999996</v>
      </c>
      <c r="FG42" s="14">
        <f t="shared" si="47"/>
        <v>36.138432324006359</v>
      </c>
      <c r="FH42" s="22">
        <f t="shared" si="22"/>
        <v>305.56920296431099</v>
      </c>
      <c r="FI42" s="62">
        <f t="shared" si="23"/>
        <v>552.57860005441808</v>
      </c>
      <c r="FJ42" s="62">
        <f ca="1">AVERAGE(OFFSET($FI$3,0,0,'Données projet'!$E$16+1,1))-AVERAGE(OFFSET($H$3,0,0,'Données projet'!$E$16+1,1))</f>
        <v>207.66160354686221</v>
      </c>
      <c r="FK42" s="62">
        <f t="shared" si="48"/>
        <v>260.45879589483525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projet'!$B$16,Paramètres!$A$1:$I$88,3,0)*0.475*44/12</f>
        <v>4.3318147129903162</v>
      </c>
      <c r="FR42" s="23">
        <f>EXP(-LN(2)/25)*FR41+(1-EXP(-LN(2)/25))/(LN(2)/25)*Calculateur!FM42*Calculateur!FO42*VLOOKUP('Données projet'!$B$16,Paramètres!$A$1:$I$88,3,0)*0.475*44/12</f>
        <v>0</v>
      </c>
      <c r="FS42" s="23">
        <f>EXP(-LN(2)/2)*FS41+(1-EXP(-LN(2)/2))/(LN(2)/2)*FM42*FP42*VLOOKUP('Données projet'!$B$16,Paramètres!$A$1:$I$88,3,0)*0.475*44/12</f>
        <v>0</v>
      </c>
      <c r="FT42" s="24">
        <f t="shared" si="24"/>
        <v>4.3318147129903162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26.333333333333332</v>
      </c>
      <c r="N43" s="14">
        <f>IF('Données projet'!$A$36&gt;35,N42+M43-V42,IF(A43&lt;'Données projet'!$A$36,$K$205^A43,IF(A43='Données projet'!$A$36,'Données projet'!$B$36,N42+M43-V42)))</f>
        <v>485.33333333333326</v>
      </c>
      <c r="O43" s="14">
        <f>N43*VLOOKUP('Données projet'!$B$9,Paramètres!$A$1:$I$88,3,0)*VLOOKUP('Données projet'!$B$9,Paramètres!$A$1:$I$88,5,0)</f>
        <v>271.30133333333328</v>
      </c>
      <c r="P43" s="14">
        <f t="shared" si="33"/>
        <v>65.125367733252759</v>
      </c>
      <c r="Q43" s="22">
        <f t="shared" si="53"/>
        <v>585.94317102430398</v>
      </c>
      <c r="R43" s="62">
        <f t="shared" si="0"/>
        <v>833.75618484342476</v>
      </c>
      <c r="S43" s="62">
        <f ca="1">AVERAGE(OFFSET($R$3,0,0,'Données projet'!$E$9+1,1))-AVERAGE(OFFSET($H$3,0,0,'Données projet'!$E$9+1,1))</f>
        <v>378.13552372917843</v>
      </c>
      <c r="T43" s="62">
        <f t="shared" si="34"/>
        <v>528.97123645404952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27.677712895979194</v>
      </c>
      <c r="AA43" s="23">
        <f>EXP(-LN(2)/25)*AA42+(1-EXP(-LN(2)/25))/(LN(2)/25)*Calculateur!V43*Calculateur!X43*VLOOKUP('Données projet'!$B$9,Paramètres!$A$1:$I$88,3,0)*0.475*44/12</f>
        <v>49.140408284843161</v>
      </c>
      <c r="AB43" s="23">
        <f>EXP(-LN(2)/2)*AB42+(1-EXP(-LN(2)/2))/(LN(2)/2)*V43*Y43*VLOOKUP('Données projet'!$B$9,Paramètres!$A$1:$I$88,3,0)*0.475*44/12</f>
        <v>0</v>
      </c>
      <c r="AC43" s="24">
        <f t="shared" si="3"/>
        <v>76.818121180822359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5.75</v>
      </c>
      <c r="AI43" s="14">
        <f>IF('Données projet'!$A$62&gt;35,AI42+AH43-AQ42,IF(A43&lt;'Données projet'!$A$62,$AF$205^A43,IF(A43='Données projet'!$A$62,'Données projet'!$B$62,AI42+AH43-AQ42)))</f>
        <v>114.25</v>
      </c>
      <c r="AJ43" s="14">
        <f>AI43*VLOOKUP('Données projet'!$B$10,Paramètres!$A$1:$I$88,3,0)*VLOOKUP('Données projet'!$B$10,Paramètres!$A$1:$I$88,5,0)</f>
        <v>103.3734</v>
      </c>
      <c r="AK43" s="14">
        <f t="shared" si="35"/>
        <v>27.764105189044106</v>
      </c>
      <c r="AL43" s="22">
        <f t="shared" si="4"/>
        <v>228.39782153758514</v>
      </c>
      <c r="AM43" s="62">
        <f t="shared" si="5"/>
        <v>476.21083535670596</v>
      </c>
      <c r="AN43" s="62">
        <f ca="1">AVERAGE(OFFSET($AM$3,0,0,'Données projet'!$E$10+1,1))-AVERAGE(OFFSET($H$3,0,0,'Données projet'!$E$10+1,1))</f>
        <v>536.3707066106856</v>
      </c>
      <c r="AO43" s="62">
        <f t="shared" si="36"/>
        <v>217.6280015974086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234.1</v>
      </c>
      <c r="BB43" s="13">
        <f>VLOOKUP(A43,'Données projet'!$A$87:$I$107,9,0)</f>
        <v>13.700000000000003</v>
      </c>
      <c r="BC43" s="13">
        <f t="array" ref="BC43">INDEX(BB:BB,MIN(IF(ISNUMBER(BB43:BB239),ROW(BB43:BB239),"")))</f>
        <v>13.700000000000003</v>
      </c>
      <c r="BD43" s="13">
        <f>IF('Données projet'!$A$88&gt;35,BD42+BC43-BL42,IF(A43&lt;'Données projet'!$A$88,$BA$205^A43,IF(A43='Données projet'!$A$88,'Données projet'!$B$88,BD42+BC43-BL42)))</f>
        <v>234.09999999999997</v>
      </c>
      <c r="BE43" s="14">
        <f>BD43*VLOOKUP('Données projet'!$B$11,Paramètres!$A$1:$I$88,3,0)*VLOOKUP('Données projet'!$B$11,Paramètres!$A$1:$I$88,5,0)</f>
        <v>139.99179999999998</v>
      </c>
      <c r="BF43" s="14">
        <f t="shared" si="37"/>
        <v>36.295126983752503</v>
      </c>
      <c r="BG43" s="22">
        <f t="shared" si="7"/>
        <v>307.03306449670225</v>
      </c>
      <c r="BH43" s="62">
        <f t="shared" si="8"/>
        <v>554.84607831582309</v>
      </c>
      <c r="BI43" s="62">
        <f ca="1">AVERAGE(OFFSET($BH$3,0,0,'Données projet'!$E$11+1,1))-AVERAGE(OFFSET($H$3,0,0,'Données projet'!$E$11+1,1))</f>
        <v>248.66193174773525</v>
      </c>
      <c r="BJ43" s="62">
        <f t="shared" si="38"/>
        <v>249.61655682981151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41.3</v>
      </c>
      <c r="BM43" s="17">
        <f>IF(ISNA(VLOOKUP(A43,'Données projet'!$A$87:$I$107,5,0)),0%,VLOOKUP(A43,'Données projet'!$A$87:$I$107,5,0)*VLOOKUP('Données projet'!$B$11,Paramètres!$A$1:$I$88,7,0))</f>
        <v>0.18000000000000002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0.6</v>
      </c>
      <c r="BP43" s="23">
        <f>EXP(-LN(2)/35)*BP42+(1-EXP(-LN(2)/35))/(LN(2)/35)*BL43*BM43*VLOOKUP('Données projet'!$B$11,Paramètres!$A$1:$I$88,3,0)*0.475*44/12</f>
        <v>19.070272479071772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19.423186563491484</v>
      </c>
      <c r="BS43" s="24">
        <f t="shared" si="9"/>
        <v>38.493459042563259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493</v>
      </c>
      <c r="BW43" s="13">
        <f>VLOOKUP(A43,'Données projet'!$A$113:$I$133,9,0)</f>
        <v>32</v>
      </c>
      <c r="BX43" s="13">
        <f t="array" ref="BX43">INDEX(BW:BW,MIN(IF(ISNUMBER(BW43:BW239),ROW(BW43:BW239),"")))</f>
        <v>32</v>
      </c>
      <c r="BY43" s="13">
        <f>IF('Données projet'!$A$114&gt;35,BY42+BX43-CG42,IF(A43&lt;'Données projet'!$A$114,$BV$205^A43,IF(A43='Données projet'!$A$114,'Données projet'!$B$114,BY42+BX43-CG42)))</f>
        <v>493.00000000000006</v>
      </c>
      <c r="BZ43" s="14">
        <f>BY43*VLOOKUP('Données projet'!$B$12,Paramètres!$A$1:$I$88,3,0)*VLOOKUP('Données projet'!$B$12,Paramètres!$A$1:$I$88,5,0)</f>
        <v>198.67900000000003</v>
      </c>
      <c r="CA43" s="14">
        <f t="shared" si="39"/>
        <v>49.453740032212117</v>
      </c>
      <c r="CB43" s="22">
        <f t="shared" si="10"/>
        <v>432.16452222276945</v>
      </c>
      <c r="CC43" s="62">
        <f t="shared" si="11"/>
        <v>679.97753604189029</v>
      </c>
      <c r="CD43" s="62">
        <f ca="1">AVERAGE(OFFSET($CC$3,0,0,'Données projet'!$E$12+1,1))-AVERAGE(OFFSET($H$3,0,0,'Données projet'!$E$12+1,1))</f>
        <v>432.59662347701629</v>
      </c>
      <c r="CE43" s="62">
        <f t="shared" si="40"/>
        <v>348.67401091099748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84</v>
      </c>
      <c r="CH43" s="17">
        <f>IF(ISNA(VLOOKUP(A43,'Données projet'!$A$113:$I$133,5,0)),0%,VLOOKUP(A43,'Données projet'!$A$113:$I$133,5,0)*VLOOKUP('Données projet'!$B$12,Paramètres!$A$1:$I$88,7,0))</f>
        <v>0.16500000000000001</v>
      </c>
      <c r="CI43" s="17">
        <f>IF(ISNA(VLOOKUP(A43,'Données projet'!$A$113:$I$133,6,0)),0%,VLOOKUP(A43,'Données projet'!$A$113:$I$133,6,0)*VLOOKUP('Données projet'!$B$12,Paramètres!$A$1:$I$88,7,0))</f>
        <v>0.38500000000000001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18.06751685966098</v>
      </c>
      <c r="CL43" s="23">
        <f>EXP(-LN(2)/25)*CL42+(1-EXP(-LN(2)/25))/(LN(2)/25)*Calculateur!CG43*Calculateur!CI43*VLOOKUP('Données projet'!$B$12,Paramètres!$A$1:$I$88,3,0)*0.475*44/12</f>
        <v>75.609338484430708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93.676855344091692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616</v>
      </c>
      <c r="CR43" s="13">
        <f>VLOOKUP(A43,'Données projet'!$A$139:$I$159,9,0)</f>
        <v>42</v>
      </c>
      <c r="CS43" s="13">
        <f t="array" ref="CS43">INDEX(CR:CR,MIN(IF(ISNUMBER(CR43:CR239),ROW(CR43:CR239),"")))</f>
        <v>42</v>
      </c>
      <c r="CT43" s="13">
        <f>IF('Données projet'!$A$140&gt;35,CT42+CS43-DB42,IF(A43&lt;'Données projet'!$A$140,$CQ$205^A43,IF(A43='Données projet'!$A$140,'Données projet'!$B$140,CT42+CS43-DB42)))</f>
        <v>616</v>
      </c>
      <c r="CU43" s="18">
        <f>CT43*VLOOKUP('Données projet'!$B$13,Paramètres!$A$1:$I$88,3,0)*VLOOKUP('Données projet'!$B$13,Paramètres!$A$1:$I$88,5,0)</f>
        <v>272.27200000000005</v>
      </c>
      <c r="CV43" s="14">
        <f t="shared" si="41"/>
        <v>65.331209623639012</v>
      </c>
      <c r="CW43" s="22">
        <f t="shared" si="13"/>
        <v>587.99225676117123</v>
      </c>
      <c r="CX43" s="62">
        <f t="shared" si="14"/>
        <v>835.80527058029202</v>
      </c>
      <c r="CY43" s="62">
        <f ca="1">AVERAGE(OFFSET($CX$3,0,0,'Données projet'!$E$13+1,1))-AVERAGE(OFFSET($H$3,0,0,'Données projet'!$E$13+1,1))</f>
        <v>582.26951914082088</v>
      </c>
      <c r="CZ43" s="62">
        <f t="shared" si="42"/>
        <v>434.80429932654715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0.16500000000000001</v>
      </c>
      <c r="DD43" s="17">
        <f>IF(ISNA(VLOOKUP(A43,'Données projet'!$A$139:$I$159,6,0)),0%,VLOOKUP(A43,'Données projet'!$A$139:$I$159,6,0)*VLOOKUP('Données projet'!$B$13,Paramètres!$A$1:$I$88,7,0))</f>
        <v>0.38500000000000001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22.434759577644755</v>
      </c>
      <c r="DG43" s="23">
        <f>EXP(-LN(2)/25)*DG42+(1-EXP(-LN(2)/25))/(LN(2)/25)*Calculateur!DB43*Calculateur!DD43*VLOOKUP('Données projet'!$B$13,Paramètres!$A$1:$I$88,3,0)*0.475*44/12</f>
        <v>77.872603619636791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100.30736319728155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284</v>
      </c>
      <c r="DM43" s="13">
        <f>VLOOKUP(A43,'Données projet'!$A$165:$I$185,9,0)</f>
        <v>18.399999999999999</v>
      </c>
      <c r="DN43" s="13">
        <f t="array" ref="DN43">INDEX(DM:DM,MIN(IF(ISNUMBER(DM43:DM239),ROW(DM43:DM239),"")))</f>
        <v>18.399999999999999</v>
      </c>
      <c r="DO43" s="13">
        <f>IF('Données projet'!$A$166&gt;35,DO42+DN43-DW42,IF(A43&lt;'Données projet'!$A$166,$DL$205^A43,IF(A43='Données projet'!$A$166,'Données projet'!$B$166,DO42+DN43-DW42)))</f>
        <v>283.99999999999983</v>
      </c>
      <c r="DP43" s="18">
        <f>DO43*VLOOKUP('Données projet'!$B$14,Paramètres!$A$1:$I$88,3,0)*VLOOKUP('Données projet'!$B$14,Paramètres!$A$1:$I$88,5,0)</f>
        <v>136.60399999999993</v>
      </c>
      <c r="DQ43" s="14">
        <f t="shared" si="43"/>
        <v>35.517921219873081</v>
      </c>
      <c r="DR43" s="22">
        <f t="shared" si="16"/>
        <v>299.77901279127883</v>
      </c>
      <c r="DS43" s="62">
        <f t="shared" si="17"/>
        <v>547.59202661039967</v>
      </c>
      <c r="DT43" s="62">
        <f ca="1">AVERAGE(OFFSET($DS$3,0,0,'Données projet'!$E$14+1,1))-AVERAGE(OFFSET($H$3,0,0,'Données projet'!$E$14+1,1))</f>
        <v>273.24375559399846</v>
      </c>
      <c r="DU43" s="62">
        <f t="shared" si="44"/>
        <v>270.77718895097848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48</v>
      </c>
      <c r="DX43" s="17">
        <f>IF(ISNA(VLOOKUP(A43,'Données projet'!$A$165:$I$185,5,0)),0%,VLOOKUP(A43,'Données projet'!$A$165:$I$185,5,0)*VLOOKUP('Données projet'!$B$14,Paramètres!$A$1:$I$88,7,0))</f>
        <v>0.16500000000000001</v>
      </c>
      <c r="DY43" s="17">
        <f>IF(ISNA(VLOOKUP(A43,'Données projet'!$A$165:$I$185,6,0)),0%,VLOOKUP(A43,'Données projet'!$A$165:$I$185,6,0)*VLOOKUP('Données projet'!$B$14,Paramètres!$A$1:$I$88,7,0))</f>
        <v>0.38500000000000001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projet'!$B$14,Paramètres!$A$1:$I$88,3,0)*0.475*44/12</f>
        <v>17.492065309714778</v>
      </c>
      <c r="EB43" s="23">
        <f>EXP(-LN(2)/25)*EB42+(1-EXP(-LN(2)/25))/(LN(2)/25)*Calculateur!DW43*Calculateur!DY43*VLOOKUP('Données projet'!$B$14,Paramètres!$A$1:$I$88,3,0)*0.475*44/12</f>
        <v>44.430494766662328</v>
      </c>
      <c r="EC43" s="23">
        <f>EXP(-LN(2)/2)*EC42+(1-EXP(-LN(2)/2))/(LN(2)/2)*DW43*DZ43*VLOOKUP('Données projet'!$B$14,Paramètres!$A$1:$I$88,3,0)*0.475*44/12</f>
        <v>0</v>
      </c>
      <c r="ED43" s="24">
        <f t="shared" si="18"/>
        <v>61.92256007637711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284</v>
      </c>
      <c r="EH43" s="13">
        <f>VLOOKUP(A43,'Données projet'!$A$191:$I$211,9,0)</f>
        <v>18.399999999999999</v>
      </c>
      <c r="EI43" s="13">
        <f t="array" ref="EI43">INDEX(EH:EH,MIN(IF(ISNUMBER(EH43:EH239),ROW(EH43:EH239),"")))</f>
        <v>18.399999999999999</v>
      </c>
      <c r="EJ43" s="13">
        <f>IF('Données projet'!$A$192&gt;35,EJ42+EI43-ER42,IF(A43&lt;'Données projet'!$A$192,$EG$205^A43,IF(A43='Données projet'!$A$192,'Données projet'!$B$192,EJ42+EI43-ER42)))</f>
        <v>283.99999999999983</v>
      </c>
      <c r="EK43" s="18">
        <f>EJ43*VLOOKUP('Données projet'!$B$15,Paramètres!$A$1:$I$88,3,0)*VLOOKUP('Données projet'!$B$15,Paramètres!$A$1:$I$88,5,0)</f>
        <v>132.91199999999992</v>
      </c>
      <c r="EL43" s="14">
        <f t="shared" si="45"/>
        <v>34.668367043546546</v>
      </c>
      <c r="EM43" s="22">
        <f t="shared" si="19"/>
        <v>291.86913926751009</v>
      </c>
      <c r="EN43" s="62">
        <f t="shared" si="20"/>
        <v>539.68215308663093</v>
      </c>
      <c r="EO43" s="62">
        <f ca="1">AVERAGE(OFFSET($EN$3,0,0,'Données projet'!$E$15+1,1))-AVERAGE(OFFSET($H$3,0,0,'Données projet'!$E$15+1,1))</f>
        <v>267.26203506406682</v>
      </c>
      <c r="EP43" s="62">
        <f t="shared" si="46"/>
        <v>265.10857635664843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48</v>
      </c>
      <c r="ES43" s="17">
        <f>IF(ISNA(VLOOKUP(A43,'Données projet'!$A$191:$I$211,5,0)),0%,VLOOKUP(A43,'Données projet'!$A$191:$I$211,5,0)*VLOOKUP('Données projet'!$B$15,Paramètres!$A$1:$I$88,7,0))</f>
        <v>0.16500000000000001</v>
      </c>
      <c r="ET43" s="17">
        <f>IF(ISNA(VLOOKUP(A43,'Données projet'!$A$191:$I$211,6,0)),0%,VLOOKUP(A43,'Données projet'!$A$191:$I$211,6,0)*VLOOKUP('Données projet'!$B$15,Paramètres!$A$1:$I$88,7,0))</f>
        <v>0.38500000000000001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projet'!$B$15,Paramètres!$A$1:$I$88,3,0)*0.475*44/12</f>
        <v>17.019306787830594</v>
      </c>
      <c r="EW43" s="23">
        <f>EXP(-LN(2)/25)*EW42+(1-EXP(-LN(2)/25))/(LN(2)/25)*Calculateur!ER43*Calculateur!ET43*VLOOKUP('Données projet'!$B$15,Paramètres!$A$1:$I$88,3,0)*0.475*44/12</f>
        <v>43.229670583779566</v>
      </c>
      <c r="EX43" s="23">
        <f>EXP(-LN(2)/2)*EX42+(1-EXP(-LN(2)/2))/(LN(2)/2)*ER43*EU43*VLOOKUP('Données projet'!$B$15,Paramètres!$A$1:$I$88,3,0)*0.475*44/12</f>
        <v>0</v>
      </c>
      <c r="EY43" s="24">
        <f t="shared" si="21"/>
        <v>60.24897737161016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197</v>
      </c>
      <c r="FC43" s="13">
        <f>VLOOKUP(A43,'Données projet'!$A$217:$I$237,9,0)</f>
        <v>7</v>
      </c>
      <c r="FD43" s="13">
        <f t="array" ref="FD43">INDEX(FC:FC,MIN(IF(ISNUMBER(FC43:FC239),ROW(FC43:FC239),"")))</f>
        <v>7</v>
      </c>
      <c r="FE43" s="13">
        <f>IF('Données projet'!$A$218&gt;35,FE42+FD43-FM42,IF(A43&lt;'Données projet'!$A$218,$FB$205^A43,IF(A43='Données projet'!$A$218,'Données projet'!$B$218,FE42+FD43-FM42)))</f>
        <v>196.99999999999994</v>
      </c>
      <c r="FF43" s="18">
        <f>FE43*VLOOKUP('Données projet'!$B$16,Paramètres!$A$1:$I$88,3,0)*VLOOKUP('Données projet'!$B$16,Paramètres!$A$1:$I$88,5,0)</f>
        <v>144.44039999999995</v>
      </c>
      <c r="FG43" s="14">
        <f t="shared" si="47"/>
        <v>37.312382829927081</v>
      </c>
      <c r="FH43" s="22">
        <f t="shared" si="22"/>
        <v>316.55276342878955</v>
      </c>
      <c r="FI43" s="62">
        <f t="shared" si="23"/>
        <v>564.36577724791039</v>
      </c>
      <c r="FJ43" s="62">
        <f ca="1">AVERAGE(OFFSET($FI$3,0,0,'Données projet'!$E$16+1,1))-AVERAGE(OFFSET($H$3,0,0,'Données projet'!$E$16+1,1))</f>
        <v>207.66160354686221</v>
      </c>
      <c r="FK43" s="62">
        <f t="shared" si="48"/>
        <v>260.45879589483525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projet'!$B$16,Paramètres!$A$1:$I$88,3,0)*0.475*44/12</f>
        <v>4.2468704686146603</v>
      </c>
      <c r="FR43" s="23">
        <f>EXP(-LN(2)/25)*FR42+(1-EXP(-LN(2)/25))/(LN(2)/25)*Calculateur!FM43*Calculateur!FO43*VLOOKUP('Données projet'!$B$16,Paramètres!$A$1:$I$88,3,0)*0.475*44/12</f>
        <v>0</v>
      </c>
      <c r="FS43" s="23">
        <f>EXP(-LN(2)/2)*FS42+(1-EXP(-LN(2)/2))/(LN(2)/2)*FM43*FP43*VLOOKUP('Données projet'!$B$16,Paramètres!$A$1:$I$88,3,0)*0.475*44/12</f>
        <v>0</v>
      </c>
      <c r="FT43" s="24">
        <f t="shared" si="24"/>
        <v>4.2468704686146603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26.333333333333332</v>
      </c>
      <c r="N44" s="14">
        <f>IF('Données projet'!$A$36&gt;35,N43+M44-V43,IF(A44&lt;'Données projet'!$A$36,$K$205^A44,IF(A44='Données projet'!$A$36,'Données projet'!$B$36,N43+M44-V43)))</f>
        <v>511.66666666666657</v>
      </c>
      <c r="O44" s="14">
        <f>N44*VLOOKUP('Données projet'!$B$9,Paramètres!$A$1:$I$88,3,0)*VLOOKUP('Données projet'!$B$9,Paramètres!$A$1:$I$88,5,0)</f>
        <v>286.02166666666665</v>
      </c>
      <c r="P44" s="14">
        <f t="shared" si="33"/>
        <v>68.237979970003394</v>
      </c>
      <c r="Q44" s="22">
        <f t="shared" si="53"/>
        <v>617.00221789220029</v>
      </c>
      <c r="R44" s="62">
        <f t="shared" si="0"/>
        <v>865.60490748670429</v>
      </c>
      <c r="S44" s="62">
        <f ca="1">AVERAGE(OFFSET($R$3,0,0,'Données projet'!$E$9+1,1))-AVERAGE(OFFSET($H$3,0,0,'Données projet'!$E$9+1,1))</f>
        <v>378.13552372917843</v>
      </c>
      <c r="T44" s="62">
        <f t="shared" si="34"/>
        <v>528.97123645404952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27.134969827826975</v>
      </c>
      <c r="AA44" s="23">
        <f>EXP(-LN(2)/25)*AA43+(1-EXP(-LN(2)/25))/(LN(2)/25)*Calculateur!V44*Calculateur!X44*VLOOKUP('Données projet'!$B$9,Paramètres!$A$1:$I$88,3,0)*0.475*44/12</f>
        <v>47.796661236112364</v>
      </c>
      <c r="AB44" s="23">
        <f>EXP(-LN(2)/2)*AB43+(1-EXP(-LN(2)/2))/(LN(2)/2)*V44*Y44*VLOOKUP('Données projet'!$B$9,Paramètres!$A$1:$I$88,3,0)*0.475*44/12</f>
        <v>0</v>
      </c>
      <c r="AC44" s="24">
        <f t="shared" si="3"/>
        <v>74.931631063939335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5.75</v>
      </c>
      <c r="AI44" s="14">
        <f>IF('Données projet'!$A$62&gt;35,AI43+AH44-AQ43,IF(A44&lt;'Données projet'!$A$62,$AF$205^A44,IF(A44='Données projet'!$A$62,'Données projet'!$B$62,AI43+AH44-AQ43)))</f>
        <v>120</v>
      </c>
      <c r="AJ44" s="14">
        <f>AI44*VLOOKUP('Données projet'!$B$10,Paramètres!$A$1:$I$88,3,0)*VLOOKUP('Données projet'!$B$10,Paramètres!$A$1:$I$88,5,0)</f>
        <v>108.57599999999999</v>
      </c>
      <c r="AK44" s="14">
        <f t="shared" si="35"/>
        <v>28.995225061228002</v>
      </c>
      <c r="AL44" s="22">
        <f t="shared" si="4"/>
        <v>239.60321698163875</v>
      </c>
      <c r="AM44" s="62">
        <f t="shared" si="5"/>
        <v>488.20590657614275</v>
      </c>
      <c r="AN44" s="62">
        <f ca="1">AVERAGE(OFFSET($AM$3,0,0,'Données projet'!$E$10+1,1))-AVERAGE(OFFSET($H$3,0,0,'Données projet'!$E$10+1,1))</f>
        <v>536.3707066106856</v>
      </c>
      <c r="AO44" s="62">
        <f t="shared" si="36"/>
        <v>217.6280015974086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11.800000000000002</v>
      </c>
      <c r="BD44" s="13">
        <f>IF('Données projet'!$A$88&gt;35,BD43+BC44-BL43,IF(A44&lt;'Données projet'!$A$88,$BA$205^A44,IF(A44='Données projet'!$A$88,'Données projet'!$B$88,BD43+BC44-BL43)))</f>
        <v>204.59999999999997</v>
      </c>
      <c r="BE44" s="14">
        <f>BD44*VLOOKUP('Données projet'!$B$11,Paramètres!$A$1:$I$88,3,0)*VLOOKUP('Données projet'!$B$11,Paramètres!$A$1:$I$88,5,0)</f>
        <v>122.35079999999998</v>
      </c>
      <c r="BF44" s="14">
        <f t="shared" si="37"/>
        <v>32.222664179000326</v>
      </c>
      <c r="BG44" s="22">
        <f t="shared" si="7"/>
        <v>269.2154501117588</v>
      </c>
      <c r="BH44" s="62">
        <f t="shared" si="8"/>
        <v>517.81813970626274</v>
      </c>
      <c r="BI44" s="62">
        <f ca="1">AVERAGE(OFFSET($BH$3,0,0,'Données projet'!$E$11+1,1))-AVERAGE(OFFSET($H$3,0,0,'Données projet'!$E$11+1,1))</f>
        <v>248.66193174773525</v>
      </c>
      <c r="BJ44" s="62">
        <f t="shared" si="38"/>
        <v>249.61655682981151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18.69631606747485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13.734266931296263</v>
      </c>
      <c r="BS44" s="24">
        <f t="shared" si="9"/>
        <v>32.430582998771115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29.8</v>
      </c>
      <c r="BY44" s="13">
        <f>IF('Données projet'!$A$114&gt;35,BY43+BX44-CG43,IF(A44&lt;'Données projet'!$A$114,$BV$205^A44,IF(A44='Données projet'!$A$114,'Données projet'!$B$114,BY43+BX44-CG43)))</f>
        <v>438.80000000000007</v>
      </c>
      <c r="BZ44" s="14">
        <f>BY44*VLOOKUP('Données projet'!$B$12,Paramètres!$A$1:$I$88,3,0)*VLOOKUP('Données projet'!$B$12,Paramètres!$A$1:$I$88,5,0)</f>
        <v>176.83640000000003</v>
      </c>
      <c r="CA44" s="14">
        <f t="shared" si="39"/>
        <v>44.617618740471151</v>
      </c>
      <c r="CB44" s="22">
        <f t="shared" si="10"/>
        <v>385.69908263965391</v>
      </c>
      <c r="CC44" s="62">
        <f t="shared" si="11"/>
        <v>634.30177223415785</v>
      </c>
      <c r="CD44" s="62">
        <f ca="1">AVERAGE(OFFSET($CC$3,0,0,'Données projet'!$E$12+1,1))-AVERAGE(OFFSET($H$3,0,0,'Données projet'!$E$12+1,1))</f>
        <v>432.59662347701629</v>
      </c>
      <c r="CE44" s="62">
        <f t="shared" si="40"/>
        <v>348.67401091099748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17.713223874140169</v>
      </c>
      <c r="CL44" s="23">
        <f>EXP(-LN(2)/25)*CL43+(1-EXP(-LN(2)/25))/(LN(2)/25)*Calculateur!CG44*Calculateur!CI44*VLOOKUP('Données projet'!$B$12,Paramètres!$A$1:$I$88,3,0)*0.475*44/12</f>
        <v>73.541797147451646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91.255021021591816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20.6</v>
      </c>
      <c r="CT44" s="13">
        <f>IF('Données projet'!$A$140&gt;35,CT43+CS44-DB43,IF(A44&lt;'Données projet'!$A$140,$CQ$205^A44,IF(A44='Données projet'!$A$140,'Données projet'!$B$140,CT43+CS44-DB43)))</f>
        <v>636.6</v>
      </c>
      <c r="CU44" s="18">
        <f>CT44*VLOOKUP('Données projet'!$B$13,Paramètres!$A$1:$I$88,3,0)*VLOOKUP('Données projet'!$B$13,Paramètres!$A$1:$I$88,5,0)</f>
        <v>281.37720000000002</v>
      </c>
      <c r="CV44" s="14">
        <f t="shared" si="41"/>
        <v>67.257967669103479</v>
      </c>
      <c r="CW44" s="22">
        <f t="shared" si="13"/>
        <v>607.20625035702199</v>
      </c>
      <c r="CX44" s="62">
        <f t="shared" si="14"/>
        <v>855.80893995152599</v>
      </c>
      <c r="CY44" s="62">
        <f ca="1">AVERAGE(OFFSET($CX$3,0,0,'Données projet'!$E$13+1,1))-AVERAGE(OFFSET($H$3,0,0,'Données projet'!$E$13+1,1))</f>
        <v>582.26951914082088</v>
      </c>
      <c r="CZ44" s="62">
        <f t="shared" si="42"/>
        <v>434.80429932654715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21.994827626179315</v>
      </c>
      <c r="DG44" s="23">
        <f>EXP(-LN(2)/25)*DG43+(1-EXP(-LN(2)/25))/(LN(2)/25)*Calculateur!DB44*Calculateur!DD44*VLOOKUP('Données projet'!$B$13,Paramètres!$A$1:$I$88,3,0)*0.475*44/12</f>
        <v>75.743173178515576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97.738000804694892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18.2</v>
      </c>
      <c r="DO44" s="13">
        <f>IF('Données projet'!$A$166&gt;35,DO43+DN44-DW43,IF(A44&lt;'Données projet'!$A$166,$DL$205^A44,IF(A44='Données projet'!$A$166,'Données projet'!$B$166,DO43+DN44-DW43)))</f>
        <v>254.19999999999982</v>
      </c>
      <c r="DP44" s="18">
        <f>DO44*VLOOKUP('Données projet'!$B$14,Paramètres!$A$1:$I$88,3,0)*VLOOKUP('Données projet'!$B$14,Paramètres!$A$1:$I$88,5,0)</f>
        <v>122.27019999999992</v>
      </c>
      <c r="DQ44" s="14">
        <f t="shared" si="43"/>
        <v>32.203907237005275</v>
      </c>
      <c r="DR44" s="22">
        <f t="shared" si="16"/>
        <v>269.042403437784</v>
      </c>
      <c r="DS44" s="62">
        <f t="shared" si="17"/>
        <v>517.64509303228795</v>
      </c>
      <c r="DT44" s="62">
        <f ca="1">AVERAGE(OFFSET($DS$3,0,0,'Données projet'!$E$14+1,1))-AVERAGE(OFFSET($H$3,0,0,'Données projet'!$E$14+1,1))</f>
        <v>273.24375559399846</v>
      </c>
      <c r="DU44" s="62">
        <f t="shared" si="44"/>
        <v>270.77718895097848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projet'!$B$14,Paramètres!$A$1:$I$88,3,0)*0.475*44/12</f>
        <v>17.149056578097625</v>
      </c>
      <c r="EB44" s="23">
        <f>EXP(-LN(2)/25)*EB43+(1-EXP(-LN(2)/25))/(LN(2)/25)*Calculateur!DW44*Calculateur!DY44*VLOOKUP('Données projet'!$B$14,Paramètres!$A$1:$I$88,3,0)*0.475*44/12</f>
        <v>43.215540550769774</v>
      </c>
      <c r="EC44" s="23">
        <f>EXP(-LN(2)/2)*EC43+(1-EXP(-LN(2)/2))/(LN(2)/2)*DW44*DZ44*VLOOKUP('Données projet'!$B$14,Paramètres!$A$1:$I$88,3,0)*0.475*44/12</f>
        <v>0</v>
      </c>
      <c r="ED44" s="24">
        <f t="shared" si="18"/>
        <v>60.364597128867402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18.2</v>
      </c>
      <c r="EJ44" s="13">
        <f>IF('Données projet'!$A$192&gt;35,EJ43+EI44-ER43,IF(A44&lt;'Données projet'!$A$192,$EG$205^A44,IF(A44='Données projet'!$A$192,'Données projet'!$B$192,EJ43+EI44-ER43)))</f>
        <v>254.19999999999982</v>
      </c>
      <c r="EK44" s="18">
        <f>EJ44*VLOOKUP('Données projet'!$B$15,Paramètres!$A$1:$I$88,3,0)*VLOOKUP('Données projet'!$B$15,Paramètres!$A$1:$I$88,5,0)</f>
        <v>118.96559999999991</v>
      </c>
      <c r="EL44" s="14">
        <f t="shared" si="45"/>
        <v>31.433621056182243</v>
      </c>
      <c r="EM44" s="22">
        <f t="shared" si="19"/>
        <v>261.94531000618389</v>
      </c>
      <c r="EN44" s="62">
        <f t="shared" si="20"/>
        <v>510.54799960068783</v>
      </c>
      <c r="EO44" s="62">
        <f ca="1">AVERAGE(OFFSET($EN$3,0,0,'Données projet'!$E$15+1,1))-AVERAGE(OFFSET($H$3,0,0,'Données projet'!$E$15+1,1))</f>
        <v>267.26203506406682</v>
      </c>
      <c r="EP44" s="62">
        <f t="shared" si="46"/>
        <v>265.10857635664843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projet'!$B$15,Paramètres!$A$1:$I$88,3,0)*0.475*44/12</f>
        <v>16.685568562473364</v>
      </c>
      <c r="EW44" s="23">
        <f>EXP(-LN(2)/25)*EW43+(1-EXP(-LN(2)/25))/(LN(2)/25)*Calculateur!ER44*Calculateur!ET44*VLOOKUP('Données projet'!$B$15,Paramètres!$A$1:$I$88,3,0)*0.475*44/12</f>
        <v>42.047552968316538</v>
      </c>
      <c r="EX44" s="23">
        <f>EXP(-LN(2)/2)*EX43+(1-EXP(-LN(2)/2))/(LN(2)/2)*ER44*EU44*VLOOKUP('Données projet'!$B$15,Paramètres!$A$1:$I$88,3,0)*0.475*44/12</f>
        <v>0</v>
      </c>
      <c r="EY44" s="24">
        <f t="shared" si="21"/>
        <v>58.733121530789901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6.8</v>
      </c>
      <c r="FE44" s="13">
        <f>IF('Données projet'!$A$218&gt;35,FE43+FD44-FM43,IF(A44&lt;'Données projet'!$A$218,$FB$205^A44,IF(A44='Données projet'!$A$218,'Données projet'!$B$218,FE43+FD44-FM43)))</f>
        <v>203.79999999999995</v>
      </c>
      <c r="FF44" s="18">
        <f>FE44*VLOOKUP('Données projet'!$B$16,Paramètres!$A$1:$I$88,3,0)*VLOOKUP('Données projet'!$B$16,Paramètres!$A$1:$I$88,5,0)</f>
        <v>149.42615999999995</v>
      </c>
      <c r="FG44" s="14">
        <f t="shared" si="47"/>
        <v>38.448149345135199</v>
      </c>
      <c r="FH44" s="22">
        <f t="shared" si="22"/>
        <v>327.21442210944372</v>
      </c>
      <c r="FI44" s="62">
        <f t="shared" si="23"/>
        <v>575.81711170394772</v>
      </c>
      <c r="FJ44" s="62">
        <f ca="1">AVERAGE(OFFSET($FI$3,0,0,'Données projet'!$E$16+1,1))-AVERAGE(OFFSET($H$3,0,0,'Données projet'!$E$16+1,1))</f>
        <v>207.66160354686221</v>
      </c>
      <c r="FK44" s="62">
        <f t="shared" si="48"/>
        <v>260.45879589483525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projet'!$B$16,Paramètres!$A$1:$I$88,3,0)*0.475*44/12</f>
        <v>4.1635919290603383</v>
      </c>
      <c r="FR44" s="23">
        <f>EXP(-LN(2)/25)*FR43+(1-EXP(-LN(2)/25))/(LN(2)/25)*Calculateur!FM44*Calculateur!FO44*VLOOKUP('Données projet'!$B$16,Paramètres!$A$1:$I$88,3,0)*0.475*44/12</f>
        <v>0</v>
      </c>
      <c r="FS44" s="23">
        <f>EXP(-LN(2)/2)*FS43+(1-EXP(-LN(2)/2))/(LN(2)/2)*FM44*FP44*VLOOKUP('Données projet'!$B$16,Paramètres!$A$1:$I$88,3,0)*0.475*44/12</f>
        <v>0</v>
      </c>
      <c r="FT44" s="24">
        <f t="shared" si="24"/>
        <v>4.1635919290603383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538</v>
      </c>
      <c r="L45" s="13">
        <f>VLOOKUP(A45,'Données projet'!$A$35:$I$55,9,0)</f>
        <v>26.333333333333332</v>
      </c>
      <c r="M45" s="13">
        <f t="array" ref="M45">INDEX(L:L,MIN(IF(ISNUMBER(L45:L241),ROW(L45:L241),"")))</f>
        <v>26.333333333333332</v>
      </c>
      <c r="N45" s="14">
        <f>IF('Données projet'!$A$36&gt;35,N44+M45-V44,IF(A45&lt;'Données projet'!$A$36,$K$205^A45,IF(A45='Données projet'!$A$36,'Données projet'!$B$36,N44+M45-V44)))</f>
        <v>537.99999999999989</v>
      </c>
      <c r="O45" s="14">
        <f>N45*VLOOKUP('Données projet'!$B$9,Paramètres!$A$1:$I$88,3,0)*VLOOKUP('Données projet'!$B$9,Paramètres!$A$1:$I$88,5,0)</f>
        <v>300.74199999999996</v>
      </c>
      <c r="P45" s="14">
        <f t="shared" si="33"/>
        <v>71.331992805448834</v>
      </c>
      <c r="Q45" s="22">
        <f t="shared" si="53"/>
        <v>648.02887080282335</v>
      </c>
      <c r="R45" s="62">
        <f t="shared" si="0"/>
        <v>897.40753706345811</v>
      </c>
      <c r="S45" s="62">
        <f ca="1">AVERAGE(OFFSET($R$3,0,0,'Données projet'!$E$9+1,1))-AVERAGE(OFFSET($H$3,0,0,'Données projet'!$E$9+1,1))</f>
        <v>378.13552372917843</v>
      </c>
      <c r="T45" s="62">
        <f t="shared" si="34"/>
        <v>528.97123645404952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88</v>
      </c>
      <c r="W45" s="17">
        <f>IF(ISNA(VLOOKUP(A45,'Données projet'!$A$35:$I$55,5,0)),0%,VLOOKUP(A45,'Données projet'!$A$35:$I$55,5,0)*VLOOKUP('Données projet'!$B$9,Paramètres!$A$1:$I$88,7,0))</f>
        <v>0.22000000000000003</v>
      </c>
      <c r="X45" s="17">
        <f>IF(ISNA(VLOOKUP(A45,'Données projet'!$A$35:$I$55,6,0)),0%,VLOOKUP(A45,'Données projet'!$A$35:$I$55,6,0)*VLOOKUP('Données projet'!$B$9,Paramètres!$A$1:$I$88,7,0))</f>
        <v>0.33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40.959268532436653</v>
      </c>
      <c r="AA45" s="23">
        <f>EXP(-LN(2)/25)*AA44+(1-EXP(-LN(2)/25))/(LN(2)/25)*Calculateur!V45*Calculateur!X45*VLOOKUP('Données projet'!$B$9,Paramètres!$A$1:$I$88,3,0)*0.475*44/12</f>
        <v>67.939467470346244</v>
      </c>
      <c r="AB45" s="23">
        <f>EXP(-LN(2)/2)*AB44+(1-EXP(-LN(2)/2))/(LN(2)/2)*V45*Y45*VLOOKUP('Données projet'!$B$9,Paramètres!$A$1:$I$88,3,0)*0.475*44/12</f>
        <v>0</v>
      </c>
      <c r="AC45" s="24">
        <f t="shared" si="3"/>
        <v>108.8987360027829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5.75</v>
      </c>
      <c r="AI45" s="14">
        <f>IF('Données projet'!$A$62&gt;35,AI44+AH45-AQ44,IF(A45&lt;'Données projet'!$A$62,$AF$205^A45,IF(A45='Données projet'!$A$62,'Données projet'!$B$62,AI44+AH45-AQ44)))</f>
        <v>125.75</v>
      </c>
      <c r="AJ45" s="14">
        <f>AI45*VLOOKUP('Données projet'!$B$10,Paramètres!$A$1:$I$88,3,0)*VLOOKUP('Données projet'!$B$10,Paramètres!$A$1:$I$88,5,0)</f>
        <v>113.77859999999998</v>
      </c>
      <c r="AK45" s="14">
        <f t="shared" si="35"/>
        <v>30.21949470818657</v>
      </c>
      <c r="AL45" s="22">
        <f t="shared" si="4"/>
        <v>250.79668161675821</v>
      </c>
      <c r="AM45" s="62">
        <f t="shared" si="5"/>
        <v>500.17534787739294</v>
      </c>
      <c r="AN45" s="62">
        <f ca="1">AVERAGE(OFFSET($AM$3,0,0,'Données projet'!$E$10+1,1))-AVERAGE(OFFSET($H$3,0,0,'Données projet'!$E$10+1,1))</f>
        <v>536.3707066106856</v>
      </c>
      <c r="AO45" s="62">
        <f t="shared" si="36"/>
        <v>217.6280015974086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11.800000000000002</v>
      </c>
      <c r="BD45" s="13">
        <f>IF('Données projet'!$A$88&gt;35,BD44+BC45-BL44,IF(A45&lt;'Données projet'!$A$88,$BA$205^A45,IF(A45='Données projet'!$A$88,'Données projet'!$B$88,BD44+BC45-BL44)))</f>
        <v>216.39999999999998</v>
      </c>
      <c r="BE45" s="14">
        <f>BD45*VLOOKUP('Données projet'!$B$11,Paramètres!$A$1:$I$88,3,0)*VLOOKUP('Données projet'!$B$11,Paramètres!$A$1:$I$88,5,0)</f>
        <v>129.40719999999999</v>
      </c>
      <c r="BF45" s="14">
        <f t="shared" si="37"/>
        <v>33.859344242503859</v>
      </c>
      <c r="BG45" s="22">
        <f t="shared" si="7"/>
        <v>284.35589788902752</v>
      </c>
      <c r="BH45" s="62">
        <f t="shared" si="8"/>
        <v>533.73456414966222</v>
      </c>
      <c r="BI45" s="62">
        <f ca="1">AVERAGE(OFFSET($BH$3,0,0,'Données projet'!$E$11+1,1))-AVERAGE(OFFSET($H$3,0,0,'Données projet'!$E$11+1,1))</f>
        <v>248.66193174773525</v>
      </c>
      <c r="BJ45" s="62">
        <f t="shared" si="38"/>
        <v>249.61655682981151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18.329692713018456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9.7115932817457438</v>
      </c>
      <c r="BS45" s="24">
        <f t="shared" si="9"/>
        <v>28.041285994764202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29.8</v>
      </c>
      <c r="BY45" s="13">
        <f>IF('Données projet'!$A$114&gt;35,BY44+BX45-CG44,IF(A45&lt;'Données projet'!$A$114,$BV$205^A45,IF(A45='Données projet'!$A$114,'Données projet'!$B$114,BY44+BX45-CG44)))</f>
        <v>468.60000000000008</v>
      </c>
      <c r="BZ45" s="14">
        <f>BY45*VLOOKUP('Données projet'!$B$12,Paramètres!$A$1:$I$88,3,0)*VLOOKUP('Données projet'!$B$12,Paramètres!$A$1:$I$88,5,0)</f>
        <v>188.84580000000003</v>
      </c>
      <c r="CA45" s="14">
        <f t="shared" si="39"/>
        <v>47.284685196371136</v>
      </c>
      <c r="CB45" s="22">
        <f t="shared" si="10"/>
        <v>411.26059505034641</v>
      </c>
      <c r="CC45" s="62">
        <f t="shared" si="11"/>
        <v>660.63926131098117</v>
      </c>
      <c r="CD45" s="62">
        <f ca="1">AVERAGE(OFFSET($CC$3,0,0,'Données projet'!$E$12+1,1))-AVERAGE(OFFSET($H$3,0,0,'Données projet'!$E$12+1,1))</f>
        <v>432.59662347701629</v>
      </c>
      <c r="CE45" s="62">
        <f t="shared" si="40"/>
        <v>348.67401091099748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17.365878357968036</v>
      </c>
      <c r="CL45" s="23">
        <f>EXP(-LN(2)/25)*CL44+(1-EXP(-LN(2)/25))/(LN(2)/25)*Calculateur!CG45*Calculateur!CI45*VLOOKUP('Données projet'!$B$12,Paramètres!$A$1:$I$88,3,0)*0.475*44/12</f>
        <v>71.53079283705955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88.896671195027579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20.6</v>
      </c>
      <c r="CT45" s="13">
        <f>IF('Données projet'!$A$140&gt;35,CT44+CS45-DB44,IF(A45&lt;'Données projet'!$A$140,$CQ$205^A45,IF(A45='Données projet'!$A$140,'Données projet'!$B$140,CT44+CS45-DB44)))</f>
        <v>657.2</v>
      </c>
      <c r="CU45" s="18">
        <f>CT45*VLOOKUP('Données projet'!$B$13,Paramètres!$A$1:$I$88,3,0)*VLOOKUP('Données projet'!$B$13,Paramètres!$A$1:$I$88,5,0)</f>
        <v>290.48240000000004</v>
      </c>
      <c r="CV45" s="14">
        <f t="shared" si="41"/>
        <v>69.177480634795671</v>
      </c>
      <c r="CW45" s="22">
        <f t="shared" si="13"/>
        <v>626.40762543893595</v>
      </c>
      <c r="CX45" s="62">
        <f t="shared" si="14"/>
        <v>875.78629169957071</v>
      </c>
      <c r="CY45" s="62">
        <f ca="1">AVERAGE(OFFSET($CX$3,0,0,'Données projet'!$E$13+1,1))-AVERAGE(OFFSET($H$3,0,0,'Données projet'!$E$13+1,1))</f>
        <v>582.26951914082088</v>
      </c>
      <c r="CZ45" s="62">
        <f t="shared" si="42"/>
        <v>434.80429932654715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21.563522471950119</v>
      </c>
      <c r="DG45" s="23">
        <f>EXP(-LN(2)/25)*DG44+(1-EXP(-LN(2)/25))/(LN(2)/25)*Calculateur!DB45*Calculateur!DD45*VLOOKUP('Données projet'!$B$13,Paramètres!$A$1:$I$88,3,0)*0.475*44/12</f>
        <v>73.671972124788709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95.235494596738832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18.2</v>
      </c>
      <c r="DO45" s="13">
        <f>IF('Données projet'!$A$166&gt;35,DO44+DN45-DW44,IF(A45&lt;'Données projet'!$A$166,$DL$205^A45,IF(A45='Données projet'!$A$166,'Données projet'!$B$166,DO44+DN45-DW44)))</f>
        <v>272.39999999999981</v>
      </c>
      <c r="DP45" s="18">
        <f>DO45*VLOOKUP('Données projet'!$B$14,Paramètres!$A$1:$I$88,3,0)*VLOOKUP('Données projet'!$B$14,Paramètres!$A$1:$I$88,5,0)</f>
        <v>131.0243999999999</v>
      </c>
      <c r="DQ45" s="14">
        <f t="shared" si="43"/>
        <v>34.232959853816645</v>
      </c>
      <c r="DR45" s="22">
        <f t="shared" si="16"/>
        <v>287.82323507873048</v>
      </c>
      <c r="DS45" s="62">
        <f t="shared" si="17"/>
        <v>537.20190133936524</v>
      </c>
      <c r="DT45" s="62">
        <f ca="1">AVERAGE(OFFSET($DS$3,0,0,'Données projet'!$E$14+1,1))-AVERAGE(OFFSET($H$3,0,0,'Données projet'!$E$14+1,1))</f>
        <v>273.24375559399846</v>
      </c>
      <c r="DU45" s="62">
        <f t="shared" si="44"/>
        <v>270.77718895097848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projet'!$B$14,Paramètres!$A$1:$I$88,3,0)*0.475*44/12</f>
        <v>16.812774038492815</v>
      </c>
      <c r="EB45" s="23">
        <f>EXP(-LN(2)/25)*EB44+(1-EXP(-LN(2)/25))/(LN(2)/25)*Calculateur!DW45*Calculateur!DY45*VLOOKUP('Données projet'!$B$14,Paramètres!$A$1:$I$88,3,0)*0.475*44/12</f>
        <v>42.033809321802465</v>
      </c>
      <c r="EC45" s="23">
        <f>EXP(-LN(2)/2)*EC44+(1-EXP(-LN(2)/2))/(LN(2)/2)*DW45*DZ45*VLOOKUP('Données projet'!$B$14,Paramètres!$A$1:$I$88,3,0)*0.475*44/12</f>
        <v>0</v>
      </c>
      <c r="ED45" s="24">
        <f t="shared" si="18"/>
        <v>58.846583360295284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18.2</v>
      </c>
      <c r="EJ45" s="13">
        <f>IF('Données projet'!$A$192&gt;35,EJ44+EI45-ER44,IF(A45&lt;'Données projet'!$A$192,$EG$205^A45,IF(A45='Données projet'!$A$192,'Données projet'!$B$192,EJ44+EI45-ER44)))</f>
        <v>272.39999999999981</v>
      </c>
      <c r="EK45" s="18">
        <f>EJ45*VLOOKUP('Données projet'!$B$15,Paramètres!$A$1:$I$88,3,0)*VLOOKUP('Données projet'!$B$15,Paramètres!$A$1:$I$88,5,0)</f>
        <v>127.4831999999999</v>
      </c>
      <c r="EL45" s="14">
        <f t="shared" si="45"/>
        <v>33.414140705258056</v>
      </c>
      <c r="EM45" s="22">
        <f t="shared" si="19"/>
        <v>280.2295350616576</v>
      </c>
      <c r="EN45" s="62">
        <f t="shared" si="20"/>
        <v>529.6082013222923</v>
      </c>
      <c r="EO45" s="62">
        <f ca="1">AVERAGE(OFFSET($EN$3,0,0,'Données projet'!$E$15+1,1))-AVERAGE(OFFSET($H$3,0,0,'Données projet'!$E$15+1,1))</f>
        <v>267.26203506406682</v>
      </c>
      <c r="EP45" s="62">
        <f t="shared" si="46"/>
        <v>265.10857635664843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projet'!$B$15,Paramètres!$A$1:$I$88,3,0)*0.475*44/12</f>
        <v>16.35837474015517</v>
      </c>
      <c r="EW45" s="23">
        <f>EXP(-LN(2)/25)*EW44+(1-EXP(-LN(2)/25))/(LN(2)/25)*Calculateur!ER45*Calculateur!ET45*VLOOKUP('Données projet'!$B$15,Paramètres!$A$1:$I$88,3,0)*0.475*44/12</f>
        <v>40.897760421213214</v>
      </c>
      <c r="EX45" s="23">
        <f>EXP(-LN(2)/2)*EX44+(1-EXP(-LN(2)/2))/(LN(2)/2)*ER45*EU45*VLOOKUP('Données projet'!$B$15,Paramètres!$A$1:$I$88,3,0)*0.475*44/12</f>
        <v>0</v>
      </c>
      <c r="EY45" s="24">
        <f t="shared" si="21"/>
        <v>57.256135161368384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6.8</v>
      </c>
      <c r="FE45" s="13">
        <f>IF('Données projet'!$A$218&gt;35,FE44+FD45-FM44,IF(A45&lt;'Données projet'!$A$218,$FB$205^A45,IF(A45='Données projet'!$A$218,'Données projet'!$B$218,FE44+FD45-FM44)))</f>
        <v>210.59999999999997</v>
      </c>
      <c r="FF45" s="18">
        <f>FE45*VLOOKUP('Données projet'!$B$16,Paramètres!$A$1:$I$88,3,0)*VLOOKUP('Données projet'!$B$16,Paramètres!$A$1:$I$88,5,0)</f>
        <v>154.41191999999998</v>
      </c>
      <c r="FG45" s="14">
        <f t="shared" si="47"/>
        <v>39.579512453354198</v>
      </c>
      <c r="FH45" s="22">
        <f t="shared" si="22"/>
        <v>337.86841152292521</v>
      </c>
      <c r="FI45" s="62">
        <f t="shared" si="23"/>
        <v>587.24707778355992</v>
      </c>
      <c r="FJ45" s="62">
        <f ca="1">AVERAGE(OFFSET($FI$3,0,0,'Données projet'!$E$16+1,1))-AVERAGE(OFFSET($H$3,0,0,'Données projet'!$E$16+1,1))</f>
        <v>207.66160354686221</v>
      </c>
      <c r="FK45" s="62">
        <f t="shared" si="48"/>
        <v>260.45879589483525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projet'!$B$16,Paramètres!$A$1:$I$88,3,0)*0.475*44/12</f>
        <v>4.081946430871783</v>
      </c>
      <c r="FR45" s="23">
        <f>EXP(-LN(2)/25)*FR44+(1-EXP(-LN(2)/25))/(LN(2)/25)*Calculateur!FM45*Calculateur!FO45*VLOOKUP('Données projet'!$B$16,Paramètres!$A$1:$I$88,3,0)*0.475*44/12</f>
        <v>0</v>
      </c>
      <c r="FS45" s="23">
        <f>EXP(-LN(2)/2)*FS44+(1-EXP(-LN(2)/2))/(LN(2)/2)*FM45*FP45*VLOOKUP('Données projet'!$B$16,Paramètres!$A$1:$I$88,3,0)*0.475*44/12</f>
        <v>0</v>
      </c>
      <c r="FT45" s="24">
        <f t="shared" si="24"/>
        <v>4.081946430871783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25.166666666666668</v>
      </c>
      <c r="N46" s="14">
        <f>IF('Données projet'!$A$36&gt;35,N45+M46-V45,IF(A46&lt;'Données projet'!$A$36,$K$205^A46,IF(A46='Données projet'!$A$36,'Données projet'!$B$36,N45+M46-V45)))</f>
        <v>475.16666666666652</v>
      </c>
      <c r="O46" s="14">
        <f>N46*VLOOKUP('Données projet'!$B$9,Paramètres!$A$1:$I$88,3,0)*VLOOKUP('Données projet'!$B$9,Paramètres!$A$1:$I$88,5,0)</f>
        <v>265.61816666666658</v>
      </c>
      <c r="P46" s="14">
        <f t="shared" si="33"/>
        <v>63.918449963047308</v>
      </c>
      <c r="Q46" s="22">
        <f t="shared" si="53"/>
        <v>573.94294063008499</v>
      </c>
      <c r="R46" s="62">
        <f t="shared" si="0"/>
        <v>824.08412209651704</v>
      </c>
      <c r="S46" s="62">
        <f ca="1">AVERAGE(OFFSET($R$3,0,0,'Données projet'!$E$9+1,1))-AVERAGE(OFFSET($H$3,0,0,'Données projet'!$E$9+1,1))</f>
        <v>378.13552372917843</v>
      </c>
      <c r="T46" s="62">
        <f t="shared" si="34"/>
        <v>528.97123645404952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40.156082259202542</v>
      </c>
      <c r="AA46" s="23">
        <f>EXP(-LN(2)/25)*AA45+(1-EXP(-LN(2)/25))/(LN(2)/25)*Calculateur!V46*Calculateur!X46*VLOOKUP('Données projet'!$B$9,Paramètres!$A$1:$I$88,3,0)*0.475*44/12</f>
        <v>66.081659159588312</v>
      </c>
      <c r="AB46" s="23">
        <f>EXP(-LN(2)/2)*AB45+(1-EXP(-LN(2)/2))/(LN(2)/2)*V46*Y46*VLOOKUP('Données projet'!$B$9,Paramètres!$A$1:$I$88,3,0)*0.475*44/12</f>
        <v>0</v>
      </c>
      <c r="AC46" s="24">
        <f t="shared" si="3"/>
        <v>106.23774141879085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5.75</v>
      </c>
      <c r="AI46" s="14">
        <f>IF('Données projet'!$A$62&gt;35,AI45+AH46-AQ45,IF(A46&lt;'Données projet'!$A$62,$AF$205^A46,IF(A46='Données projet'!$A$62,'Données projet'!$B$62,AI45+AH46-AQ45)))</f>
        <v>131.5</v>
      </c>
      <c r="AJ46" s="14">
        <f>AI46*VLOOKUP('Données projet'!$B$10,Paramètres!$A$1:$I$88,3,0)*VLOOKUP('Données projet'!$B$10,Paramètres!$A$1:$I$88,5,0)</f>
        <v>118.9812</v>
      </c>
      <c r="AK46" s="14">
        <f t="shared" si="35"/>
        <v>31.437263140578366</v>
      </c>
      <c r="AL46" s="22">
        <f t="shared" si="4"/>
        <v>261.97882330317395</v>
      </c>
      <c r="AM46" s="62">
        <f t="shared" si="5"/>
        <v>512.120004769606</v>
      </c>
      <c r="AN46" s="62">
        <f ca="1">AVERAGE(OFFSET($AM$3,0,0,'Données projet'!$E$10+1,1))-AVERAGE(OFFSET($H$3,0,0,'Données projet'!$E$10+1,1))</f>
        <v>536.3707066106856</v>
      </c>
      <c r="AO46" s="62">
        <f t="shared" si="36"/>
        <v>217.6280015974086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11.800000000000002</v>
      </c>
      <c r="BD46" s="13">
        <f>IF('Données projet'!$A$88&gt;35,BD45+BC46-BL45,IF(A46&lt;'Données projet'!$A$88,$BA$205^A46,IF(A46='Données projet'!$A$88,'Données projet'!$B$88,BD45+BC46-BL45)))</f>
        <v>228.2</v>
      </c>
      <c r="BE46" s="14">
        <f>BD46*VLOOKUP('Données projet'!$B$11,Paramètres!$A$1:$I$88,3,0)*VLOOKUP('Données projet'!$B$11,Paramètres!$A$1:$I$88,5,0)</f>
        <v>136.46359999999999</v>
      </c>
      <c r="BF46" s="14">
        <f t="shared" si="37"/>
        <v>35.485663555001167</v>
      </c>
      <c r="BG46" s="22">
        <f t="shared" si="7"/>
        <v>299.478300691627</v>
      </c>
      <c r="BH46" s="62">
        <f t="shared" si="8"/>
        <v>549.6194821580591</v>
      </c>
      <c r="BI46" s="62">
        <f ca="1">AVERAGE(OFFSET($BH$3,0,0,'Données projet'!$E$11+1,1))-AVERAGE(OFFSET($H$3,0,0,'Données projet'!$E$11+1,1))</f>
        <v>248.66193174773525</v>
      </c>
      <c r="BJ46" s="62">
        <f t="shared" si="38"/>
        <v>249.61655682981151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17.970258618924785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6.8671334656481333</v>
      </c>
      <c r="BS46" s="24">
        <f t="shared" si="9"/>
        <v>24.837392084572919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29.8</v>
      </c>
      <c r="BY46" s="13">
        <f>IF('Données projet'!$A$114&gt;35,BY45+BX46-CG45,IF(A46&lt;'Données projet'!$A$114,$BV$205^A46,IF(A46='Données projet'!$A$114,'Données projet'!$B$114,BY45+BX46-CG45)))</f>
        <v>498.40000000000009</v>
      </c>
      <c r="BZ46" s="14">
        <f>BY46*VLOOKUP('Données projet'!$B$12,Paramètres!$A$1:$I$88,3,0)*VLOOKUP('Données projet'!$B$12,Paramètres!$A$1:$I$88,5,0)</f>
        <v>200.85520000000002</v>
      </c>
      <c r="CA46" s="14">
        <f t="shared" si="39"/>
        <v>49.932068102202692</v>
      </c>
      <c r="CB46" s="22">
        <f t="shared" si="10"/>
        <v>436.78782527800303</v>
      </c>
      <c r="CC46" s="62">
        <f t="shared" si="11"/>
        <v>686.92900674443513</v>
      </c>
      <c r="CD46" s="62">
        <f ca="1">AVERAGE(OFFSET($CC$3,0,0,'Données projet'!$E$12+1,1))-AVERAGE(OFFSET($H$3,0,0,'Données projet'!$E$12+1,1))</f>
        <v>432.59662347701629</v>
      </c>
      <c r="CE46" s="62">
        <f t="shared" si="40"/>
        <v>348.67401091099748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17.025344075508194</v>
      </c>
      <c r="CL46" s="23">
        <f>EXP(-LN(2)/25)*CL45+(1-EXP(-LN(2)/25))/(LN(2)/25)*Calculateur!CG46*Calculateur!CI46*VLOOKUP('Données projet'!$B$12,Paramètres!$A$1:$I$88,3,0)*0.475*44/12</f>
        <v>69.574779545289246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86.600123620797433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20.6</v>
      </c>
      <c r="CT46" s="13">
        <f>IF('Données projet'!$A$140&gt;35,CT45+CS46-DB45,IF(A46&lt;'Données projet'!$A$140,$CQ$205^A46,IF(A46='Données projet'!$A$140,'Données projet'!$B$140,CT45+CS46-DB45)))</f>
        <v>677.80000000000007</v>
      </c>
      <c r="CU46" s="18">
        <f>CT46*VLOOKUP('Données projet'!$B$13,Paramètres!$A$1:$I$88,3,0)*VLOOKUP('Données projet'!$B$13,Paramètres!$A$1:$I$88,5,0)</f>
        <v>299.58760000000007</v>
      </c>
      <c r="CV46" s="14">
        <f t="shared" si="41"/>
        <v>71.090001674814019</v>
      </c>
      <c r="CW46" s="22">
        <f t="shared" si="13"/>
        <v>645.59682291696788</v>
      </c>
      <c r="CX46" s="62">
        <f t="shared" si="14"/>
        <v>895.73800438339993</v>
      </c>
      <c r="CY46" s="62">
        <f ca="1">AVERAGE(OFFSET($CX$3,0,0,'Données projet'!$E$13+1,1))-AVERAGE(OFFSET($H$3,0,0,'Données projet'!$E$13+1,1))</f>
        <v>582.26951914082088</v>
      </c>
      <c r="CZ46" s="62">
        <f t="shared" si="42"/>
        <v>434.80429932654715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21.140674948725188</v>
      </c>
      <c r="DG46" s="23">
        <f>EXP(-LN(2)/25)*DG45+(1-EXP(-LN(2)/25))/(LN(2)/25)*Calculateur!DB46*Calculateur!DD46*VLOOKUP('Données projet'!$B$13,Paramètres!$A$1:$I$88,3,0)*0.475*44/12</f>
        <v>71.657408172795726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92.798083121520918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18.2</v>
      </c>
      <c r="DO46" s="13">
        <f>IF('Données projet'!$A$166&gt;35,DO45+DN46-DW45,IF(A46&lt;'Données projet'!$A$166,$DL$205^A46,IF(A46='Données projet'!$A$166,'Données projet'!$B$166,DO45+DN46-DW45)))</f>
        <v>290.5999999999998</v>
      </c>
      <c r="DP46" s="18">
        <f>DO46*VLOOKUP('Données projet'!$B$14,Paramètres!$A$1:$I$88,3,0)*VLOOKUP('Données projet'!$B$14,Paramètres!$A$1:$I$88,5,0)</f>
        <v>139.7785999999999</v>
      </c>
      <c r="DQ46" s="14">
        <f t="shared" si="43"/>
        <v>36.246281193068057</v>
      </c>
      <c r="DR46" s="22">
        <f t="shared" si="16"/>
        <v>306.57666807792663</v>
      </c>
      <c r="DS46" s="62">
        <f t="shared" si="17"/>
        <v>556.71784954435861</v>
      </c>
      <c r="DT46" s="62">
        <f ca="1">AVERAGE(OFFSET($DS$3,0,0,'Données projet'!$E$14+1,1))-AVERAGE(OFFSET($H$3,0,0,'Données projet'!$E$14+1,1))</f>
        <v>273.24375559399846</v>
      </c>
      <c r="DU46" s="62">
        <f t="shared" si="44"/>
        <v>270.77718895097848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projet'!$B$14,Paramètres!$A$1:$I$88,3,0)*0.475*44/12</f>
        <v>16.483085794377558</v>
      </c>
      <c r="EB46" s="23">
        <f>EXP(-LN(2)/25)*EB45+(1-EXP(-LN(2)/25))/(LN(2)/25)*Calculateur!DW46*Calculateur!DY46*VLOOKUP('Données projet'!$B$14,Paramètres!$A$1:$I$88,3,0)*0.475*44/12</f>
        <v>40.884392595435813</v>
      </c>
      <c r="EC46" s="23">
        <f>EXP(-LN(2)/2)*EC45+(1-EXP(-LN(2)/2))/(LN(2)/2)*DW46*DZ46*VLOOKUP('Données projet'!$B$14,Paramètres!$A$1:$I$88,3,0)*0.475*44/12</f>
        <v>0</v>
      </c>
      <c r="ED46" s="24">
        <f t="shared" si="18"/>
        <v>57.367478389813371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18.2</v>
      </c>
      <c r="EJ46" s="13">
        <f>IF('Données projet'!$A$192&gt;35,EJ45+EI46-ER45,IF(A46&lt;'Données projet'!$A$192,$EG$205^A46,IF(A46='Données projet'!$A$192,'Données projet'!$B$192,EJ45+EI46-ER45)))</f>
        <v>290.5999999999998</v>
      </c>
      <c r="EK46" s="18">
        <f>EJ46*VLOOKUP('Données projet'!$B$15,Paramètres!$A$1:$I$88,3,0)*VLOOKUP('Données projet'!$B$15,Paramètres!$A$1:$I$88,5,0)</f>
        <v>136.00079999999991</v>
      </c>
      <c r="EL46" s="14">
        <f t="shared" si="45"/>
        <v>35.37930535365301</v>
      </c>
      <c r="EM46" s="22">
        <f t="shared" si="19"/>
        <v>298.48701682427884</v>
      </c>
      <c r="EN46" s="62">
        <f t="shared" si="20"/>
        <v>548.62819829071088</v>
      </c>
      <c r="EO46" s="62">
        <f ca="1">AVERAGE(OFFSET($EN$3,0,0,'Données projet'!$E$15+1,1))-AVERAGE(OFFSET($H$3,0,0,'Données projet'!$E$15+1,1))</f>
        <v>267.26203506406682</v>
      </c>
      <c r="EP46" s="62">
        <f t="shared" si="46"/>
        <v>265.10857635664843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projet'!$B$15,Paramètres!$A$1:$I$88,3,0)*0.475*44/12</f>
        <v>16.037596989124111</v>
      </c>
      <c r="EW46" s="23">
        <f>EXP(-LN(2)/25)*EW45+(1-EXP(-LN(2)/25))/(LN(2)/25)*Calculateur!ER46*Calculateur!ET46*VLOOKUP('Données projet'!$B$15,Paramètres!$A$1:$I$88,3,0)*0.475*44/12</f>
        <v>39.779409011775392</v>
      </c>
      <c r="EX46" s="23">
        <f>EXP(-LN(2)/2)*EX45+(1-EXP(-LN(2)/2))/(LN(2)/2)*ER46*EU46*VLOOKUP('Données projet'!$B$15,Paramètres!$A$1:$I$88,3,0)*0.475*44/12</f>
        <v>0</v>
      </c>
      <c r="EY46" s="24">
        <f t="shared" si="21"/>
        <v>55.817006000899504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6.8</v>
      </c>
      <c r="FE46" s="13">
        <f>IF('Données projet'!$A$218&gt;35,FE45+FD46-FM45,IF(A46&lt;'Données projet'!$A$218,$FB$205^A46,IF(A46='Données projet'!$A$218,'Données projet'!$B$218,FE45+FD46-FM45)))</f>
        <v>217.39999999999998</v>
      </c>
      <c r="FF46" s="18">
        <f>FE46*VLOOKUP('Données projet'!$B$16,Paramètres!$A$1:$I$88,3,0)*VLOOKUP('Données projet'!$B$16,Paramètres!$A$1:$I$88,5,0)</f>
        <v>159.39767999999998</v>
      </c>
      <c r="FG46" s="14">
        <f t="shared" si="47"/>
        <v>40.706630642646523</v>
      </c>
      <c r="FH46" s="22">
        <f t="shared" si="22"/>
        <v>348.51500770260935</v>
      </c>
      <c r="FI46" s="62">
        <f t="shared" si="23"/>
        <v>598.65618916904145</v>
      </c>
      <c r="FJ46" s="62">
        <f ca="1">AVERAGE(OFFSET($FI$3,0,0,'Données projet'!$E$16+1,1))-AVERAGE(OFFSET($H$3,0,0,'Données projet'!$E$16+1,1))</f>
        <v>207.66160354686221</v>
      </c>
      <c r="FK46" s="62">
        <f t="shared" si="48"/>
        <v>260.45879589483525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projet'!$B$16,Paramètres!$A$1:$I$88,3,0)*0.475*44/12</f>
        <v>4.0019019511038687</v>
      </c>
      <c r="FR46" s="23">
        <f>EXP(-LN(2)/25)*FR45+(1-EXP(-LN(2)/25))/(LN(2)/25)*Calculateur!FM46*Calculateur!FO46*VLOOKUP('Données projet'!$B$16,Paramètres!$A$1:$I$88,3,0)*0.475*44/12</f>
        <v>0</v>
      </c>
      <c r="FS46" s="23">
        <f>EXP(-LN(2)/2)*FS45+(1-EXP(-LN(2)/2))/(LN(2)/2)*FM46*FP46*VLOOKUP('Données projet'!$B$16,Paramètres!$A$1:$I$88,3,0)*0.475*44/12</f>
        <v>0</v>
      </c>
      <c r="FT46" s="24">
        <f t="shared" si="24"/>
        <v>4.0019019511038687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25.166666666666668</v>
      </c>
      <c r="N47" s="14">
        <f>IF('Données projet'!$A$36&gt;35,N46+M47-V46,IF(A47&lt;'Données projet'!$A$36,$K$205^A47,IF(A47='Données projet'!$A$36,'Données projet'!$B$36,N46+M47-V46)))</f>
        <v>500.3333333333332</v>
      </c>
      <c r="O47" s="14">
        <f>N47*VLOOKUP('Données projet'!$B$9,Paramètres!$A$1:$I$88,3,0)*VLOOKUP('Données projet'!$B$9,Paramètres!$A$1:$I$88,5,0)</f>
        <v>279.68633333333327</v>
      </c>
      <c r="P47" s="14">
        <f t="shared" si="33"/>
        <v>66.900717774032884</v>
      </c>
      <c r="Q47" s="22">
        <f t="shared" si="53"/>
        <v>603.63911401199607</v>
      </c>
      <c r="R47" s="62">
        <f t="shared" si="0"/>
        <v>854.5295827501335</v>
      </c>
      <c r="S47" s="62">
        <f ca="1">AVERAGE(OFFSET($R$3,0,0,'Données projet'!$E$9+1,1))-AVERAGE(OFFSET($H$3,0,0,'Données projet'!$E$9+1,1))</f>
        <v>378.13552372917843</v>
      </c>
      <c r="T47" s="62">
        <f t="shared" si="34"/>
        <v>528.97123645404952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39.368645978891294</v>
      </c>
      <c r="AA47" s="23">
        <f>EXP(-LN(2)/25)*AA46+(1-EXP(-LN(2)/25))/(LN(2)/25)*Calculateur!V47*Calculateur!X47*VLOOKUP('Données projet'!$B$9,Paramètres!$A$1:$I$88,3,0)*0.475*44/12</f>
        <v>64.274652714785944</v>
      </c>
      <c r="AB47" s="23">
        <f>EXP(-LN(2)/2)*AB46+(1-EXP(-LN(2)/2))/(LN(2)/2)*V47*Y47*VLOOKUP('Données projet'!$B$9,Paramètres!$A$1:$I$88,3,0)*0.475*44/12</f>
        <v>0</v>
      </c>
      <c r="AC47" s="24">
        <f t="shared" si="3"/>
        <v>103.64329869367724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5.75</v>
      </c>
      <c r="AI47" s="14">
        <f>IF('Données projet'!$A$62&gt;35,AI46+AH47-AQ46,IF(A47&lt;'Données projet'!$A$62,$AF$205^A47,IF(A47='Données projet'!$A$62,'Données projet'!$B$62,AI46+AH47-AQ46)))</f>
        <v>137.25</v>
      </c>
      <c r="AJ47" s="14">
        <f>AI47*VLOOKUP('Données projet'!$B$10,Paramètres!$A$1:$I$88,3,0)*VLOOKUP('Données projet'!$B$10,Paramètres!$A$1:$I$88,5,0)</f>
        <v>124.18379999999999</v>
      </c>
      <c r="AK47" s="14">
        <f t="shared" si="35"/>
        <v>32.648847121304541</v>
      </c>
      <c r="AL47" s="22">
        <f t="shared" si="4"/>
        <v>273.15019373627206</v>
      </c>
      <c r="AM47" s="62">
        <f t="shared" si="5"/>
        <v>524.04066247440949</v>
      </c>
      <c r="AN47" s="62">
        <f ca="1">AVERAGE(OFFSET($AM$3,0,0,'Données projet'!$E$10+1,1))-AVERAGE(OFFSET($H$3,0,0,'Données projet'!$E$10+1,1))</f>
        <v>536.3707066106856</v>
      </c>
      <c r="AO47" s="62">
        <f t="shared" si="36"/>
        <v>217.6280015974086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11.800000000000002</v>
      </c>
      <c r="BD47" s="13">
        <f>IF('Données projet'!$A$88&gt;35,BD46+BC47-BL46,IF(A47&lt;'Données projet'!$A$88,$BA$205^A47,IF(A47='Données projet'!$A$88,'Données projet'!$B$88,BD46+BC47-BL46)))</f>
        <v>240</v>
      </c>
      <c r="BE47" s="14">
        <f>BD47*VLOOKUP('Données projet'!$B$11,Paramètres!$A$1:$I$88,3,0)*VLOOKUP('Données projet'!$B$11,Paramètres!$A$1:$I$88,5,0)</f>
        <v>143.52000000000001</v>
      </c>
      <c r="BF47" s="14">
        <f t="shared" si="37"/>
        <v>37.102218970378601</v>
      </c>
      <c r="BG47" s="22">
        <f t="shared" si="7"/>
        <v>314.58369804007606</v>
      </c>
      <c r="BH47" s="62">
        <f t="shared" si="8"/>
        <v>565.47416677821343</v>
      </c>
      <c r="BI47" s="62">
        <f ca="1">AVERAGE(OFFSET($BH$3,0,0,'Données projet'!$E$11+1,1))-AVERAGE(OFFSET($H$3,0,0,'Données projet'!$E$11+1,1))</f>
        <v>248.66193174773525</v>
      </c>
      <c r="BJ47" s="62">
        <f t="shared" si="38"/>
        <v>249.61655682981151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17.61787280818314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4.8557966408728728</v>
      </c>
      <c r="BS47" s="24">
        <f t="shared" si="9"/>
        <v>22.473669449056011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29.8</v>
      </c>
      <c r="BY47" s="13">
        <f>IF('Données projet'!$A$114&gt;35,BY46+BX47-CG46,IF(A47&lt;'Données projet'!$A$114,$BV$205^A47,IF(A47='Données projet'!$A$114,'Données projet'!$B$114,BY46+BX47-CG46)))</f>
        <v>528.20000000000005</v>
      </c>
      <c r="BZ47" s="14">
        <f>BY47*VLOOKUP('Données projet'!$B$12,Paramètres!$A$1:$I$88,3,0)*VLOOKUP('Données projet'!$B$12,Paramètres!$A$1:$I$88,5,0)</f>
        <v>212.86460000000002</v>
      </c>
      <c r="CA47" s="14">
        <f t="shared" si="39"/>
        <v>52.561078401932612</v>
      </c>
      <c r="CB47" s="22">
        <f t="shared" si="10"/>
        <v>462.28305655003265</v>
      </c>
      <c r="CC47" s="62">
        <f t="shared" si="11"/>
        <v>713.17352528817014</v>
      </c>
      <c r="CD47" s="62">
        <f ca="1">AVERAGE(OFFSET($CC$3,0,0,'Données projet'!$E$12+1,1))-AVERAGE(OFFSET($H$3,0,0,'Données projet'!$E$12+1,1))</f>
        <v>432.59662347701629</v>
      </c>
      <c r="CE47" s="62">
        <f t="shared" si="40"/>
        <v>348.67401091099748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16.691487462621986</v>
      </c>
      <c r="CL47" s="23">
        <f>EXP(-LN(2)/25)*CL46+(1-EXP(-LN(2)/25))/(LN(2)/25)*Calculateur!CG47*Calculateur!CI47*VLOOKUP('Données projet'!$B$12,Paramètres!$A$1:$I$88,3,0)*0.475*44/12</f>
        <v>67.672253539844675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84.363741002466668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20.6</v>
      </c>
      <c r="CT47" s="13">
        <f>IF('Données projet'!$A$140&gt;35,CT46+CS47-DB46,IF(A47&lt;'Données projet'!$A$140,$CQ$205^A47,IF(A47='Données projet'!$A$140,'Données projet'!$B$140,CT46+CS47-DB46)))</f>
        <v>698.40000000000009</v>
      </c>
      <c r="CU47" s="18">
        <f>CT47*VLOOKUP('Données projet'!$B$13,Paramètres!$A$1:$I$88,3,0)*VLOOKUP('Données projet'!$B$13,Paramètres!$A$1:$I$88,5,0)</f>
        <v>308.69280000000009</v>
      </c>
      <c r="CV47" s="14">
        <f t="shared" si="41"/>
        <v>72.995767680913616</v>
      </c>
      <c r="CW47" s="22">
        <f t="shared" si="13"/>
        <v>664.77425537759143</v>
      </c>
      <c r="CX47" s="62">
        <f t="shared" si="14"/>
        <v>915.66472411572886</v>
      </c>
      <c r="CY47" s="62">
        <f ca="1">AVERAGE(OFFSET($CX$3,0,0,'Données projet'!$E$13+1,1))-AVERAGE(OFFSET($H$3,0,0,'Données projet'!$E$13+1,1))</f>
        <v>582.26951914082088</v>
      </c>
      <c r="CZ47" s="62">
        <f t="shared" si="42"/>
        <v>434.80429932654715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20.726119207519176</v>
      </c>
      <c r="DG47" s="23">
        <f>EXP(-LN(2)/25)*DG46+(1-EXP(-LN(2)/25))/(LN(2)/25)*Calculateur!DB47*Calculateur!DD47*VLOOKUP('Données projet'!$B$13,Paramètres!$A$1:$I$88,3,0)*0.475*44/12</f>
        <v>69.697932578011304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90.42405178553048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18.2</v>
      </c>
      <c r="DO47" s="13">
        <f>IF('Données projet'!$A$166&gt;35,DO46+DN47-DW46,IF(A47&lt;'Données projet'!$A$166,$DL$205^A47,IF(A47='Données projet'!$A$166,'Données projet'!$B$166,DO46+DN47-DW46)))</f>
        <v>308.79999999999978</v>
      </c>
      <c r="DP47" s="18">
        <f>DO47*VLOOKUP('Données projet'!$B$14,Paramètres!$A$1:$I$88,3,0)*VLOOKUP('Données projet'!$B$14,Paramètres!$A$1:$I$88,5,0)</f>
        <v>148.5327999999999</v>
      </c>
      <c r="DQ47" s="14">
        <f t="shared" si="43"/>
        <v>38.244968650620514</v>
      </c>
      <c r="DR47" s="22">
        <f t="shared" si="16"/>
        <v>325.30461373316388</v>
      </c>
      <c r="DS47" s="62">
        <f t="shared" si="17"/>
        <v>576.19508247130125</v>
      </c>
      <c r="DT47" s="62">
        <f ca="1">AVERAGE(OFFSET($DS$3,0,0,'Données projet'!$E$14+1,1))-AVERAGE(OFFSET($H$3,0,0,'Données projet'!$E$14+1,1))</f>
        <v>273.24375559399846</v>
      </c>
      <c r="DU47" s="62">
        <f t="shared" si="44"/>
        <v>270.77718895097848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projet'!$B$14,Paramètres!$A$1:$I$88,3,0)*0.475*44/12</f>
        <v>16.15986253563943</v>
      </c>
      <c r="EB47" s="23">
        <f>EXP(-LN(2)/25)*EB46+(1-EXP(-LN(2)/25))/(LN(2)/25)*Calculateur!DW47*Calculateur!DY47*VLOOKUP('Données projet'!$B$14,Paramètres!$A$1:$I$88,3,0)*0.475*44/12</f>
        <v>39.766406729896858</v>
      </c>
      <c r="EC47" s="23">
        <f>EXP(-LN(2)/2)*EC46+(1-EXP(-LN(2)/2))/(LN(2)/2)*DW47*DZ47*VLOOKUP('Données projet'!$B$14,Paramètres!$A$1:$I$88,3,0)*0.475*44/12</f>
        <v>0</v>
      </c>
      <c r="ED47" s="24">
        <f t="shared" si="18"/>
        <v>55.926269265536291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18.2</v>
      </c>
      <c r="EJ47" s="13">
        <f>IF('Données projet'!$A$192&gt;35,EJ46+EI47-ER46,IF(A47&lt;'Données projet'!$A$192,$EG$205^A47,IF(A47='Données projet'!$A$192,'Données projet'!$B$192,EJ46+EI47-ER46)))</f>
        <v>308.79999999999978</v>
      </c>
      <c r="EK47" s="18">
        <f>EJ47*VLOOKUP('Données projet'!$B$15,Paramètres!$A$1:$I$88,3,0)*VLOOKUP('Données projet'!$B$15,Paramètres!$A$1:$I$88,5,0)</f>
        <v>144.5183999999999</v>
      </c>
      <c r="EL47" s="14">
        <f t="shared" si="45"/>
        <v>37.330186148585099</v>
      </c>
      <c r="EM47" s="22">
        <f t="shared" si="19"/>
        <v>316.71962087545222</v>
      </c>
      <c r="EN47" s="62">
        <f t="shared" si="20"/>
        <v>567.61008961358971</v>
      </c>
      <c r="EO47" s="62">
        <f ca="1">AVERAGE(OFFSET($EN$3,0,0,'Données projet'!$E$15+1,1))-AVERAGE(OFFSET($H$3,0,0,'Données projet'!$E$15+1,1))</f>
        <v>267.26203506406682</v>
      </c>
      <c r="EP47" s="62">
        <f t="shared" si="46"/>
        <v>265.10857635664843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projet'!$B$15,Paramètres!$A$1:$I$88,3,0)*0.475*44/12</f>
        <v>15.723109494135661</v>
      </c>
      <c r="EW47" s="23">
        <f>EXP(-LN(2)/25)*EW46+(1-EXP(-LN(2)/25))/(LN(2)/25)*Calculateur!ER47*Calculateur!ET47*VLOOKUP('Données projet'!$B$15,Paramètres!$A$1:$I$88,3,0)*0.475*44/12</f>
        <v>38.691638980440189</v>
      </c>
      <c r="EX47" s="23">
        <f>EXP(-LN(2)/2)*EX46+(1-EXP(-LN(2)/2))/(LN(2)/2)*ER47*EU47*VLOOKUP('Données projet'!$B$15,Paramètres!$A$1:$I$88,3,0)*0.475*44/12</f>
        <v>0</v>
      </c>
      <c r="EY47" s="24">
        <f t="shared" si="21"/>
        <v>54.414748474575852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6.8</v>
      </c>
      <c r="FE47" s="13">
        <f>IF('Données projet'!$A$218&gt;35,FE46+FD47-FM46,IF(A47&lt;'Données projet'!$A$218,$FB$205^A47,IF(A47='Données projet'!$A$218,'Données projet'!$B$218,FE46+FD47-FM46)))</f>
        <v>224.2</v>
      </c>
      <c r="FF47" s="18">
        <f>FE47*VLOOKUP('Données projet'!$B$16,Paramètres!$A$1:$I$88,3,0)*VLOOKUP('Données projet'!$B$16,Paramètres!$A$1:$I$88,5,0)</f>
        <v>164.38344000000001</v>
      </c>
      <c r="FG47" s="14">
        <f t="shared" si="47"/>
        <v>41.82965192331919</v>
      </c>
      <c r="FH47" s="22">
        <f t="shared" si="22"/>
        <v>359.15446843311429</v>
      </c>
      <c r="FI47" s="62">
        <f t="shared" si="23"/>
        <v>610.04493717125172</v>
      </c>
      <c r="FJ47" s="62">
        <f ca="1">AVERAGE(OFFSET($FI$3,0,0,'Données projet'!$E$16+1,1))-AVERAGE(OFFSET($H$3,0,0,'Données projet'!$E$16+1,1))</f>
        <v>207.66160354686221</v>
      </c>
      <c r="FK47" s="62">
        <f t="shared" si="48"/>
        <v>260.45879589483525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projet'!$B$16,Paramètres!$A$1:$I$88,3,0)*0.475*44/12</f>
        <v>3.9234270947618914</v>
      </c>
      <c r="FR47" s="23">
        <f>EXP(-LN(2)/25)*FR46+(1-EXP(-LN(2)/25))/(LN(2)/25)*Calculateur!FM47*Calculateur!FO47*VLOOKUP('Données projet'!$B$16,Paramètres!$A$1:$I$88,3,0)*0.475*44/12</f>
        <v>0</v>
      </c>
      <c r="FS47" s="23">
        <f>EXP(-LN(2)/2)*FS46+(1-EXP(-LN(2)/2))/(LN(2)/2)*FM47*FP47*VLOOKUP('Données projet'!$B$16,Paramètres!$A$1:$I$88,3,0)*0.475*44/12</f>
        <v>0</v>
      </c>
      <c r="FT47" s="24">
        <f t="shared" si="24"/>
        <v>3.9234270947618914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25.166666666666668</v>
      </c>
      <c r="N48" s="14">
        <f>IF('Données projet'!$A$36&gt;35,N47+M48-V47,IF(A48&lt;'Données projet'!$A$36,$K$205^A48,IF(A48='Données projet'!$A$36,'Données projet'!$B$36,N47+M48-V47)))</f>
        <v>525.49999999999989</v>
      </c>
      <c r="O48" s="14">
        <f>N48*VLOOKUP('Données projet'!$B$9,Paramètres!$A$1:$I$88,3,0)*VLOOKUP('Données projet'!$B$9,Paramètres!$A$1:$I$88,5,0)</f>
        <v>293.75449999999995</v>
      </c>
      <c r="P48" s="14">
        <f t="shared" si="33"/>
        <v>69.865567977016994</v>
      </c>
      <c r="Q48" s="22">
        <f t="shared" si="53"/>
        <v>633.3049517266378</v>
      </c>
      <c r="R48" s="62">
        <f t="shared" si="0"/>
        <v>884.9317092774719</v>
      </c>
      <c r="S48" s="62">
        <f ca="1">AVERAGE(OFFSET($R$3,0,0,'Données projet'!$E$9+1,1))-AVERAGE(OFFSET($H$3,0,0,'Données projet'!$E$9+1,1))</f>
        <v>378.13552372917843</v>
      </c>
      <c r="T48" s="62">
        <f t="shared" si="34"/>
        <v>528.97123645404952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38.596650843748243</v>
      </c>
      <c r="AA48" s="23">
        <f>EXP(-LN(2)/25)*AA47+(1-EXP(-LN(2)/25))/(LN(2)/25)*Calculateur!V48*Calculateur!X48*VLOOKUP('Données projet'!$B$9,Paramètres!$A$1:$I$88,3,0)*0.475*44/12</f>
        <v>62.517058956243041</v>
      </c>
      <c r="AB48" s="23">
        <f>EXP(-LN(2)/2)*AB47+(1-EXP(-LN(2)/2))/(LN(2)/2)*V48*Y48*VLOOKUP('Données projet'!$B$9,Paramètres!$A$1:$I$88,3,0)*0.475*44/12</f>
        <v>0</v>
      </c>
      <c r="AC48" s="24">
        <f t="shared" si="3"/>
        <v>101.11370979999128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143</v>
      </c>
      <c r="AG48" s="13">
        <f>VLOOKUP(A48,'Données projet'!$A$61:$I$81,9,0)</f>
        <v>5.75</v>
      </c>
      <c r="AH48" s="13">
        <f t="array" ref="AH48">INDEX(AG:AG,MIN(IF(ISNUMBER(AG48:AG244),ROW(AG48:AG244),"")))</f>
        <v>5.75</v>
      </c>
      <c r="AI48" s="14">
        <f>IF('Données projet'!$A$62&gt;35,AI47+AH48-AQ47,IF(A48&lt;'Données projet'!$A$62,$AF$205^A48,IF(A48='Données projet'!$A$62,'Données projet'!$B$62,AI47+AH48-AQ47)))</f>
        <v>143</v>
      </c>
      <c r="AJ48" s="14">
        <f>AI48*VLOOKUP('Données projet'!$B$10,Paramètres!$A$1:$I$88,3,0)*VLOOKUP('Données projet'!$B$10,Paramètres!$A$1:$I$88,5,0)</f>
        <v>129.38640000000001</v>
      </c>
      <c r="AK48" s="14">
        <f t="shared" si="35"/>
        <v>33.854535370613952</v>
      </c>
      <c r="AL48" s="22">
        <f t="shared" si="4"/>
        <v>284.31129577048597</v>
      </c>
      <c r="AM48" s="62">
        <f t="shared" si="5"/>
        <v>535.93805332132013</v>
      </c>
      <c r="AN48" s="62">
        <f ca="1">AVERAGE(OFFSET($AM$3,0,0,'Données projet'!$E$10+1,1))-AVERAGE(OFFSET($H$3,0,0,'Données projet'!$E$10+1,1))</f>
        <v>536.3707066106856</v>
      </c>
      <c r="AO48" s="62">
        <f t="shared" si="36"/>
        <v>217.6280015974086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25</v>
      </c>
      <c r="AR48" s="17">
        <f>IF(ISNA(VLOOKUP(A48,'Données projet'!$A$61:$I$81,5,0)),0%,VLOOKUP(A48,'Données projet'!$A$61:$I$81,5,0)*VLOOKUP('Données projet'!$B$10,Paramètres!$A$1:$I$88,7,0))</f>
        <v>0.1075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2.6881170483912982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2.6881170483912982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11.800000000000002</v>
      </c>
      <c r="BD48" s="13">
        <f>IF('Données projet'!$A$88&gt;35,BD47+BC48-BL47,IF(A48&lt;'Données projet'!$A$88,$BA$205^A48,IF(A48='Données projet'!$A$88,'Données projet'!$B$88,BD47+BC48-BL47)))</f>
        <v>251.8</v>
      </c>
      <c r="BE48" s="14">
        <f>BD48*VLOOKUP('Données projet'!$B$11,Paramètres!$A$1:$I$88,3,0)*VLOOKUP('Données projet'!$B$11,Paramètres!$A$1:$I$88,5,0)</f>
        <v>150.57640000000004</v>
      </c>
      <c r="BF48" s="14">
        <f t="shared" si="37"/>
        <v>38.709545336200733</v>
      </c>
      <c r="BG48" s="22">
        <f t="shared" si="7"/>
        <v>329.67302146054971</v>
      </c>
      <c r="BH48" s="62">
        <f t="shared" si="8"/>
        <v>581.29977901138386</v>
      </c>
      <c r="BI48" s="62">
        <f ca="1">AVERAGE(OFFSET($BH$3,0,0,'Données projet'!$E$11+1,1))-AVERAGE(OFFSET($H$3,0,0,'Données projet'!$E$11+1,1))</f>
        <v>248.66193174773525</v>
      </c>
      <c r="BJ48" s="62">
        <f t="shared" si="38"/>
        <v>249.61655682981151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17.272397068256019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3.4335667328240671</v>
      </c>
      <c r="BS48" s="24">
        <f t="shared" si="9"/>
        <v>20.705963801080088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558</v>
      </c>
      <c r="BW48" s="13">
        <f>VLOOKUP(A48,'Données projet'!$A$113:$I$133,9,0)</f>
        <v>29.8</v>
      </c>
      <c r="BX48" s="13">
        <f t="array" ref="BX48">INDEX(BW:BW,MIN(IF(ISNUMBER(BW48:BW244),ROW(BW48:BW244),"")))</f>
        <v>29.8</v>
      </c>
      <c r="BY48" s="13">
        <f>IF('Données projet'!$A$114&gt;35,BY47+BX48-CG47,IF(A48&lt;'Données projet'!$A$114,$BV$205^A48,IF(A48='Données projet'!$A$114,'Données projet'!$B$114,BY47+BX48-CG47)))</f>
        <v>558</v>
      </c>
      <c r="BZ48" s="14">
        <f>BY48*VLOOKUP('Données projet'!$B$12,Paramètres!$A$1:$I$88,3,0)*VLOOKUP('Données projet'!$B$12,Paramètres!$A$1:$I$88,5,0)</f>
        <v>224.874</v>
      </c>
      <c r="CA48" s="14">
        <f t="shared" si="39"/>
        <v>55.1728707630621</v>
      </c>
      <c r="CB48" s="22">
        <f t="shared" si="10"/>
        <v>487.7482999123331</v>
      </c>
      <c r="CC48" s="62">
        <f t="shared" si="11"/>
        <v>739.3750574631672</v>
      </c>
      <c r="CD48" s="62">
        <f ca="1">AVERAGE(OFFSET($CC$3,0,0,'Données projet'!$E$12+1,1))-AVERAGE(OFFSET($H$3,0,0,'Données projet'!$E$12+1,1))</f>
        <v>432.59662347701629</v>
      </c>
      <c r="CE48" s="62">
        <f t="shared" si="40"/>
        <v>348.67401091099748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84</v>
      </c>
      <c r="CH48" s="17">
        <f>IF(ISNA(VLOOKUP(A48,'Données projet'!$A$113:$I$133,5,0)),0%,VLOOKUP(A48,'Données projet'!$A$113:$I$133,5,0)*VLOOKUP('Données projet'!$B$12,Paramètres!$A$1:$I$88,7,0))</f>
        <v>0.16500000000000001</v>
      </c>
      <c r="CI48" s="17">
        <f>IF(ISNA(VLOOKUP(A48,'Données projet'!$A$113:$I$133,6,0)),0%,VLOOKUP(A48,'Données projet'!$A$113:$I$133,6,0)*VLOOKUP('Données projet'!$B$12,Paramètres!$A$1:$I$88,7,0))</f>
        <v>0.38500000000000001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23.773809465296036</v>
      </c>
      <c r="CL48" s="23">
        <f>EXP(-LN(2)/25)*CL47+(1-EXP(-LN(2)/25))/(LN(2)/25)*Calculateur!CG48*Calculateur!CI48*VLOOKUP('Données projet'!$B$12,Paramètres!$A$1:$I$88,3,0)*0.475*44/12</f>
        <v>83.042819350993739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106.81662881628978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719</v>
      </c>
      <c r="CR48" s="13">
        <f>VLOOKUP(A48,'Données projet'!$A$139:$I$159,9,0)</f>
        <v>20.6</v>
      </c>
      <c r="CS48" s="13">
        <f t="array" ref="CS48">INDEX(CR:CR,MIN(IF(ISNUMBER(CR48:CR244),ROW(CR48:CR244),"")))</f>
        <v>20.6</v>
      </c>
      <c r="CT48" s="13">
        <f>IF('Données projet'!$A$140&gt;35,CT47+CS48-DB47,IF(A48&lt;'Données projet'!$A$140,$CQ$205^A48,IF(A48='Données projet'!$A$140,'Données projet'!$B$140,CT47+CS48-DB47)))</f>
        <v>719.00000000000011</v>
      </c>
      <c r="CU48" s="18">
        <f>CT48*VLOOKUP('Données projet'!$B$13,Paramètres!$A$1:$I$88,3,0)*VLOOKUP('Données projet'!$B$13,Paramètres!$A$1:$I$88,5,0)</f>
        <v>317.79800000000012</v>
      </c>
      <c r="CV48" s="14">
        <f t="shared" si="41"/>
        <v>74.895000775677957</v>
      </c>
      <c r="CW48" s="22">
        <f t="shared" si="13"/>
        <v>683.94030968430582</v>
      </c>
      <c r="CX48" s="62">
        <f t="shared" si="14"/>
        <v>935.56706723513992</v>
      </c>
      <c r="CY48" s="62">
        <f ca="1">AVERAGE(OFFSET($CX$3,0,0,'Données projet'!$E$13+1,1))-AVERAGE(OFFSET($H$3,0,0,'Données projet'!$E$13+1,1))</f>
        <v>582.26951914082088</v>
      </c>
      <c r="CZ48" s="62">
        <f t="shared" si="42"/>
        <v>434.80429932654715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83</v>
      </c>
      <c r="DC48" s="17">
        <f>IF(ISNA(VLOOKUP(A48,'Données projet'!$A$139:$I$159,5,0)),0%,VLOOKUP(A48,'Données projet'!$A$139:$I$159,5,0)*VLOOKUP('Données projet'!$B$13,Paramètres!$A$1:$I$88,7,0))</f>
        <v>0.22000000000000003</v>
      </c>
      <c r="DD48" s="17">
        <f>IF(ISNA(VLOOKUP(A48,'Données projet'!$A$139:$I$159,6,0)),0%,VLOOKUP(A48,'Données projet'!$A$139:$I$159,6,0)*VLOOKUP('Données projet'!$B$13,Paramètres!$A$1:$I$88,7,0))</f>
        <v>0.33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31.026288246240277</v>
      </c>
      <c r="DG48" s="23">
        <f>EXP(-LN(2)/25)*DG47+(1-EXP(-LN(2)/25))/(LN(2)/25)*Calculateur!DB48*Calculateur!DD48*VLOOKUP('Données projet'!$B$13,Paramètres!$A$1:$I$88,3,0)*0.475*44/12</f>
        <v>83.788698418871149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114.81498666511143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327</v>
      </c>
      <c r="DM48" s="13">
        <f>VLOOKUP(A48,'Données projet'!$A$165:$I$185,9,0)</f>
        <v>18.2</v>
      </c>
      <c r="DN48" s="13">
        <f t="array" ref="DN48">INDEX(DM:DM,MIN(IF(ISNUMBER(DM48:DM244),ROW(DM48:DM244),"")))</f>
        <v>18.2</v>
      </c>
      <c r="DO48" s="13">
        <f>IF('Données projet'!$A$166&gt;35,DO47+DN48-DW47,IF(A48&lt;'Données projet'!$A$166,$DL$205^A48,IF(A48='Données projet'!$A$166,'Données projet'!$B$166,DO47+DN48-DW47)))</f>
        <v>326.99999999999977</v>
      </c>
      <c r="DP48" s="18">
        <f>DO48*VLOOKUP('Données projet'!$B$14,Paramètres!$A$1:$I$88,3,0)*VLOOKUP('Données projet'!$B$14,Paramètres!$A$1:$I$88,5,0)</f>
        <v>157.28699999999989</v>
      </c>
      <c r="DQ48" s="14">
        <f t="shared" si="43"/>
        <v>40.229982958573615</v>
      </c>
      <c r="DR48" s="22">
        <f t="shared" si="16"/>
        <v>344.00874531951558</v>
      </c>
      <c r="DS48" s="62">
        <f t="shared" si="17"/>
        <v>595.63550287034968</v>
      </c>
      <c r="DT48" s="62">
        <f ca="1">AVERAGE(OFFSET($DS$3,0,0,'Données projet'!$E$14+1,1))-AVERAGE(OFFSET($H$3,0,0,'Données projet'!$E$14+1,1))</f>
        <v>273.24375559399846</v>
      </c>
      <c r="DU48" s="62">
        <f t="shared" si="44"/>
        <v>270.77718895097848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57</v>
      </c>
      <c r="DX48" s="17">
        <f>IF(ISNA(VLOOKUP(A48,'Données projet'!$A$165:$I$185,5,0)),0%,VLOOKUP(A48,'Données projet'!$A$165:$I$185,5,0)*VLOOKUP('Données projet'!$B$14,Paramètres!$A$1:$I$88,7,0))</f>
        <v>0.22000000000000003</v>
      </c>
      <c r="DY48" s="17">
        <f>IF(ISNA(VLOOKUP(A48,'Données projet'!$A$165:$I$185,6,0)),0%,VLOOKUP(A48,'Données projet'!$A$165:$I$185,6,0)*VLOOKUP('Données projet'!$B$14,Paramètres!$A$1:$I$88,7,0))</f>
        <v>0.33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projet'!$B$14,Paramètres!$A$1:$I$88,3,0)*0.475*44/12</f>
        <v>23.844469376311324</v>
      </c>
      <c r="EB48" s="23">
        <f>EXP(-LN(2)/25)*EB47+(1-EXP(-LN(2)/25))/(LN(2)/25)*Calculateur!DW48*Calculateur!DY48*VLOOKUP('Données projet'!$B$14,Paramètres!$A$1:$I$88,3,0)*0.475*44/12</f>
        <v>50.633972695764314</v>
      </c>
      <c r="EC48" s="23">
        <f>EXP(-LN(2)/2)*EC47+(1-EXP(-LN(2)/2))/(LN(2)/2)*DW48*DZ48*VLOOKUP('Données projet'!$B$14,Paramètres!$A$1:$I$88,3,0)*0.475*44/12</f>
        <v>0</v>
      </c>
      <c r="ED48" s="24">
        <f t="shared" si="18"/>
        <v>74.478442072075637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327</v>
      </c>
      <c r="EH48" s="13">
        <f>VLOOKUP(A48,'Données projet'!$A$191:$I$211,9,0)</f>
        <v>18.2</v>
      </c>
      <c r="EI48" s="13">
        <f t="array" ref="EI48">INDEX(EH:EH,MIN(IF(ISNUMBER(EH48:EH244),ROW(EH48:EH244),"")))</f>
        <v>18.2</v>
      </c>
      <c r="EJ48" s="13">
        <f>IF('Données projet'!$A$192&gt;35,EJ47+EI48-ER47,IF(A48&lt;'Données projet'!$A$192,$EG$205^A48,IF(A48='Données projet'!$A$192,'Données projet'!$B$192,EJ47+EI48-ER47)))</f>
        <v>326.99999999999977</v>
      </c>
      <c r="EK48" s="18">
        <f>EJ48*VLOOKUP('Données projet'!$B$15,Paramètres!$A$1:$I$88,3,0)*VLOOKUP('Données projet'!$B$15,Paramètres!$A$1:$I$88,5,0)</f>
        <v>153.03599999999989</v>
      </c>
      <c r="EL48" s="14">
        <f t="shared" si="45"/>
        <v>39.267720842375255</v>
      </c>
      <c r="EM48" s="22">
        <f t="shared" si="19"/>
        <v>334.92898046713663</v>
      </c>
      <c r="EN48" s="62">
        <f t="shared" si="20"/>
        <v>586.55573801797073</v>
      </c>
      <c r="EO48" s="62">
        <f ca="1">AVERAGE(OFFSET($EN$3,0,0,'Données projet'!$E$15+1,1))-AVERAGE(OFFSET($H$3,0,0,'Données projet'!$E$15+1,1))</f>
        <v>267.26203506406682</v>
      </c>
      <c r="EP48" s="62">
        <f t="shared" si="46"/>
        <v>265.10857635664843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57</v>
      </c>
      <c r="ES48" s="17">
        <f>IF(ISNA(VLOOKUP(A48,'Données projet'!$A$191:$I$211,5,0)),0%,VLOOKUP(A48,'Données projet'!$A$191:$I$211,5,0)*VLOOKUP('Données projet'!$B$15,Paramètres!$A$1:$I$88,7,0))</f>
        <v>0.22000000000000003</v>
      </c>
      <c r="ET48" s="17">
        <f>IF(ISNA(VLOOKUP(A48,'Données projet'!$A$191:$I$211,6,0)),0%,VLOOKUP(A48,'Données projet'!$A$191:$I$211,6,0)*VLOOKUP('Données projet'!$B$15,Paramètres!$A$1:$I$88,7,0))</f>
        <v>0.33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projet'!$B$15,Paramètres!$A$1:$I$88,3,0)*0.475*44/12</f>
        <v>23.200024258032641</v>
      </c>
      <c r="EW48" s="23">
        <f>EXP(-LN(2)/25)*EW47+(1-EXP(-LN(2)/25))/(LN(2)/25)*Calculateur!ER48*Calculateur!ET48*VLOOKUP('Données projet'!$B$15,Paramètres!$A$1:$I$88,3,0)*0.475*44/12</f>
        <v>49.265486947230151</v>
      </c>
      <c r="EX48" s="23">
        <f>EXP(-LN(2)/2)*EX47+(1-EXP(-LN(2)/2))/(LN(2)/2)*ER48*EU48*VLOOKUP('Données projet'!$B$15,Paramètres!$A$1:$I$88,3,0)*0.475*44/12</f>
        <v>0</v>
      </c>
      <c r="EY48" s="24">
        <f t="shared" si="21"/>
        <v>72.4655112052628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231</v>
      </c>
      <c r="FC48" s="13">
        <f>VLOOKUP(A48,'Données projet'!$A$217:$I$237,9,0)</f>
        <v>6.8</v>
      </c>
      <c r="FD48" s="13">
        <f t="array" ref="FD48">INDEX(FC:FC,MIN(IF(ISNUMBER(FC48:FC244),ROW(FC48:FC244),"")))</f>
        <v>6.8</v>
      </c>
      <c r="FE48" s="13">
        <f>IF('Données projet'!$A$218&gt;35,FE47+FD48-FM47,IF(A48&lt;'Données projet'!$A$218,$FB$205^A48,IF(A48='Données projet'!$A$218,'Données projet'!$B$218,FE47+FD48-FM47)))</f>
        <v>231</v>
      </c>
      <c r="FF48" s="18">
        <f>FE48*VLOOKUP('Données projet'!$B$16,Paramètres!$A$1:$I$88,3,0)*VLOOKUP('Données projet'!$B$16,Paramètres!$A$1:$I$88,5,0)</f>
        <v>169.36920000000001</v>
      </c>
      <c r="FG48" s="14">
        <f t="shared" si="47"/>
        <v>42.948714817158674</v>
      </c>
      <c r="FH48" s="22">
        <f t="shared" si="22"/>
        <v>369.787034973218</v>
      </c>
      <c r="FI48" s="62">
        <f t="shared" si="23"/>
        <v>621.41379252405216</v>
      </c>
      <c r="FJ48" s="62">
        <f ca="1">AVERAGE(OFFSET($FI$3,0,0,'Données projet'!$E$16+1,1))-AVERAGE(OFFSET($H$3,0,0,'Données projet'!$E$16+1,1))</f>
        <v>207.66160354686221</v>
      </c>
      <c r="FK48" s="62">
        <f t="shared" si="48"/>
        <v>260.45879589483525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projet'!$B$16,Paramètres!$A$1:$I$88,3,0)*0.475*44/12</f>
        <v>3.846491082487844</v>
      </c>
      <c r="FR48" s="23">
        <f>EXP(-LN(2)/25)*FR47+(1-EXP(-LN(2)/25))/(LN(2)/25)*Calculateur!FM48*Calculateur!FO48*VLOOKUP('Données projet'!$B$16,Paramètres!$A$1:$I$88,3,0)*0.475*44/12</f>
        <v>0</v>
      </c>
      <c r="FS48" s="23">
        <f>EXP(-LN(2)/2)*FS47+(1-EXP(-LN(2)/2))/(LN(2)/2)*FM48*FP48*VLOOKUP('Données projet'!$B$16,Paramètres!$A$1:$I$88,3,0)*0.475*44/12</f>
        <v>0</v>
      </c>
      <c r="FT48" s="24">
        <f t="shared" si="24"/>
        <v>3.846491082487844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25.166666666666668</v>
      </c>
      <c r="N49" s="14">
        <f>IF('Données projet'!$A$36&gt;35,N48+M49-V48,IF(A49&lt;'Données projet'!$A$36,$K$205^A49,IF(A49='Données projet'!$A$36,'Données projet'!$B$36,N48+M49-V48)))</f>
        <v>550.66666666666652</v>
      </c>
      <c r="O49" s="14">
        <f>N49*VLOOKUP('Données projet'!$B$9,Paramètres!$A$1:$I$88,3,0)*VLOOKUP('Données projet'!$B$9,Paramètres!$A$1:$I$88,5,0)</f>
        <v>307.82266666666658</v>
      </c>
      <c r="P49" s="14">
        <f t="shared" si="33"/>
        <v>72.813929947417051</v>
      </c>
      <c r="Q49" s="22">
        <f t="shared" si="53"/>
        <v>662.94207243619564</v>
      </c>
      <c r="R49" s="62">
        <f t="shared" si="0"/>
        <v>915.29234583492132</v>
      </c>
      <c r="S49" s="62">
        <f ca="1">AVERAGE(OFFSET($R$3,0,0,'Données projet'!$E$9+1,1))-AVERAGE(OFFSET($H$3,0,0,'Données projet'!$E$9+1,1))</f>
        <v>378.13552372917843</v>
      </c>
      <c r="T49" s="62">
        <f t="shared" si="34"/>
        <v>528.97123645404952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37.839794062334811</v>
      </c>
      <c r="AA49" s="23">
        <f>EXP(-LN(2)/25)*AA48+(1-EXP(-LN(2)/25))/(LN(2)/25)*Calculateur!V49*Calculateur!X49*VLOOKUP('Données projet'!$B$9,Paramètres!$A$1:$I$88,3,0)*0.475*44/12</f>
        <v>60.80752669145533</v>
      </c>
      <c r="AB49" s="23">
        <f>EXP(-LN(2)/2)*AB48+(1-EXP(-LN(2)/2))/(LN(2)/2)*V49*Y49*VLOOKUP('Données projet'!$B$9,Paramètres!$A$1:$I$88,3,0)*0.475*44/12</f>
        <v>0</v>
      </c>
      <c r="AC49" s="24">
        <f t="shared" si="3"/>
        <v>98.64732075379014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9.625</v>
      </c>
      <c r="AI49" s="14">
        <f>IF('Données projet'!$A$62&gt;35,AI48+AH49-AQ48,IF(A49&lt;'Données projet'!$A$62,$AF$205^A49,IF(A49='Données projet'!$A$62,'Données projet'!$B$62,AI48+AH49-AQ48)))</f>
        <v>127.625</v>
      </c>
      <c r="AJ49" s="14">
        <f>AI49*VLOOKUP('Données projet'!$B$10,Paramètres!$A$1:$I$88,3,0)*VLOOKUP('Données projet'!$B$10,Paramètres!$A$1:$I$88,5,0)</f>
        <v>115.4751</v>
      </c>
      <c r="AK49" s="14">
        <f t="shared" si="35"/>
        <v>30.617291447620193</v>
      </c>
      <c r="AL49" s="22">
        <f t="shared" si="4"/>
        <v>254.44424843793846</v>
      </c>
      <c r="AM49" s="62">
        <f t="shared" si="5"/>
        <v>506.7945218366641</v>
      </c>
      <c r="AN49" s="62">
        <f ca="1">AVERAGE(OFFSET($AM$3,0,0,'Données projet'!$E$10+1,1))-AVERAGE(OFFSET($H$3,0,0,'Données projet'!$E$10+1,1))</f>
        <v>536.3707066106856</v>
      </c>
      <c r="AO49" s="62">
        <f t="shared" si="36"/>
        <v>217.6280015974086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2.6354047126618485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2.6354047126618485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263.60000000000002</v>
      </c>
      <c r="BB49" s="13">
        <f>VLOOKUP(A49,'Données projet'!$A$87:$I$107,9,0)</f>
        <v>11.800000000000002</v>
      </c>
      <c r="BC49" s="13">
        <f t="array" ref="BC49">INDEX(BB:BB,MIN(IF(ISNUMBER(BB49:BB245),ROW(BB49:BB245),"")))</f>
        <v>11.800000000000002</v>
      </c>
      <c r="BD49" s="13">
        <f>IF('Données projet'!$A$88&gt;35,BD48+BC49-BL48,IF(A49&lt;'Données projet'!$A$88,$BA$205^A49,IF(A49='Données projet'!$A$88,'Données projet'!$B$88,BD48+BC49-BL48)))</f>
        <v>263.60000000000002</v>
      </c>
      <c r="BE49" s="14">
        <f>BD49*VLOOKUP('Données projet'!$B$11,Paramètres!$A$1:$I$88,3,0)*VLOOKUP('Données projet'!$B$11,Paramètres!$A$1:$I$88,5,0)</f>
        <v>157.63280000000003</v>
      </c>
      <c r="BF49" s="14">
        <f t="shared" si="37"/>
        <v>40.308124538466352</v>
      </c>
      <c r="BG49" s="22">
        <f t="shared" si="7"/>
        <v>344.74711023782896</v>
      </c>
      <c r="BH49" s="62">
        <f t="shared" si="8"/>
        <v>597.09738363655458</v>
      </c>
      <c r="BI49" s="62">
        <f ca="1">AVERAGE(OFFSET($BH$3,0,0,'Données projet'!$E$11+1,1))-AVERAGE(OFFSET($H$3,0,0,'Données projet'!$E$11+1,1))</f>
        <v>248.66193174773525</v>
      </c>
      <c r="BJ49" s="62">
        <f t="shared" si="38"/>
        <v>249.61655682981151</v>
      </c>
      <c r="BK49" s="16">
        <f>IF(ISNA(VLOOKUP(A49,'Données projet'!$A$87:$I$107,3,0)),0,VLOOKUP(A49,'Données projet'!$A$87:$I$107,3,0))</f>
        <v>7</v>
      </c>
      <c r="BL49" s="16">
        <f>IF(ISNA(VLOOKUP(A49,'Données projet'!$A$87:$I$107,4,0)),0,VLOOKUP(A49,'Données projet'!$A$87:$I$107,4,0))</f>
        <v>28.7</v>
      </c>
      <c r="BM49" s="17">
        <f>IF(ISNA(VLOOKUP(A49,'Données projet'!$A$87:$I$107,5,0)),0%,VLOOKUP(A49,'Données projet'!$A$87:$I$107,5,0)*VLOOKUP('Données projet'!$B$11,Paramètres!$A$1:$I$88,7,0))</f>
        <v>0.20250000000000001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0.55000000000000004</v>
      </c>
      <c r="BP49" s="23">
        <f>EXP(-LN(2)/35)*BP48+(1-EXP(-LN(2)/35))/(LN(2)/35)*BL49*BM49*VLOOKUP('Données projet'!$B$11,Paramètres!$A$1:$I$88,3,0)*0.475*44/12</f>
        <v>21.544073159262119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13.115525836676685</v>
      </c>
      <c r="BS49" s="24">
        <f t="shared" si="9"/>
        <v>34.659598995938808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28.8</v>
      </c>
      <c r="BY49" s="13">
        <f>IF('Données projet'!$A$114&gt;35,BY48+BX49-CG48,IF(A49&lt;'Données projet'!$A$114,$BV$205^A49,IF(A49='Données projet'!$A$114,'Données projet'!$B$114,BY48+BX49-CG48)))</f>
        <v>502.79999999999995</v>
      </c>
      <c r="BZ49" s="14">
        <f>BY49*VLOOKUP('Données projet'!$B$12,Paramètres!$A$1:$I$88,3,0)*VLOOKUP('Données projet'!$B$12,Paramètres!$A$1:$I$88,5,0)</f>
        <v>202.6284</v>
      </c>
      <c r="CA49" s="14">
        <f t="shared" si="39"/>
        <v>50.321370819084692</v>
      </c>
      <c r="CB49" s="22">
        <f t="shared" si="10"/>
        <v>440.55418417657251</v>
      </c>
      <c r="CC49" s="62">
        <f t="shared" si="11"/>
        <v>692.90445757529812</v>
      </c>
      <c r="CD49" s="62">
        <f ca="1">AVERAGE(OFFSET($CC$3,0,0,'Données projet'!$E$12+1,1))-AVERAGE(OFFSET($H$3,0,0,'Données projet'!$E$12+1,1))</f>
        <v>432.59662347701629</v>
      </c>
      <c r="CE49" s="62">
        <f t="shared" si="40"/>
        <v>348.67401091099748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23.30761956227354</v>
      </c>
      <c r="CL49" s="23">
        <f>EXP(-LN(2)/25)*CL48+(1-EXP(-LN(2)/25))/(LN(2)/25)*Calculateur!CG49*Calculateur!CI49*VLOOKUP('Données projet'!$B$12,Paramètres!$A$1:$I$88,3,0)*0.475*44/12</f>
        <v>80.772009088808744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104.07962865108229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35.4</v>
      </c>
      <c r="CT49" s="13">
        <f>IF('Données projet'!$A$140&gt;35,CT48+CS49-DB48,IF(A49&lt;'Données projet'!$A$140,$CQ$205^A49,IF(A49='Données projet'!$A$140,'Données projet'!$B$140,CT48+CS49-DB48)))</f>
        <v>671.40000000000009</v>
      </c>
      <c r="CU49" s="18">
        <f>CT49*VLOOKUP('Données projet'!$B$13,Paramètres!$A$1:$I$88,3,0)*VLOOKUP('Données projet'!$B$13,Paramètres!$A$1:$I$88,5,0)</f>
        <v>296.75880000000006</v>
      </c>
      <c r="CV49" s="14">
        <f t="shared" si="41"/>
        <v>70.496554480015604</v>
      </c>
      <c r="CW49" s="22">
        <f t="shared" si="13"/>
        <v>639.63640905269403</v>
      </c>
      <c r="CX49" s="62">
        <f t="shared" si="14"/>
        <v>891.98668245141971</v>
      </c>
      <c r="CY49" s="62">
        <f ca="1">AVERAGE(OFFSET($CX$3,0,0,'Données projet'!$E$13+1,1))-AVERAGE(OFFSET($H$3,0,0,'Données projet'!$E$13+1,1))</f>
        <v>582.26951914082088</v>
      </c>
      <c r="CZ49" s="62">
        <f t="shared" si="42"/>
        <v>434.80429932654715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30.417881657898729</v>
      </c>
      <c r="DG49" s="23">
        <f>EXP(-LN(2)/25)*DG48+(1-EXP(-LN(2)/25))/(LN(2)/25)*Calculateur!DB49*Calculateur!DD49*VLOOKUP('Données projet'!$B$13,Paramètres!$A$1:$I$88,3,0)*0.475*44/12</f>
        <v>81.497492054350971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111.9153737122497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19.399999999999999</v>
      </c>
      <c r="DO49" s="13">
        <f>IF('Données projet'!$A$166&gt;35,DO48+DN49-DW48,IF(A49&lt;'Données projet'!$A$166,$DL$205^A49,IF(A49='Données projet'!$A$166,'Données projet'!$B$166,DO48+DN49-DW48)))</f>
        <v>289.39999999999975</v>
      </c>
      <c r="DP49" s="18">
        <f>DO49*VLOOKUP('Données projet'!$B$14,Paramètres!$A$1:$I$88,3,0)*VLOOKUP('Données projet'!$B$14,Paramètres!$A$1:$I$88,5,0)</f>
        <v>139.20139999999989</v>
      </c>
      <c r="DQ49" s="14">
        <f t="shared" si="43"/>
        <v>36.1139965831807</v>
      </c>
      <c r="DR49" s="22">
        <f t="shared" si="16"/>
        <v>305.34098238237283</v>
      </c>
      <c r="DS49" s="62">
        <f t="shared" si="17"/>
        <v>557.69125578109845</v>
      </c>
      <c r="DT49" s="62">
        <f ca="1">AVERAGE(OFFSET($DS$3,0,0,'Données projet'!$E$14+1,1))-AVERAGE(OFFSET($H$3,0,0,'Données projet'!$E$14+1,1))</f>
        <v>273.24375559399846</v>
      </c>
      <c r="DU49" s="62">
        <f t="shared" si="44"/>
        <v>270.77718895097848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projet'!$B$14,Paramètres!$A$1:$I$88,3,0)*0.475*44/12</f>
        <v>23.376893875532108</v>
      </c>
      <c r="EB49" s="23">
        <f>EXP(-LN(2)/25)*EB48+(1-EXP(-LN(2)/25))/(LN(2)/25)*Calculateur!DW49*Calculateur!DY49*VLOOKUP('Données projet'!$B$14,Paramètres!$A$1:$I$88,3,0)*0.475*44/12</f>
        <v>49.249384049673743</v>
      </c>
      <c r="EC49" s="23">
        <f>EXP(-LN(2)/2)*EC48+(1-EXP(-LN(2)/2))/(LN(2)/2)*DW49*DZ49*VLOOKUP('Données projet'!$B$14,Paramètres!$A$1:$I$88,3,0)*0.475*44/12</f>
        <v>0</v>
      </c>
      <c r="ED49" s="24">
        <f t="shared" si="18"/>
        <v>72.626277925205855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19.399999999999999</v>
      </c>
      <c r="EJ49" s="13">
        <f>IF('Données projet'!$A$192&gt;35,EJ48+EI49-ER48,IF(A49&lt;'Données projet'!$A$192,$EG$205^A49,IF(A49='Données projet'!$A$192,'Données projet'!$B$192,EJ48+EI49-ER48)))</f>
        <v>289.39999999999975</v>
      </c>
      <c r="EK49" s="18">
        <f>EJ49*VLOOKUP('Données projet'!$B$15,Paramètres!$A$1:$I$88,3,0)*VLOOKUP('Données projet'!$B$15,Paramètres!$A$1:$I$88,5,0)</f>
        <v>135.43919999999989</v>
      </c>
      <c r="EL49" s="14">
        <f t="shared" si="45"/>
        <v>35.250184863143524</v>
      </c>
      <c r="EM49" s="22">
        <f t="shared" si="19"/>
        <v>297.28401196997476</v>
      </c>
      <c r="EN49" s="62">
        <f t="shared" si="20"/>
        <v>549.63428536870038</v>
      </c>
      <c r="EO49" s="62">
        <f ca="1">AVERAGE(OFFSET($EN$3,0,0,'Données projet'!$E$15+1,1))-AVERAGE(OFFSET($H$3,0,0,'Données projet'!$E$15+1,1))</f>
        <v>267.26203506406682</v>
      </c>
      <c r="EP49" s="62">
        <f t="shared" si="46"/>
        <v>265.10857635664843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projet'!$B$15,Paramètres!$A$1:$I$88,3,0)*0.475*44/12</f>
        <v>22.745085932950161</v>
      </c>
      <c r="EW49" s="23">
        <f>EXP(-LN(2)/25)*EW48+(1-EXP(-LN(2)/25))/(LN(2)/25)*Calculateur!ER49*Calculateur!ET49*VLOOKUP('Données projet'!$B$15,Paramètres!$A$1:$I$88,3,0)*0.475*44/12</f>
        <v>47.918319615898781</v>
      </c>
      <c r="EX49" s="23">
        <f>EXP(-LN(2)/2)*EX48+(1-EXP(-LN(2)/2))/(LN(2)/2)*ER49*EU49*VLOOKUP('Données projet'!$B$15,Paramètres!$A$1:$I$88,3,0)*0.475*44/12</f>
        <v>0</v>
      </c>
      <c r="EY49" s="24">
        <f t="shared" si="21"/>
        <v>70.663405548848942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231</v>
      </c>
      <c r="FF49" s="18">
        <f>FE49*VLOOKUP('Données projet'!$B$16,Paramètres!$A$1:$I$88,3,0)*VLOOKUP('Données projet'!$B$16,Paramètres!$A$1:$I$88,5,0)</f>
        <v>169.36920000000001</v>
      </c>
      <c r="FG49" s="14">
        <f t="shared" si="47"/>
        <v>42.948714817158674</v>
      </c>
      <c r="FH49" s="22">
        <f t="shared" si="22"/>
        <v>369.787034973218</v>
      </c>
      <c r="FI49" s="62">
        <f t="shared" si="23"/>
        <v>622.13730837194362</v>
      </c>
      <c r="FJ49" s="62">
        <f ca="1">AVERAGE(OFFSET($FI$3,0,0,'Données projet'!$E$16+1,1))-AVERAGE(OFFSET($H$3,0,0,'Données projet'!$E$16+1,1))</f>
        <v>207.66160354686221</v>
      </c>
      <c r="FK49" s="62">
        <f t="shared" si="48"/>
        <v>260.45879589483525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projet'!$B$16,Paramètres!$A$1:$I$88,3,0)*0.475*44/12</f>
        <v>3.7710637384881567</v>
      </c>
      <c r="FR49" s="23">
        <f>EXP(-LN(2)/25)*FR48+(1-EXP(-LN(2)/25))/(LN(2)/25)*Calculateur!FM49*Calculateur!FO49*VLOOKUP('Données projet'!$B$16,Paramètres!$A$1:$I$88,3,0)*0.475*44/12</f>
        <v>0</v>
      </c>
      <c r="FS49" s="23">
        <f>EXP(-LN(2)/2)*FS48+(1-EXP(-LN(2)/2))/(LN(2)/2)*FM49*FP49*VLOOKUP('Données projet'!$B$16,Paramètres!$A$1:$I$88,3,0)*0.475*44/12</f>
        <v>0</v>
      </c>
      <c r="FT49" s="24">
        <f t="shared" si="24"/>
        <v>3.7710637384881567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25.166666666666668</v>
      </c>
      <c r="N50" s="14">
        <f>IF('Données projet'!$A$36&gt;35,N49+M50-V49,IF(A50&lt;'Données projet'!$A$36,$K$205^A50,IF(A50='Données projet'!$A$36,'Données projet'!$B$36,N49+M50-V49)))</f>
        <v>575.83333333333314</v>
      </c>
      <c r="O50" s="14">
        <f>N50*VLOOKUP('Données projet'!$B$9,Paramètres!$A$1:$I$88,3,0)*VLOOKUP('Données projet'!$B$9,Paramètres!$A$1:$I$88,5,0)</f>
        <v>321.89083333333321</v>
      </c>
      <c r="P50" s="14">
        <f t="shared" si="33"/>
        <v>75.746643310063419</v>
      </c>
      <c r="Q50" s="22">
        <f t="shared" si="53"/>
        <v>692.55193848724912</v>
      </c>
      <c r="R50" s="62">
        <f t="shared" si="0"/>
        <v>945.61317635144451</v>
      </c>
      <c r="S50" s="62">
        <f ca="1">AVERAGE(OFFSET($R$3,0,0,'Données projet'!$E$9+1,1))-AVERAGE(OFFSET($H$3,0,0,'Données projet'!$E$9+1,1))</f>
        <v>378.13552372917843</v>
      </c>
      <c r="T50" s="62">
        <f t="shared" si="34"/>
        <v>528.97123645404952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37.09777878076784</v>
      </c>
      <c r="AA50" s="23">
        <f>EXP(-LN(2)/25)*AA49+(1-EXP(-LN(2)/25))/(LN(2)/25)*Calculateur!V50*Calculateur!X50*VLOOKUP('Données projet'!$B$9,Paramètres!$A$1:$I$88,3,0)*0.475*44/12</f>
        <v>59.14474167634863</v>
      </c>
      <c r="AB50" s="23">
        <f>EXP(-LN(2)/2)*AB49+(1-EXP(-LN(2)/2))/(LN(2)/2)*V50*Y50*VLOOKUP('Données projet'!$B$9,Paramètres!$A$1:$I$88,3,0)*0.475*44/12</f>
        <v>0</v>
      </c>
      <c r="AC50" s="24">
        <f t="shared" si="3"/>
        <v>96.24252045711647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9.625</v>
      </c>
      <c r="AI50" s="14">
        <f>IF('Données projet'!$A$62&gt;35,AI49+AH50-AQ49,IF(A50&lt;'Données projet'!$A$62,$AF$205^A50,IF(A50='Données projet'!$A$62,'Données projet'!$B$62,AI49+AH50-AQ49)))</f>
        <v>137.25</v>
      </c>
      <c r="AJ50" s="14">
        <f>AI50*VLOOKUP('Données projet'!$B$10,Paramètres!$A$1:$I$88,3,0)*VLOOKUP('Données projet'!$B$10,Paramètres!$A$1:$I$88,5,0)</f>
        <v>124.18379999999999</v>
      </c>
      <c r="AK50" s="14">
        <f t="shared" si="35"/>
        <v>32.648847121304541</v>
      </c>
      <c r="AL50" s="22">
        <f t="shared" si="4"/>
        <v>273.15019373627206</v>
      </c>
      <c r="AM50" s="62">
        <f t="shared" si="5"/>
        <v>526.21143160046745</v>
      </c>
      <c r="AN50" s="62">
        <f ca="1">AVERAGE(OFFSET($AM$3,0,0,'Données projet'!$E$10+1,1))-AVERAGE(OFFSET($H$3,0,0,'Données projet'!$E$10+1,1))</f>
        <v>536.3707066106856</v>
      </c>
      <c r="AO50" s="62">
        <f t="shared" si="36"/>
        <v>217.6280015974086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2.583726033684703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2.583726033684703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7.5749999999999957</v>
      </c>
      <c r="BD50" s="13">
        <f>IF('Données projet'!$A$88&gt;35,BD49+BC50-BL49,IF(A50&lt;'Données projet'!$A$88,$BA$205^A50,IF(A50='Données projet'!$A$88,'Données projet'!$B$88,BD49+BC50-BL49)))</f>
        <v>242.47500000000002</v>
      </c>
      <c r="BE50" s="14">
        <f>BD50*VLOOKUP('Données projet'!$B$11,Paramètres!$A$1:$I$88,3,0)*VLOOKUP('Données projet'!$B$11,Paramètres!$A$1:$I$88,5,0)</f>
        <v>145.00005000000002</v>
      </c>
      <c r="BF50" s="14">
        <f t="shared" si="37"/>
        <v>37.440096890466073</v>
      </c>
      <c r="BG50" s="22">
        <f t="shared" si="7"/>
        <v>317.74992250089502</v>
      </c>
      <c r="BH50" s="62">
        <f t="shared" si="8"/>
        <v>570.81116036509047</v>
      </c>
      <c r="BI50" s="62">
        <f ca="1">AVERAGE(OFFSET($BH$3,0,0,'Données projet'!$E$11+1,1))-AVERAGE(OFFSET($H$3,0,0,'Données projet'!$E$11+1,1))</f>
        <v>248.66193174773525</v>
      </c>
      <c r="BJ50" s="62">
        <f t="shared" si="38"/>
        <v>249.61655682981151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21.121607025196091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9.2740772579414514</v>
      </c>
      <c r="BS50" s="24">
        <f t="shared" si="9"/>
        <v>30.395684283137541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28.8</v>
      </c>
      <c r="BY50" s="13">
        <f>IF('Données projet'!$A$114&gt;35,BY49+BX50-CG49,IF(A50&lt;'Données projet'!$A$114,$BV$205^A50,IF(A50='Données projet'!$A$114,'Données projet'!$B$114,BY49+BX50-CG49)))</f>
        <v>531.59999999999991</v>
      </c>
      <c r="BZ50" s="14">
        <f>BY50*VLOOKUP('Données projet'!$B$12,Paramètres!$A$1:$I$88,3,0)*VLOOKUP('Données projet'!$B$12,Paramètres!$A$1:$I$88,5,0)</f>
        <v>214.23479999999995</v>
      </c>
      <c r="CA50" s="14">
        <f t="shared" si="39"/>
        <v>52.859918006081671</v>
      </c>
      <c r="CB50" s="22">
        <f t="shared" si="10"/>
        <v>465.18996719392544</v>
      </c>
      <c r="CC50" s="62">
        <f t="shared" si="11"/>
        <v>718.25120505812083</v>
      </c>
      <c r="CD50" s="62">
        <f ca="1">AVERAGE(OFFSET($CC$3,0,0,'Données projet'!$E$12+1,1))-AVERAGE(OFFSET($H$3,0,0,'Données projet'!$E$12+1,1))</f>
        <v>432.59662347701629</v>
      </c>
      <c r="CE50" s="62">
        <f t="shared" si="40"/>
        <v>348.67401091099748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22.850571358901551</v>
      </c>
      <c r="CL50" s="23">
        <f>EXP(-LN(2)/25)*CL49+(1-EXP(-LN(2)/25))/(LN(2)/25)*Calculateur!CG50*Calculateur!CI50*VLOOKUP('Données projet'!$B$12,Paramètres!$A$1:$I$88,3,0)*0.475*44/12</f>
        <v>78.563294252659915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101.41386561156146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35.4</v>
      </c>
      <c r="CT50" s="13">
        <f>IF('Données projet'!$A$140&gt;35,CT49+CS50-DB49,IF(A50&lt;'Données projet'!$A$140,$CQ$205^A50,IF(A50='Données projet'!$A$140,'Données projet'!$B$140,CT49+CS50-DB49)))</f>
        <v>706.80000000000007</v>
      </c>
      <c r="CU50" s="18">
        <f>CT50*VLOOKUP('Données projet'!$B$13,Paramètres!$A$1:$I$88,3,0)*VLOOKUP('Données projet'!$B$13,Paramètres!$A$1:$I$88,5,0)</f>
        <v>312.40560000000005</v>
      </c>
      <c r="CV50" s="14">
        <f t="shared" si="41"/>
        <v>73.77098895667821</v>
      </c>
      <c r="CW50" s="22">
        <f t="shared" si="13"/>
        <v>672.59089243288122</v>
      </c>
      <c r="CX50" s="62">
        <f t="shared" si="14"/>
        <v>925.65213029707661</v>
      </c>
      <c r="CY50" s="62">
        <f ca="1">AVERAGE(OFFSET($CX$3,0,0,'Données projet'!$E$13+1,1))-AVERAGE(OFFSET($H$3,0,0,'Données projet'!$E$13+1,1))</f>
        <v>582.26951914082088</v>
      </c>
      <c r="CZ50" s="62">
        <f t="shared" si="42"/>
        <v>434.80429932654715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29.821405551663183</v>
      </c>
      <c r="DG50" s="23">
        <f>EXP(-LN(2)/25)*DG49+(1-EXP(-LN(2)/25))/(LN(2)/25)*Calculateur!DB50*Calculateur!DD50*VLOOKUP('Données projet'!$B$13,Paramètres!$A$1:$I$88,3,0)*0.475*44/12</f>
        <v>79.268938848357905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109.09034440002108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19.399999999999999</v>
      </c>
      <c r="DO50" s="13">
        <f>IF('Données projet'!$A$166&gt;35,DO49+DN50-DW49,IF(A50&lt;'Données projet'!$A$166,$DL$205^A50,IF(A50='Données projet'!$A$166,'Données projet'!$B$166,DO49+DN50-DW49)))</f>
        <v>308.79999999999973</v>
      </c>
      <c r="DP50" s="18">
        <f>DO50*VLOOKUP('Données projet'!$B$14,Paramètres!$A$1:$I$88,3,0)*VLOOKUP('Données projet'!$B$14,Paramètres!$A$1:$I$88,5,0)</f>
        <v>148.53279999999987</v>
      </c>
      <c r="DQ50" s="14">
        <f t="shared" si="43"/>
        <v>38.244968650620514</v>
      </c>
      <c r="DR50" s="22">
        <f t="shared" si="16"/>
        <v>325.30461373316376</v>
      </c>
      <c r="DS50" s="62">
        <f t="shared" si="17"/>
        <v>578.3658515973591</v>
      </c>
      <c r="DT50" s="62">
        <f ca="1">AVERAGE(OFFSET($DS$3,0,0,'Données projet'!$E$14+1,1))-AVERAGE(OFFSET($H$3,0,0,'Données projet'!$E$14+1,1))</f>
        <v>273.24375559399846</v>
      </c>
      <c r="DU50" s="62">
        <f t="shared" si="44"/>
        <v>270.77718895097848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projet'!$B$14,Paramètres!$A$1:$I$88,3,0)*0.475*44/12</f>
        <v>22.918487245130279</v>
      </c>
      <c r="EB50" s="23">
        <f>EXP(-LN(2)/25)*EB49+(1-EXP(-LN(2)/25))/(LN(2)/25)*Calculateur!DW50*Calculateur!DY50*VLOOKUP('Données projet'!$B$14,Paramètres!$A$1:$I$88,3,0)*0.475*44/12</f>
        <v>47.902657052922869</v>
      </c>
      <c r="EC50" s="23">
        <f>EXP(-LN(2)/2)*EC49+(1-EXP(-LN(2)/2))/(LN(2)/2)*DW50*DZ50*VLOOKUP('Données projet'!$B$14,Paramètres!$A$1:$I$88,3,0)*0.475*44/12</f>
        <v>0</v>
      </c>
      <c r="ED50" s="24">
        <f t="shared" si="18"/>
        <v>70.821144298053156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19.399999999999999</v>
      </c>
      <c r="EJ50" s="13">
        <f>IF('Données projet'!$A$192&gt;35,EJ49+EI50-ER49,IF(A50&lt;'Données projet'!$A$192,$EG$205^A50,IF(A50='Données projet'!$A$192,'Données projet'!$B$192,EJ49+EI50-ER49)))</f>
        <v>308.79999999999973</v>
      </c>
      <c r="EK50" s="18">
        <f>EJ50*VLOOKUP('Données projet'!$B$15,Paramètres!$A$1:$I$88,3,0)*VLOOKUP('Données projet'!$B$15,Paramètres!$A$1:$I$88,5,0)</f>
        <v>144.51839999999987</v>
      </c>
      <c r="EL50" s="14">
        <f t="shared" si="45"/>
        <v>37.330186148585099</v>
      </c>
      <c r="EM50" s="22">
        <f t="shared" si="19"/>
        <v>316.71962087545211</v>
      </c>
      <c r="EN50" s="62">
        <f t="shared" si="20"/>
        <v>569.78085873964756</v>
      </c>
      <c r="EO50" s="62">
        <f ca="1">AVERAGE(OFFSET($EN$3,0,0,'Données projet'!$E$15+1,1))-AVERAGE(OFFSET($H$3,0,0,'Données projet'!$E$15+1,1))</f>
        <v>267.26203506406682</v>
      </c>
      <c r="EP50" s="62">
        <f t="shared" si="46"/>
        <v>265.10857635664843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projet'!$B$15,Paramètres!$A$1:$I$88,3,0)*0.475*44/12</f>
        <v>22.299068670937569</v>
      </c>
      <c r="EW50" s="23">
        <f>EXP(-LN(2)/25)*EW49+(1-EXP(-LN(2)/25))/(LN(2)/25)*Calculateur!ER50*Calculateur!ET50*VLOOKUP('Données projet'!$B$15,Paramètres!$A$1:$I$88,3,0)*0.475*44/12</f>
        <v>46.607990646087117</v>
      </c>
      <c r="EX50" s="23">
        <f>EXP(-LN(2)/2)*EX49+(1-EXP(-LN(2)/2))/(LN(2)/2)*ER50*EU50*VLOOKUP('Données projet'!$B$15,Paramètres!$A$1:$I$88,3,0)*0.475*44/12</f>
        <v>0</v>
      </c>
      <c r="EY50" s="24">
        <f t="shared" si="21"/>
        <v>68.907059317024689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231</v>
      </c>
      <c r="FF50" s="18">
        <f>FE50*VLOOKUP('Données projet'!$B$16,Paramètres!$A$1:$I$88,3,0)*VLOOKUP('Données projet'!$B$16,Paramètres!$A$1:$I$88,5,0)</f>
        <v>169.36920000000001</v>
      </c>
      <c r="FG50" s="14">
        <f t="shared" si="47"/>
        <v>42.948714817158674</v>
      </c>
      <c r="FH50" s="22">
        <f t="shared" si="22"/>
        <v>369.787034973218</v>
      </c>
      <c r="FI50" s="62">
        <f t="shared" si="23"/>
        <v>622.84827283741333</v>
      </c>
      <c r="FJ50" s="62">
        <f ca="1">AVERAGE(OFFSET($FI$3,0,0,'Données projet'!$E$16+1,1))-AVERAGE(OFFSET($H$3,0,0,'Données projet'!$E$16+1,1))</f>
        <v>207.66160354686221</v>
      </c>
      <c r="FK50" s="62">
        <f t="shared" si="48"/>
        <v>260.45879589483525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projet'!$B$16,Paramètres!$A$1:$I$88,3,0)*0.475*44/12</f>
        <v>3.6971154786981661</v>
      </c>
      <c r="FR50" s="23">
        <f>EXP(-LN(2)/25)*FR49+(1-EXP(-LN(2)/25))/(LN(2)/25)*Calculateur!FM50*Calculateur!FO50*VLOOKUP('Données projet'!$B$16,Paramètres!$A$1:$I$88,3,0)*0.475*44/12</f>
        <v>0</v>
      </c>
      <c r="FS50" s="23">
        <f>EXP(-LN(2)/2)*FS49+(1-EXP(-LN(2)/2))/(LN(2)/2)*FM50*FP50*VLOOKUP('Données projet'!$B$16,Paramètres!$A$1:$I$88,3,0)*0.475*44/12</f>
        <v>0</v>
      </c>
      <c r="FT50" s="24">
        <f t="shared" si="24"/>
        <v>3.6971154786981661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601</v>
      </c>
      <c r="L51" s="13">
        <f>VLOOKUP(A51,'Données projet'!$A$35:$I$55,9,0)</f>
        <v>25.166666666666668</v>
      </c>
      <c r="M51" s="13">
        <f t="array" ref="M51">INDEX(L:L,MIN(IF(ISNUMBER(L51:L247),ROW(L51:L247),"")))</f>
        <v>25.166666666666668</v>
      </c>
      <c r="N51" s="14">
        <f>IF('Données projet'!$A$36&gt;35,N50+M51-V50,IF(A51&lt;'Données projet'!$A$36,$K$205^A51,IF(A51='Données projet'!$A$36,'Données projet'!$B$36,N50+M51-V50)))</f>
        <v>600.99999999999977</v>
      </c>
      <c r="O51" s="14">
        <f>N51*VLOOKUP('Données projet'!$B$9,Paramètres!$A$1:$I$88,3,0)*VLOOKUP('Données projet'!$B$9,Paramètres!$A$1:$I$88,5,0)</f>
        <v>335.95899999999989</v>
      </c>
      <c r="P51" s="14">
        <f t="shared" si="33"/>
        <v>78.664470148496989</v>
      </c>
      <c r="Q51" s="22">
        <f t="shared" si="53"/>
        <v>722.13587717529879</v>
      </c>
      <c r="R51" s="62">
        <f t="shared" si="0"/>
        <v>975.89574586096649</v>
      </c>
      <c r="S51" s="62">
        <f ca="1">AVERAGE(OFFSET($R$3,0,0,'Données projet'!$E$9+1,1))-AVERAGE(OFFSET($H$3,0,0,'Données projet'!$E$9+1,1))</f>
        <v>378.13552372917843</v>
      </c>
      <c r="T51" s="62">
        <f t="shared" si="34"/>
        <v>528.97123645404952</v>
      </c>
      <c r="U51" s="16">
        <f>IF(ISNA(VLOOKUP(A51,'Données projet'!$A$35:$I$55,3,0)),0,VLOOKUP(A51,'Données projet'!$A$35:$I$55,3,0))</f>
        <v>6</v>
      </c>
      <c r="V51" s="16">
        <f>IF(ISNA(VLOOKUP(A51,'Données projet'!$A$35:$I$55,4,0)),0,VLOOKUP(A51,'Données projet'!$A$35:$I$55,4,0))</f>
        <v>102</v>
      </c>
      <c r="W51" s="17">
        <f>IF(ISNA(VLOOKUP(A51,'Données projet'!$A$35:$I$55,5,0)),0%,VLOOKUP(A51,'Données projet'!$A$35:$I$55,5,0)*VLOOKUP('Données projet'!$B$9,Paramètres!$A$1:$I$88,7,0))</f>
        <v>0.30250000000000005</v>
      </c>
      <c r="X51" s="17">
        <f>IF(ISNA(VLOOKUP(A51,'Données projet'!$A$35:$I$55,6,0)),0%,VLOOKUP(A51,'Données projet'!$A$35:$I$55,6,0)*VLOOKUP('Données projet'!$B$9,Paramètres!$A$1:$I$88,7,0))</f>
        <v>0.24750000000000003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59.250824732663915</v>
      </c>
      <c r="AA51" s="23">
        <f>EXP(-LN(2)/25)*AA50+(1-EXP(-LN(2)/25))/(LN(2)/25)*Calculateur!V51*Calculateur!X51*VLOOKUP('Données projet'!$B$9,Paramètres!$A$1:$I$88,3,0)*0.475*44/12</f>
        <v>76.174134086374579</v>
      </c>
      <c r="AB51" s="23">
        <f>EXP(-LN(2)/2)*AB50+(1-EXP(-LN(2)/2))/(LN(2)/2)*V51*Y51*VLOOKUP('Données projet'!$B$9,Paramètres!$A$1:$I$88,3,0)*0.475*44/12</f>
        <v>0</v>
      </c>
      <c r="AC51" s="24">
        <f t="shared" si="3"/>
        <v>135.42495881903849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9.625</v>
      </c>
      <c r="AI51" s="14">
        <f>IF('Données projet'!$A$62&gt;35,AI50+AH51-AQ50,IF(A51&lt;'Données projet'!$A$62,$AF$205^A51,IF(A51='Données projet'!$A$62,'Données projet'!$B$62,AI50+AH51-AQ50)))</f>
        <v>146.875</v>
      </c>
      <c r="AJ51" s="14">
        <f>AI51*VLOOKUP('Données projet'!$B$10,Paramètres!$A$1:$I$88,3,0)*VLOOKUP('Données projet'!$B$10,Paramètres!$A$1:$I$88,5,0)</f>
        <v>132.89250000000001</v>
      </c>
      <c r="AK51" s="14">
        <f t="shared" si="35"/>
        <v>34.663872731530624</v>
      </c>
      <c r="AL51" s="22">
        <f t="shared" si="4"/>
        <v>291.82734917408254</v>
      </c>
      <c r="AM51" s="62">
        <f t="shared" si="5"/>
        <v>545.58721785975024</v>
      </c>
      <c r="AN51" s="62">
        <f ca="1">AVERAGE(OFFSET($AM$3,0,0,'Données projet'!$E$10+1,1))-AVERAGE(OFFSET($H$3,0,0,'Données projet'!$E$10+1,1))</f>
        <v>536.3707066106856</v>
      </c>
      <c r="AO51" s="62">
        <f t="shared" si="36"/>
        <v>217.6280015974086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2.5330607420814175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2.5330607420814175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7.5749999999999957</v>
      </c>
      <c r="BD51" s="13">
        <f>IF('Données projet'!$A$88&gt;35,BD50+BC51-BL50,IF(A51&lt;'Données projet'!$A$88,$BA$205^A51,IF(A51='Données projet'!$A$88,'Données projet'!$B$88,BD50+BC51-BL50)))</f>
        <v>250.05</v>
      </c>
      <c r="BE51" s="14">
        <f>BD51*VLOOKUP('Données projet'!$B$11,Paramètres!$A$1:$I$88,3,0)*VLOOKUP('Données projet'!$B$11,Paramètres!$A$1:$I$88,5,0)</f>
        <v>149.52990000000003</v>
      </c>
      <c r="BF51" s="14">
        <f t="shared" si="37"/>
        <v>38.471734200187633</v>
      </c>
      <c r="BG51" s="22">
        <f t="shared" si="7"/>
        <v>327.43617956532677</v>
      </c>
      <c r="BH51" s="62">
        <f t="shared" si="8"/>
        <v>581.19604825099441</v>
      </c>
      <c r="BI51" s="62">
        <f ca="1">AVERAGE(OFFSET($BH$3,0,0,'Données projet'!$E$11+1,1))-AVERAGE(OFFSET($H$3,0,0,'Données projet'!$E$11+1,1))</f>
        <v>248.66193174773525</v>
      </c>
      <c r="BJ51" s="62">
        <f t="shared" si="38"/>
        <v>249.61655682981151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20.7074251943402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6.5577629183383426</v>
      </c>
      <c r="BS51" s="24">
        <f t="shared" si="9"/>
        <v>27.265188112678544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28.8</v>
      </c>
      <c r="BY51" s="13">
        <f>IF('Données projet'!$A$114&gt;35,BY50+BX51-CG50,IF(A51&lt;'Données projet'!$A$114,$BV$205^A51,IF(A51='Données projet'!$A$114,'Données projet'!$B$114,BY50+BX51-CG50)))</f>
        <v>560.39999999999986</v>
      </c>
      <c r="BZ51" s="14">
        <f>BY51*VLOOKUP('Données projet'!$B$12,Paramètres!$A$1:$I$88,3,0)*VLOOKUP('Données projet'!$B$12,Paramètres!$A$1:$I$88,5,0)</f>
        <v>225.84119999999996</v>
      </c>
      <c r="CA51" s="14">
        <f t="shared" si="39"/>
        <v>55.382498998249922</v>
      </c>
      <c r="CB51" s="22">
        <f t="shared" si="10"/>
        <v>489.7979424219518</v>
      </c>
      <c r="CC51" s="62">
        <f t="shared" si="11"/>
        <v>743.5578111076195</v>
      </c>
      <c r="CD51" s="62">
        <f ca="1">AVERAGE(OFFSET($CC$3,0,0,'Données projet'!$E$12+1,1))-AVERAGE(OFFSET($H$3,0,0,'Données projet'!$E$12+1,1))</f>
        <v>432.59662347701629</v>
      </c>
      <c r="CE51" s="62">
        <f t="shared" si="40"/>
        <v>348.67401091099748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22.402485592025808</v>
      </c>
      <c r="CL51" s="23">
        <f>EXP(-LN(2)/25)*CL50+(1-EXP(-LN(2)/25))/(LN(2)/25)*Calculateur!CG51*Calculateur!CI51*VLOOKUP('Données projet'!$B$12,Paramètres!$A$1:$I$88,3,0)*0.475*44/12</f>
        <v>76.414976839856848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98.81746243188266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35.4</v>
      </c>
      <c r="CT51" s="13">
        <f>IF('Données projet'!$A$140&gt;35,CT50+CS51-DB50,IF(A51&lt;'Données projet'!$A$140,$CQ$205^A51,IF(A51='Données projet'!$A$140,'Données projet'!$B$140,CT50+CS51-DB50)))</f>
        <v>742.2</v>
      </c>
      <c r="CU51" s="18">
        <f>CT51*VLOOKUP('Données projet'!$B$13,Paramètres!$A$1:$I$88,3,0)*VLOOKUP('Données projet'!$B$13,Paramètres!$A$1:$I$88,5,0)</f>
        <v>328.05240000000009</v>
      </c>
      <c r="CV51" s="14">
        <f t="shared" si="41"/>
        <v>77.026381001221225</v>
      </c>
      <c r="CW51" s="22">
        <f t="shared" si="13"/>
        <v>705.51221024379367</v>
      </c>
      <c r="CX51" s="62">
        <f t="shared" si="14"/>
        <v>959.27207892946137</v>
      </c>
      <c r="CY51" s="62">
        <f ca="1">AVERAGE(OFFSET($CX$3,0,0,'Données projet'!$E$13+1,1))-AVERAGE(OFFSET($H$3,0,0,'Données projet'!$E$13+1,1))</f>
        <v>582.26951914082088</v>
      </c>
      <c r="CZ51" s="62">
        <f t="shared" si="42"/>
        <v>434.80429932654715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29.236625978056413</v>
      </c>
      <c r="DG51" s="23">
        <f>EXP(-LN(2)/25)*DG50+(1-EXP(-LN(2)/25))/(LN(2)/25)*Calculateur!DB51*Calculateur!DD51*VLOOKUP('Données projet'!$B$13,Paramètres!$A$1:$I$88,3,0)*0.475*44/12</f>
        <v>77.101325546977236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106.33795152503365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19.399999999999999</v>
      </c>
      <c r="DO51" s="13">
        <f>IF('Données projet'!$A$166&gt;35,DO50+DN51-DW50,IF(A51&lt;'Données projet'!$A$166,$DL$205^A51,IF(A51='Données projet'!$A$166,'Données projet'!$B$166,DO50+DN51-DW50)))</f>
        <v>328.1999999999997</v>
      </c>
      <c r="DP51" s="18">
        <f>DO51*VLOOKUP('Données projet'!$B$14,Paramètres!$A$1:$I$88,3,0)*VLOOKUP('Données projet'!$B$14,Paramètres!$A$1:$I$88,5,0)</f>
        <v>157.86419999999984</v>
      </c>
      <c r="DQ51" s="14">
        <f t="shared" si="43"/>
        <v>40.360403623484046</v>
      </c>
      <c r="DR51" s="22">
        <f t="shared" si="16"/>
        <v>345.24118464423441</v>
      </c>
      <c r="DS51" s="62">
        <f t="shared" si="17"/>
        <v>599.00105332990211</v>
      </c>
      <c r="DT51" s="62">
        <f ca="1">AVERAGE(OFFSET($DS$3,0,0,'Données projet'!$E$14+1,1))-AVERAGE(OFFSET($H$3,0,0,'Données projet'!$E$14+1,1))</f>
        <v>273.24375559399846</v>
      </c>
      <c r="DU51" s="62">
        <f t="shared" si="44"/>
        <v>270.77718895097848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projet'!$B$14,Paramètres!$A$1:$I$88,3,0)*0.475*44/12</f>
        <v>22.469069689150192</v>
      </c>
      <c r="EB51" s="23">
        <f>EXP(-LN(2)/25)*EB50+(1-EXP(-LN(2)/25))/(LN(2)/25)*Calculateur!DW51*Calculateur!DY51*VLOOKUP('Données projet'!$B$14,Paramètres!$A$1:$I$88,3,0)*0.475*44/12</f>
        <v>46.592756376719443</v>
      </c>
      <c r="EC51" s="23">
        <f>EXP(-LN(2)/2)*EC50+(1-EXP(-LN(2)/2))/(LN(2)/2)*DW51*DZ51*VLOOKUP('Données projet'!$B$14,Paramètres!$A$1:$I$88,3,0)*0.475*44/12</f>
        <v>0</v>
      </c>
      <c r="ED51" s="24">
        <f t="shared" si="18"/>
        <v>69.061826065869639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19.399999999999999</v>
      </c>
      <c r="EJ51" s="13">
        <f>IF('Données projet'!$A$192&gt;35,EJ50+EI51-ER50,IF(A51&lt;'Données projet'!$A$192,$EG$205^A51,IF(A51='Données projet'!$A$192,'Données projet'!$B$192,EJ50+EI51-ER50)))</f>
        <v>328.1999999999997</v>
      </c>
      <c r="EK51" s="18">
        <f>EJ51*VLOOKUP('Données projet'!$B$15,Paramètres!$A$1:$I$88,3,0)*VLOOKUP('Données projet'!$B$15,Paramètres!$A$1:$I$88,5,0)</f>
        <v>153.59759999999986</v>
      </c>
      <c r="EL51" s="14">
        <f t="shared" si="45"/>
        <v>39.395021971661173</v>
      </c>
      <c r="EM51" s="22">
        <f t="shared" si="19"/>
        <v>336.12881660064295</v>
      </c>
      <c r="EN51" s="62">
        <f t="shared" si="20"/>
        <v>589.88868528631065</v>
      </c>
      <c r="EO51" s="62">
        <f ca="1">AVERAGE(OFFSET($EN$3,0,0,'Données projet'!$E$15+1,1))-AVERAGE(OFFSET($H$3,0,0,'Données projet'!$E$15+1,1))</f>
        <v>267.26203506406682</v>
      </c>
      <c r="EP51" s="62">
        <f t="shared" si="46"/>
        <v>265.10857635664843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projet'!$B$15,Paramètres!$A$1:$I$88,3,0)*0.475*44/12</f>
        <v>21.861797535389375</v>
      </c>
      <c r="EW51" s="23">
        <f>EXP(-LN(2)/25)*EW50+(1-EXP(-LN(2)/25))/(LN(2)/25)*Calculateur!ER51*Calculateur!ET51*VLOOKUP('Données projet'!$B$15,Paramètres!$A$1:$I$88,3,0)*0.475*44/12</f>
        <v>45.333492690862158</v>
      </c>
      <c r="EX51" s="23">
        <f>EXP(-LN(2)/2)*EX50+(1-EXP(-LN(2)/2))/(LN(2)/2)*ER51*EU51*VLOOKUP('Données projet'!$B$15,Paramètres!$A$1:$I$88,3,0)*0.475*44/12</f>
        <v>0</v>
      </c>
      <c r="EY51" s="24">
        <f t="shared" si="21"/>
        <v>67.195290226251529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231</v>
      </c>
      <c r="FF51" s="18">
        <f>FE51*VLOOKUP('Données projet'!$B$16,Paramètres!$A$1:$I$88,3,0)*VLOOKUP('Données projet'!$B$16,Paramètres!$A$1:$I$88,5,0)</f>
        <v>169.36920000000001</v>
      </c>
      <c r="FG51" s="14">
        <f t="shared" si="47"/>
        <v>42.948714817158674</v>
      </c>
      <c r="FH51" s="22">
        <f t="shared" si="22"/>
        <v>369.787034973218</v>
      </c>
      <c r="FI51" s="62">
        <f t="shared" si="23"/>
        <v>623.54690365888564</v>
      </c>
      <c r="FJ51" s="62">
        <f ca="1">AVERAGE(OFFSET($FI$3,0,0,'Données projet'!$E$16+1,1))-AVERAGE(OFFSET($H$3,0,0,'Données projet'!$E$16+1,1))</f>
        <v>207.66160354686221</v>
      </c>
      <c r="FK51" s="62">
        <f t="shared" si="48"/>
        <v>260.45879589483525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projet'!$B$16,Paramètres!$A$1:$I$88,3,0)*0.475*44/12</f>
        <v>3.6246172991786727</v>
      </c>
      <c r="FR51" s="23">
        <f>EXP(-LN(2)/25)*FR50+(1-EXP(-LN(2)/25))/(LN(2)/25)*Calculateur!FM51*Calculateur!FO51*VLOOKUP('Données projet'!$B$16,Paramètres!$A$1:$I$88,3,0)*0.475*44/12</f>
        <v>0</v>
      </c>
      <c r="FS51" s="23">
        <f>EXP(-LN(2)/2)*FS50+(1-EXP(-LN(2)/2))/(LN(2)/2)*FM51*FP51*VLOOKUP('Données projet'!$B$16,Paramètres!$A$1:$I$88,3,0)*0.475*44/12</f>
        <v>0</v>
      </c>
      <c r="FT51" s="24">
        <f t="shared" si="24"/>
        <v>3.6246172991786727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23.5</v>
      </c>
      <c r="N52" s="14">
        <f>IF('Données projet'!$A$36&gt;35,N51+M52-V51,IF(A52&lt;'Données projet'!$A$36,$K$205^A52,IF(A52='Données projet'!$A$36,'Données projet'!$B$36,N51+M52-V51)))</f>
        <v>522.49999999999977</v>
      </c>
      <c r="O52" s="14">
        <f>N52*VLOOKUP('Données projet'!$B$9,Paramètres!$A$1:$I$88,3,0)*VLOOKUP('Données projet'!$B$9,Paramètres!$A$1:$I$88,5,0)</f>
        <v>292.07749999999987</v>
      </c>
      <c r="P52" s="14">
        <f t="shared" si="33"/>
        <v>69.513025042244749</v>
      </c>
      <c r="Q52" s="22">
        <f t="shared" si="53"/>
        <v>629.770164448576</v>
      </c>
      <c r="R52" s="62">
        <f t="shared" si="0"/>
        <v>884.21654427286796</v>
      </c>
      <c r="S52" s="62">
        <f ca="1">AVERAGE(OFFSET($R$3,0,0,'Données projet'!$E$9+1,1))-AVERAGE(OFFSET($H$3,0,0,'Données projet'!$E$9+1,1))</f>
        <v>378.13552372917843</v>
      </c>
      <c r="T52" s="62">
        <f t="shared" si="34"/>
        <v>528.97123645404952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58.08895219909099</v>
      </c>
      <c r="AA52" s="23">
        <f>EXP(-LN(2)/25)*AA51+(1-EXP(-LN(2)/25))/(LN(2)/25)*Calculateur!V52*Calculateur!X52*VLOOKUP('Données projet'!$B$9,Paramètres!$A$1:$I$88,3,0)*0.475*44/12</f>
        <v>74.091148383959052</v>
      </c>
      <c r="AB52" s="23">
        <f>EXP(-LN(2)/2)*AB51+(1-EXP(-LN(2)/2))/(LN(2)/2)*V52*Y52*VLOOKUP('Données projet'!$B$9,Paramètres!$A$1:$I$88,3,0)*0.475*44/12</f>
        <v>0</v>
      </c>
      <c r="AC52" s="24">
        <f t="shared" si="3"/>
        <v>132.18010058305003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9.625</v>
      </c>
      <c r="AI52" s="14">
        <f>IF('Données projet'!$A$62&gt;35,AI51+AH52-AQ51,IF(A52&lt;'Données projet'!$A$62,$AF$205^A52,IF(A52='Données projet'!$A$62,'Données projet'!$B$62,AI51+AH52-AQ51)))</f>
        <v>156.5</v>
      </c>
      <c r="AJ52" s="14">
        <f>AI52*VLOOKUP('Données projet'!$B$10,Paramètres!$A$1:$I$88,3,0)*VLOOKUP('Données projet'!$B$10,Paramètres!$A$1:$I$88,5,0)</f>
        <v>141.60120000000001</v>
      </c>
      <c r="AK52" s="14">
        <f t="shared" si="35"/>
        <v>36.66357479752002</v>
      </c>
      <c r="AL52" s="22">
        <f t="shared" si="4"/>
        <v>310.47781610568069</v>
      </c>
      <c r="AM52" s="62">
        <f t="shared" si="5"/>
        <v>564.92419592997271</v>
      </c>
      <c r="AN52" s="62">
        <f ca="1">AVERAGE(OFFSET($AM$3,0,0,'Données projet'!$E$10+1,1))-AVERAGE(OFFSET($H$3,0,0,'Données projet'!$E$10+1,1))</f>
        <v>536.3707066106856</v>
      </c>
      <c r="AO52" s="62">
        <f t="shared" si="36"/>
        <v>217.6280015974086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2.4833889659436963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2.4833889659436963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7.5749999999999957</v>
      </c>
      <c r="BD52" s="13">
        <f>IF('Données projet'!$A$88&gt;35,BD51+BC52-BL51,IF(A52&lt;'Données projet'!$A$88,$BA$205^A52,IF(A52='Données projet'!$A$88,'Données projet'!$B$88,BD51+BC52-BL51)))</f>
        <v>257.625</v>
      </c>
      <c r="BE52" s="14">
        <f>BD52*VLOOKUP('Données projet'!$B$11,Paramètres!$A$1:$I$88,3,0)*VLOOKUP('Données projet'!$B$11,Paramètres!$A$1:$I$88,5,0)</f>
        <v>154.05975000000001</v>
      </c>
      <c r="BF52" s="14">
        <f t="shared" si="37"/>
        <v>39.499739554511528</v>
      </c>
      <c r="BG52" s="22">
        <f t="shared" si="7"/>
        <v>337.11611097410758</v>
      </c>
      <c r="BH52" s="62">
        <f t="shared" si="8"/>
        <v>591.56249079839949</v>
      </c>
      <c r="BI52" s="62">
        <f ca="1">AVERAGE(OFFSET($BH$3,0,0,'Données projet'!$E$11+1,1))-AVERAGE(OFFSET($H$3,0,0,'Données projet'!$E$11+1,1))</f>
        <v>248.66193174773525</v>
      </c>
      <c r="BJ52" s="62">
        <f t="shared" si="38"/>
        <v>249.61655682981151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20.301365216561422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4.6370386289707257</v>
      </c>
      <c r="BS52" s="24">
        <f t="shared" si="9"/>
        <v>24.938403845532147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28.8</v>
      </c>
      <c r="BY52" s="13">
        <f>IF('Données projet'!$A$114&gt;35,BY51+BX52-CG51,IF(A52&lt;'Données projet'!$A$114,$BV$205^A52,IF(A52='Données projet'!$A$114,'Données projet'!$B$114,BY51+BX52-CG51)))</f>
        <v>589.19999999999982</v>
      </c>
      <c r="BZ52" s="14">
        <f>BY52*VLOOKUP('Données projet'!$B$12,Paramètres!$A$1:$I$88,3,0)*VLOOKUP('Données projet'!$B$12,Paramètres!$A$1:$I$88,5,0)</f>
        <v>237.44759999999991</v>
      </c>
      <c r="CA52" s="14">
        <f t="shared" si="39"/>
        <v>57.890027928396762</v>
      </c>
      <c r="CB52" s="22">
        <f t="shared" si="10"/>
        <v>514.37970197529091</v>
      </c>
      <c r="CC52" s="62">
        <f t="shared" si="11"/>
        <v>768.82608179958288</v>
      </c>
      <c r="CD52" s="62">
        <f ca="1">AVERAGE(OFFSET($CC$3,0,0,'Données projet'!$E$12+1,1))-AVERAGE(OFFSET($H$3,0,0,'Données projet'!$E$12+1,1))</f>
        <v>432.59662347701629</v>
      </c>
      <c r="CE52" s="62">
        <f t="shared" si="40"/>
        <v>348.67401091099748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21.96318651373317</v>
      </c>
      <c r="CL52" s="23">
        <f>EXP(-LN(2)/25)*CL51+(1-EXP(-LN(2)/25))/(LN(2)/25)*Calculateur!CG52*Calculateur!CI52*VLOOKUP('Données projet'!$B$12,Paramètres!$A$1:$I$88,3,0)*0.475*44/12</f>
        <v>74.325405279681974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96.288591793415151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35.4</v>
      </c>
      <c r="CT52" s="13">
        <f>IF('Données projet'!$A$140&gt;35,CT51+CS52-DB51,IF(A52&lt;'Données projet'!$A$140,$CQ$205^A52,IF(A52='Données projet'!$A$140,'Données projet'!$B$140,CT51+CS52-DB51)))</f>
        <v>777.6</v>
      </c>
      <c r="CU52" s="18">
        <f>CT52*VLOOKUP('Données projet'!$B$13,Paramètres!$A$1:$I$88,3,0)*VLOOKUP('Données projet'!$B$13,Paramètres!$A$1:$I$88,5,0)</f>
        <v>343.69920000000002</v>
      </c>
      <c r="CV52" s="14">
        <f t="shared" si="41"/>
        <v>80.263742557801308</v>
      </c>
      <c r="CW52" s="22">
        <f t="shared" si="13"/>
        <v>738.40212495483729</v>
      </c>
      <c r="CX52" s="62">
        <f t="shared" si="14"/>
        <v>992.84850477912926</v>
      </c>
      <c r="CY52" s="62">
        <f ca="1">AVERAGE(OFFSET($CX$3,0,0,'Données projet'!$E$13+1,1))-AVERAGE(OFFSET($H$3,0,0,'Données projet'!$E$13+1,1))</f>
        <v>582.26951914082088</v>
      </c>
      <c r="CZ52" s="62">
        <f t="shared" si="42"/>
        <v>434.80429932654715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28.663313575207752</v>
      </c>
      <c r="DG52" s="23">
        <f>EXP(-LN(2)/25)*DG51+(1-EXP(-LN(2)/25))/(LN(2)/25)*Calculateur!DB52*Calculateur!DD52*VLOOKUP('Données projet'!$B$13,Paramètres!$A$1:$I$88,3,0)*0.475*44/12</f>
        <v>74.992985745312652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103.6562993205204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19.399999999999999</v>
      </c>
      <c r="DO52" s="13">
        <f>IF('Données projet'!$A$166&gt;35,DO51+DN52-DW51,IF(A52&lt;'Données projet'!$A$166,$DL$205^A52,IF(A52='Données projet'!$A$166,'Données projet'!$B$166,DO51+DN52-DW51)))</f>
        <v>347.59999999999968</v>
      </c>
      <c r="DP52" s="18">
        <f>DO52*VLOOKUP('Données projet'!$B$14,Paramètres!$A$1:$I$88,3,0)*VLOOKUP('Données projet'!$B$14,Paramètres!$A$1:$I$88,5,0)</f>
        <v>167.19559999999984</v>
      </c>
      <c r="DQ52" s="14">
        <f t="shared" si="43"/>
        <v>42.461324512897349</v>
      </c>
      <c r="DR52" s="22">
        <f t="shared" si="16"/>
        <v>365.15247685996263</v>
      </c>
      <c r="DS52" s="62">
        <f t="shared" si="17"/>
        <v>619.59885668425454</v>
      </c>
      <c r="DT52" s="62">
        <f ca="1">AVERAGE(OFFSET($DS$3,0,0,'Données projet'!$E$14+1,1))-AVERAGE(OFFSET($H$3,0,0,'Données projet'!$E$14+1,1))</f>
        <v>273.24375559399846</v>
      </c>
      <c r="DU52" s="62">
        <f t="shared" si="44"/>
        <v>270.77718895097848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projet'!$B$14,Paramètres!$A$1:$I$88,3,0)*0.475*44/12</f>
        <v>22.028464937325232</v>
      </c>
      <c r="EB52" s="23">
        <f>EXP(-LN(2)/25)*EB51+(1-EXP(-LN(2)/25))/(LN(2)/25)*Calculateur!DW52*Calculateur!DY52*VLOOKUP('Données projet'!$B$14,Paramètres!$A$1:$I$88,3,0)*0.475*44/12</f>
        <v>45.318675003391483</v>
      </c>
      <c r="EC52" s="23">
        <f>EXP(-LN(2)/2)*EC51+(1-EXP(-LN(2)/2))/(LN(2)/2)*DW52*DZ52*VLOOKUP('Données projet'!$B$14,Paramètres!$A$1:$I$88,3,0)*0.475*44/12</f>
        <v>0</v>
      </c>
      <c r="ED52" s="24">
        <f t="shared" si="18"/>
        <v>67.347139940716716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19.399999999999999</v>
      </c>
      <c r="EJ52" s="13">
        <f>IF('Données projet'!$A$192&gt;35,EJ51+EI52-ER51,IF(A52&lt;'Données projet'!$A$192,$EG$205^A52,IF(A52='Données projet'!$A$192,'Données projet'!$B$192,EJ51+EI52-ER51)))</f>
        <v>347.59999999999968</v>
      </c>
      <c r="EK52" s="18">
        <f>EJ52*VLOOKUP('Données projet'!$B$15,Paramètres!$A$1:$I$88,3,0)*VLOOKUP('Données projet'!$B$15,Paramètres!$A$1:$I$88,5,0)</f>
        <v>162.67679999999984</v>
      </c>
      <c r="EL52" s="14">
        <f t="shared" si="45"/>
        <v>41.445690874065342</v>
      </c>
      <c r="EM52" s="22">
        <f t="shared" si="19"/>
        <v>355.5133382723302</v>
      </c>
      <c r="EN52" s="62">
        <f t="shared" si="20"/>
        <v>609.95971809662217</v>
      </c>
      <c r="EO52" s="62">
        <f ca="1">AVERAGE(OFFSET($EN$3,0,0,'Données projet'!$E$15+1,1))-AVERAGE(OFFSET($H$3,0,0,'Données projet'!$E$15+1,1))</f>
        <v>267.26203506406682</v>
      </c>
      <c r="EP52" s="62">
        <f t="shared" si="46"/>
        <v>265.10857635664843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projet'!$B$15,Paramètres!$A$1:$I$88,3,0)*0.475*44/12</f>
        <v>21.433101020100224</v>
      </c>
      <c r="EW52" s="23">
        <f>EXP(-LN(2)/25)*EW51+(1-EXP(-LN(2)/25))/(LN(2)/25)*Calculateur!ER52*Calculateur!ET52*VLOOKUP('Données projet'!$B$15,Paramètres!$A$1:$I$88,3,0)*0.475*44/12</f>
        <v>44.093845949245761</v>
      </c>
      <c r="EX52" s="23">
        <f>EXP(-LN(2)/2)*EX51+(1-EXP(-LN(2)/2))/(LN(2)/2)*ER52*EU52*VLOOKUP('Données projet'!$B$15,Paramètres!$A$1:$I$88,3,0)*0.475*44/12</f>
        <v>0</v>
      </c>
      <c r="EY52" s="24">
        <f t="shared" si="21"/>
        <v>65.526946969345985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231</v>
      </c>
      <c r="FF52" s="18">
        <f>FE52*VLOOKUP('Données projet'!$B$16,Paramètres!$A$1:$I$88,3,0)*VLOOKUP('Données projet'!$B$16,Paramètres!$A$1:$I$88,5,0)</f>
        <v>169.36920000000001</v>
      </c>
      <c r="FG52" s="14">
        <f t="shared" si="47"/>
        <v>42.948714817158674</v>
      </c>
      <c r="FH52" s="22">
        <f t="shared" si="22"/>
        <v>369.787034973218</v>
      </c>
      <c r="FI52" s="62">
        <f t="shared" si="23"/>
        <v>624.23341479751002</v>
      </c>
      <c r="FJ52" s="62">
        <f ca="1">AVERAGE(OFFSET($FI$3,0,0,'Données projet'!$E$16+1,1))-AVERAGE(OFFSET($H$3,0,0,'Données projet'!$E$16+1,1))</f>
        <v>207.66160354686221</v>
      </c>
      <c r="FK52" s="62">
        <f t="shared" si="48"/>
        <v>260.45879589483525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projet'!$B$16,Paramètres!$A$1:$I$88,3,0)*0.475*44/12</f>
        <v>3.5535407647400334</v>
      </c>
      <c r="FR52" s="23">
        <f>EXP(-LN(2)/25)*FR51+(1-EXP(-LN(2)/25))/(LN(2)/25)*Calculateur!FM52*Calculateur!FO52*VLOOKUP('Données projet'!$B$16,Paramètres!$A$1:$I$88,3,0)*0.475*44/12</f>
        <v>0</v>
      </c>
      <c r="FS52" s="23">
        <f>EXP(-LN(2)/2)*FS51+(1-EXP(-LN(2)/2))/(LN(2)/2)*FM52*FP52*VLOOKUP('Données projet'!$B$16,Paramètres!$A$1:$I$88,3,0)*0.475*44/12</f>
        <v>0</v>
      </c>
      <c r="FT52" s="24">
        <f t="shared" si="24"/>
        <v>3.5535407647400334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23.5</v>
      </c>
      <c r="N53" s="14">
        <f>IF('Données projet'!$A$36&gt;35,N52+M53-V52,IF(A53&lt;'Données projet'!$A$36,$K$205^A53,IF(A53='Données projet'!$A$36,'Données projet'!$B$36,N52+M53-V52)))</f>
        <v>545.99999999999977</v>
      </c>
      <c r="O53" s="14">
        <f>N53*VLOOKUP('Données projet'!$B$9,Paramètres!$A$1:$I$88,3,0)*VLOOKUP('Données projet'!$B$9,Paramètres!$A$1:$I$88,5,0)</f>
        <v>305.21399999999988</v>
      </c>
      <c r="P53" s="14">
        <f t="shared" si="33"/>
        <v>72.268419591231265</v>
      </c>
      <c r="Q53" s="22">
        <f t="shared" si="53"/>
        <v>657.44854745472765</v>
      </c>
      <c r="R53" s="62">
        <f t="shared" si="0"/>
        <v>912.56952898419775</v>
      </c>
      <c r="S53" s="62">
        <f ca="1">AVERAGE(OFFSET($R$3,0,0,'Données projet'!$E$9+1,1))-AVERAGE(OFFSET($H$3,0,0,'Données projet'!$E$9+1,1))</f>
        <v>378.13552372917843</v>
      </c>
      <c r="T53" s="62">
        <f t="shared" si="34"/>
        <v>528.97123645404952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56.949863277229163</v>
      </c>
      <c r="AA53" s="23">
        <f>EXP(-LN(2)/25)*AA52+(1-EXP(-LN(2)/25))/(LN(2)/25)*Calculateur!V53*Calculateur!X53*VLOOKUP('Données projet'!$B$9,Paramètres!$A$1:$I$88,3,0)*0.475*44/12</f>
        <v>72.065122035115536</v>
      </c>
      <c r="AB53" s="23">
        <f>EXP(-LN(2)/2)*AB52+(1-EXP(-LN(2)/2))/(LN(2)/2)*V53*Y53*VLOOKUP('Données projet'!$B$9,Paramètres!$A$1:$I$88,3,0)*0.475*44/12</f>
        <v>0</v>
      </c>
      <c r="AC53" s="24">
        <f t="shared" si="3"/>
        <v>129.01498531234469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9.625</v>
      </c>
      <c r="AI53" s="14">
        <f>IF('Données projet'!$A$62&gt;35,AI52+AH53-AQ52,IF(A53&lt;'Données projet'!$A$62,$AF$205^A53,IF(A53='Données projet'!$A$62,'Données projet'!$B$62,AI52+AH53-AQ52)))</f>
        <v>166.125</v>
      </c>
      <c r="AJ53" s="14">
        <f>AI53*VLOOKUP('Données projet'!$B$10,Paramètres!$A$1:$I$88,3,0)*VLOOKUP('Données projet'!$B$10,Paramètres!$A$1:$I$88,5,0)</f>
        <v>150.3099</v>
      </c>
      <c r="AK53" s="14">
        <f t="shared" si="35"/>
        <v>38.649003046297885</v>
      </c>
      <c r="AL53" s="22">
        <f t="shared" si="4"/>
        <v>329.10342280563549</v>
      </c>
      <c r="AM53" s="62">
        <f t="shared" si="5"/>
        <v>584.22440433510565</v>
      </c>
      <c r="AN53" s="62">
        <f ca="1">AVERAGE(OFFSET($AM$3,0,0,'Données projet'!$E$10+1,1))-AVERAGE(OFFSET($H$3,0,0,'Données projet'!$E$10+1,1))</f>
        <v>536.3707066106856</v>
      </c>
      <c r="AO53" s="62">
        <f t="shared" si="36"/>
        <v>217.6280015974086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2.4346912230392439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2.4346912230392439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7.5749999999999957</v>
      </c>
      <c r="BD53" s="13">
        <f>IF('Données projet'!$A$88&gt;35,BD52+BC53-BL52,IF(A53&lt;'Données projet'!$A$88,$BA$205^A53,IF(A53='Données projet'!$A$88,'Données projet'!$B$88,BD52+BC53-BL52)))</f>
        <v>265.2</v>
      </c>
      <c r="BE53" s="14">
        <f>BD53*VLOOKUP('Données projet'!$B$11,Paramètres!$A$1:$I$88,3,0)*VLOOKUP('Données projet'!$B$11,Paramètres!$A$1:$I$88,5,0)</f>
        <v>158.58960000000002</v>
      </c>
      <c r="BF53" s="14">
        <f t="shared" si="37"/>
        <v>40.524232006033088</v>
      </c>
      <c r="BG53" s="22">
        <f t="shared" si="7"/>
        <v>346.78992407717436</v>
      </c>
      <c r="BH53" s="62">
        <f t="shared" si="8"/>
        <v>601.91090560664452</v>
      </c>
      <c r="BI53" s="62">
        <f ca="1">AVERAGE(OFFSET($BH$3,0,0,'Données projet'!$E$11+1,1))-AVERAGE(OFFSET($H$3,0,0,'Données projet'!$E$11+1,1))</f>
        <v>248.66193174773525</v>
      </c>
      <c r="BJ53" s="62">
        <f t="shared" si="38"/>
        <v>249.61655682981151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19.903267827274753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3.2788814591691713</v>
      </c>
      <c r="BS53" s="24">
        <f t="shared" si="9"/>
        <v>23.182149286443924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618</v>
      </c>
      <c r="BW53" s="13">
        <f>VLOOKUP(A53,'Données projet'!$A$113:$I$133,9,0)</f>
        <v>28.8</v>
      </c>
      <c r="BX53" s="13">
        <f t="array" ref="BX53">INDEX(BW:BW,MIN(IF(ISNUMBER(BW53:BW249),ROW(BW53:BW249),"")))</f>
        <v>28.8</v>
      </c>
      <c r="BY53" s="13">
        <f>IF('Données projet'!$A$114&gt;35,BY52+BX53-CG52,IF(A53&lt;'Données projet'!$A$114,$BV$205^A53,IF(A53='Données projet'!$A$114,'Données projet'!$B$114,BY52+BX53-CG52)))</f>
        <v>617.99999999999977</v>
      </c>
      <c r="BZ53" s="14">
        <f>BY53*VLOOKUP('Données projet'!$B$12,Paramètres!$A$1:$I$88,3,0)*VLOOKUP('Données projet'!$B$12,Paramètres!$A$1:$I$88,5,0)</f>
        <v>249.05399999999992</v>
      </c>
      <c r="CA53" s="14">
        <f t="shared" si="39"/>
        <v>60.383324515200229</v>
      </c>
      <c r="CB53" s="22">
        <f t="shared" si="10"/>
        <v>538.93667353064018</v>
      </c>
      <c r="CC53" s="62">
        <f t="shared" si="11"/>
        <v>794.05765506011028</v>
      </c>
      <c r="CD53" s="62">
        <f ca="1">AVERAGE(OFFSET($CC$3,0,0,'Données projet'!$E$12+1,1))-AVERAGE(OFFSET($H$3,0,0,'Données projet'!$E$12+1,1))</f>
        <v>432.59662347701629</v>
      </c>
      <c r="CE53" s="62">
        <f t="shared" si="40"/>
        <v>348.67401091099748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79</v>
      </c>
      <c r="CH53" s="17">
        <f>IF(ISNA(VLOOKUP(A53,'Données projet'!$A$113:$I$133,5,0)),0%,VLOOKUP(A53,'Données projet'!$A$113:$I$133,5,0)*VLOOKUP('Données projet'!$B$12,Paramètres!$A$1:$I$88,7,0))</f>
        <v>0.22000000000000003</v>
      </c>
      <c r="CI53" s="17">
        <f>IF(ISNA(VLOOKUP(A53,'Données projet'!$A$113:$I$133,6,0)),0%,VLOOKUP(A53,'Données projet'!$A$113:$I$133,6,0)*VLOOKUP('Données projet'!$B$12,Paramètres!$A$1:$I$88,7,0))</f>
        <v>0.33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30.823944987342173</v>
      </c>
      <c r="CL53" s="23">
        <f>EXP(-LN(2)/25)*CL52+(1-EXP(-LN(2)/25))/(LN(2)/25)*Calculateur!CG53*Calculateur!CI53*VLOOKUP('Données projet'!$B$12,Paramètres!$A$1:$I$88,3,0)*0.475*44/12</f>
        <v>86.175261983002784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116.99920697034496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813</v>
      </c>
      <c r="CR53" s="13">
        <f>VLOOKUP(A53,'Données projet'!$A$139:$I$159,9,0)</f>
        <v>35.4</v>
      </c>
      <c r="CS53" s="13">
        <f t="array" ref="CS53">INDEX(CR:CR,MIN(IF(ISNUMBER(CR53:CR249),ROW(CR53:CR249),"")))</f>
        <v>35.4</v>
      </c>
      <c r="CT53" s="13">
        <f>IF('Données projet'!$A$140&gt;35,CT52+CS53-DB52,IF(A53&lt;'Données projet'!$A$140,$CQ$205^A53,IF(A53='Données projet'!$A$140,'Données projet'!$B$140,CT52+CS53-DB52)))</f>
        <v>813</v>
      </c>
      <c r="CU53" s="18">
        <f>CT53*VLOOKUP('Données projet'!$B$13,Paramètres!$A$1:$I$88,3,0)*VLOOKUP('Données projet'!$B$13,Paramètres!$A$1:$I$88,5,0)</f>
        <v>359.34600000000006</v>
      </c>
      <c r="CV53" s="14">
        <f t="shared" si="41"/>
        <v>83.483988225599418</v>
      </c>
      <c r="CW53" s="22">
        <f t="shared" si="13"/>
        <v>771.26222949291912</v>
      </c>
      <c r="CX53" s="62">
        <f t="shared" si="14"/>
        <v>1026.3832110223893</v>
      </c>
      <c r="CY53" s="62">
        <f ca="1">AVERAGE(OFFSET($CX$3,0,0,'Données projet'!$E$13+1,1))-AVERAGE(OFFSET($H$3,0,0,'Données projet'!$E$13+1,1))</f>
        <v>582.26951914082088</v>
      </c>
      <c r="CZ53" s="62">
        <f t="shared" si="42"/>
        <v>434.80429932654715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71</v>
      </c>
      <c r="DC53" s="17">
        <f>IF(ISNA(VLOOKUP(A53,'Données projet'!$A$139:$I$159,5,0)),0%,VLOOKUP(A53,'Données projet'!$A$139:$I$159,5,0)*VLOOKUP('Données projet'!$B$13,Paramètres!$A$1:$I$88,7,0))</f>
        <v>0.22000000000000003</v>
      </c>
      <c r="DD53" s="17">
        <f>IF(ISNA(VLOOKUP(A53,'Données projet'!$A$139:$I$159,6,0)),0%,VLOOKUP(A53,'Données projet'!$A$139:$I$159,6,0)*VLOOKUP('Données projet'!$B$13,Paramètres!$A$1:$I$88,7,0))</f>
        <v>0.33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37.259897541825723</v>
      </c>
      <c r="DG53" s="23">
        <f>EXP(-LN(2)/25)*DG52+(1-EXP(-LN(2)/25))/(LN(2)/25)*Calculateur!DB53*Calculateur!DD53*VLOOKUP('Données projet'!$B$13,Paramètres!$A$1:$I$88,3,0)*0.475*44/12</f>
        <v>86.626188034646731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123.88608557647245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367</v>
      </c>
      <c r="DM53" s="13">
        <f>VLOOKUP(A53,'Données projet'!$A$165:$I$185,9,0)</f>
        <v>19.399999999999999</v>
      </c>
      <c r="DN53" s="13">
        <f t="array" ref="DN53">INDEX(DM:DM,MIN(IF(ISNUMBER(DM53:DM249),ROW(DM53:DM249),"")))</f>
        <v>19.399999999999999</v>
      </c>
      <c r="DO53" s="13">
        <f>IF('Données projet'!$A$166&gt;35,DO52+DN53-DW52,IF(A53&lt;'Données projet'!$A$166,$DL$205^A53,IF(A53='Données projet'!$A$166,'Données projet'!$B$166,DO52+DN53-DW52)))</f>
        <v>366.99999999999966</v>
      </c>
      <c r="DP53" s="18">
        <f>DO53*VLOOKUP('Données projet'!$B$14,Paramètres!$A$1:$I$88,3,0)*VLOOKUP('Données projet'!$B$14,Paramètres!$A$1:$I$88,5,0)</f>
        <v>176.52699999999984</v>
      </c>
      <c r="DQ53" s="14">
        <f t="shared" si="43"/>
        <v>44.548633689427241</v>
      </c>
      <c r="DR53" s="22">
        <f t="shared" si="16"/>
        <v>385.04006200908549</v>
      </c>
      <c r="DS53" s="62">
        <f t="shared" si="17"/>
        <v>640.16104353855553</v>
      </c>
      <c r="DT53" s="62">
        <f ca="1">AVERAGE(OFFSET($DS$3,0,0,'Données projet'!$E$14+1,1))-AVERAGE(OFFSET($H$3,0,0,'Données projet'!$E$14+1,1))</f>
        <v>273.24375559399846</v>
      </c>
      <c r="DU53" s="62">
        <f t="shared" si="44"/>
        <v>270.77718895097848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47</v>
      </c>
      <c r="DX53" s="17">
        <f>IF(ISNA(VLOOKUP(A53,'Données projet'!$A$165:$I$185,5,0)),0%,VLOOKUP(A53,'Données projet'!$A$165:$I$185,5,0)*VLOOKUP('Données projet'!$B$14,Paramètres!$A$1:$I$88,7,0))</f>
        <v>0.22000000000000003</v>
      </c>
      <c r="DY53" s="17">
        <f>IF(ISNA(VLOOKUP(A53,'Données projet'!$A$165:$I$185,6,0)),0%,VLOOKUP(A53,'Données projet'!$A$165:$I$185,6,0)*VLOOKUP('Données projet'!$B$14,Paramètres!$A$1:$I$88,7,0))</f>
        <v>0.33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projet'!$B$14,Paramètres!$A$1:$I$88,3,0)*0.475*44/12</f>
        <v>28.194221557647971</v>
      </c>
      <c r="EB53" s="23">
        <f>EXP(-LN(2)/25)*EB52+(1-EXP(-LN(2)/25))/(LN(2)/25)*Calculateur!DW53*Calculateur!DY53*VLOOKUP('Données projet'!$B$14,Paramètres!$A$1:$I$88,3,0)*0.475*44/12</f>
        <v>53.93704891026529</v>
      </c>
      <c r="EC53" s="23">
        <f>EXP(-LN(2)/2)*EC52+(1-EXP(-LN(2)/2))/(LN(2)/2)*DW53*DZ53*VLOOKUP('Données projet'!$B$14,Paramètres!$A$1:$I$88,3,0)*0.475*44/12</f>
        <v>0</v>
      </c>
      <c r="ED53" s="24">
        <f t="shared" si="18"/>
        <v>82.131270467913254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367</v>
      </c>
      <c r="EH53" s="13">
        <f>VLOOKUP(A53,'Données projet'!$A$191:$I$211,9,0)</f>
        <v>19.399999999999999</v>
      </c>
      <c r="EI53" s="13">
        <f t="array" ref="EI53">INDEX(EH:EH,MIN(IF(ISNUMBER(EH53:EH249),ROW(EH53:EH249),"")))</f>
        <v>19.399999999999999</v>
      </c>
      <c r="EJ53" s="13">
        <f>IF('Données projet'!$A$192&gt;35,EJ52+EI53-ER52,IF(A53&lt;'Données projet'!$A$192,$EG$205^A53,IF(A53='Données projet'!$A$192,'Données projet'!$B$192,EJ52+EI53-ER52)))</f>
        <v>366.99999999999966</v>
      </c>
      <c r="EK53" s="18">
        <f>EJ53*VLOOKUP('Données projet'!$B$15,Paramètres!$A$1:$I$88,3,0)*VLOOKUP('Données projet'!$B$15,Paramètres!$A$1:$I$88,5,0)</f>
        <v>171.75599999999983</v>
      </c>
      <c r="EL53" s="14">
        <f t="shared" si="45"/>
        <v>43.483073642536979</v>
      </c>
      <c r="EM53" s="22">
        <f t="shared" si="19"/>
        <v>374.87471992741825</v>
      </c>
      <c r="EN53" s="62">
        <f t="shared" si="20"/>
        <v>629.99570145688836</v>
      </c>
      <c r="EO53" s="62">
        <f ca="1">AVERAGE(OFFSET($EN$3,0,0,'Données projet'!$E$15+1,1))-AVERAGE(OFFSET($H$3,0,0,'Données projet'!$E$15+1,1))</f>
        <v>267.26203506406682</v>
      </c>
      <c r="EP53" s="62">
        <f t="shared" si="46"/>
        <v>265.10857635664843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47</v>
      </c>
      <c r="ES53" s="17">
        <f>IF(ISNA(VLOOKUP(A53,'Données projet'!$A$191:$I$211,5,0)),0%,VLOOKUP(A53,'Données projet'!$A$191:$I$211,5,0)*VLOOKUP('Données projet'!$B$15,Paramètres!$A$1:$I$88,7,0))</f>
        <v>0.22000000000000003</v>
      </c>
      <c r="ET53" s="17">
        <f>IF(ISNA(VLOOKUP(A53,'Données projet'!$A$191:$I$211,6,0)),0%,VLOOKUP(A53,'Données projet'!$A$191:$I$211,6,0)*VLOOKUP('Données projet'!$B$15,Paramètres!$A$1:$I$88,7,0))</f>
        <v>0.33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projet'!$B$15,Paramètres!$A$1:$I$88,3,0)*0.475*44/12</f>
        <v>27.432215569603429</v>
      </c>
      <c r="EW53" s="23">
        <f>EXP(-LN(2)/25)*EW52+(1-EXP(-LN(2)/25))/(LN(2)/25)*Calculateur!ER53*Calculateur!ET53*VLOOKUP('Données projet'!$B$15,Paramètres!$A$1:$I$88,3,0)*0.475*44/12</f>
        <v>52.479290831609461</v>
      </c>
      <c r="EX53" s="23">
        <f>EXP(-LN(2)/2)*EX52+(1-EXP(-LN(2)/2))/(LN(2)/2)*ER53*EU53*VLOOKUP('Données projet'!$B$15,Paramètres!$A$1:$I$88,3,0)*0.475*44/12</f>
        <v>0</v>
      </c>
      <c r="EY53" s="24">
        <f t="shared" si="21"/>
        <v>79.91150640121289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231</v>
      </c>
      <c r="FF53" s="18">
        <f>FE53*VLOOKUP('Données projet'!$B$16,Paramètres!$A$1:$I$88,3,0)*VLOOKUP('Données projet'!$B$16,Paramètres!$A$1:$I$88,5,0)</f>
        <v>169.36920000000001</v>
      </c>
      <c r="FG53" s="14">
        <f t="shared" si="47"/>
        <v>42.948714817158674</v>
      </c>
      <c r="FH53" s="22">
        <f t="shared" si="22"/>
        <v>369.787034973218</v>
      </c>
      <c r="FI53" s="62">
        <f t="shared" si="23"/>
        <v>624.90801650268804</v>
      </c>
      <c r="FJ53" s="62">
        <f ca="1">AVERAGE(OFFSET($FI$3,0,0,'Données projet'!$E$16+1,1))-AVERAGE(OFFSET($H$3,0,0,'Données projet'!$E$16+1,1))</f>
        <v>207.66160354686221</v>
      </c>
      <c r="FK53" s="62">
        <f t="shared" si="48"/>
        <v>260.45879589483525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projet'!$B$16,Paramètres!$A$1:$I$88,3,0)*0.475*44/12</f>
        <v>3.4838579977893303</v>
      </c>
      <c r="FR53" s="23">
        <f>EXP(-LN(2)/25)*FR52+(1-EXP(-LN(2)/25))/(LN(2)/25)*Calculateur!FM53*Calculateur!FO53*VLOOKUP('Données projet'!$B$16,Paramètres!$A$1:$I$88,3,0)*0.475*44/12</f>
        <v>0</v>
      </c>
      <c r="FS53" s="23">
        <f>EXP(-LN(2)/2)*FS52+(1-EXP(-LN(2)/2))/(LN(2)/2)*FM53*FP53*VLOOKUP('Données projet'!$B$16,Paramètres!$A$1:$I$88,3,0)*0.475*44/12</f>
        <v>0</v>
      </c>
      <c r="FT53" s="24">
        <f t="shared" si="24"/>
        <v>3.4838579977893303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23.5</v>
      </c>
      <c r="N54" s="14">
        <f>IF('Données projet'!$A$36&gt;35,N53+M54-V53,IF(A54&lt;'Données projet'!$A$36,$K$205^A54,IF(A54='Données projet'!$A$36,'Données projet'!$B$36,N53+M54-V53)))</f>
        <v>569.49999999999977</v>
      </c>
      <c r="O54" s="14">
        <f>N54*VLOOKUP('Données projet'!$B$9,Paramètres!$A$1:$I$88,3,0)*VLOOKUP('Données projet'!$B$9,Paramètres!$A$1:$I$88,5,0)</f>
        <v>318.3504999999999</v>
      </c>
      <c r="P54" s="14">
        <f t="shared" si="33"/>
        <v>75.01003994649966</v>
      </c>
      <c r="Q54" s="22">
        <f t="shared" si="53"/>
        <v>685.10294040682004</v>
      </c>
      <c r="R54" s="62">
        <f t="shared" si="0"/>
        <v>940.88682081006687</v>
      </c>
      <c r="S54" s="62">
        <f ca="1">AVERAGE(OFFSET($R$3,0,0,'Données projet'!$E$9+1,1))-AVERAGE(OFFSET($H$3,0,0,'Données projet'!$E$9+1,1))</f>
        <v>378.13552372917843</v>
      </c>
      <c r="T54" s="62">
        <f t="shared" si="34"/>
        <v>528.97123645404952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55.833111194349407</v>
      </c>
      <c r="AA54" s="23">
        <f>EXP(-LN(2)/25)*AA53+(1-EXP(-LN(2)/25))/(LN(2)/25)*Calculateur!V54*Calculateur!X54*VLOOKUP('Données projet'!$B$9,Paramètres!$A$1:$I$88,3,0)*0.475*44/12</f>
        <v>70.094497483325242</v>
      </c>
      <c r="AB54" s="23">
        <f>EXP(-LN(2)/2)*AB53+(1-EXP(-LN(2)/2))/(LN(2)/2)*V54*Y54*VLOOKUP('Données projet'!$B$9,Paramètres!$A$1:$I$88,3,0)*0.475*44/12</f>
        <v>0</v>
      </c>
      <c r="AC54" s="24">
        <f t="shared" si="3"/>
        <v>125.92760867767464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9.625</v>
      </c>
      <c r="AI54" s="14">
        <f>IF('Données projet'!$A$62&gt;35,AI53+AH54-AQ53,IF(A54&lt;'Données projet'!$A$62,$AF$205^A54,IF(A54='Données projet'!$A$62,'Données projet'!$B$62,AI53+AH54-AQ53)))</f>
        <v>175.75</v>
      </c>
      <c r="AJ54" s="14">
        <f>AI54*VLOOKUP('Données projet'!$B$10,Paramètres!$A$1:$I$88,3,0)*VLOOKUP('Données projet'!$B$10,Paramètres!$A$1:$I$88,5,0)</f>
        <v>159.01859999999999</v>
      </c>
      <c r="AK54" s="14">
        <f t="shared" si="35"/>
        <v>40.62107869517753</v>
      </c>
      <c r="AL54" s="22">
        <f t="shared" si="4"/>
        <v>347.70577372743418</v>
      </c>
      <c r="AM54" s="62">
        <f t="shared" si="5"/>
        <v>603.48965413068095</v>
      </c>
      <c r="AN54" s="62">
        <f ca="1">AVERAGE(OFFSET($AM$3,0,0,'Données projet'!$E$10+1,1))-AVERAGE(OFFSET($H$3,0,0,'Données projet'!$E$10+1,1))</f>
        <v>536.3707066106856</v>
      </c>
      <c r="AO54" s="62">
        <f t="shared" si="36"/>
        <v>217.6280015974086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2.3869484131704573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2.3869484131704573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7.5749999999999957</v>
      </c>
      <c r="BD54" s="13">
        <f>IF('Données projet'!$A$88&gt;35,BD53+BC54-BL53,IF(A54&lt;'Données projet'!$A$88,$BA$205^A54,IF(A54='Données projet'!$A$88,'Données projet'!$B$88,BD53+BC54-BL53)))</f>
        <v>272.77499999999998</v>
      </c>
      <c r="BE54" s="14">
        <f>BD54*VLOOKUP('Données projet'!$B$11,Paramètres!$A$1:$I$88,3,0)*VLOOKUP('Données projet'!$B$11,Paramètres!$A$1:$I$88,5,0)</f>
        <v>163.11945</v>
      </c>
      <c r="BF54" s="14">
        <f t="shared" si="37"/>
        <v>41.545323419436642</v>
      </c>
      <c r="BG54" s="22">
        <f t="shared" si="7"/>
        <v>356.45781370551884</v>
      </c>
      <c r="BH54" s="62">
        <f t="shared" si="8"/>
        <v>612.24169410876561</v>
      </c>
      <c r="BI54" s="62">
        <f ca="1">AVERAGE(OFFSET($BH$3,0,0,'Données projet'!$E$11+1,1))-AVERAGE(OFFSET($H$3,0,0,'Données projet'!$E$11+1,1))</f>
        <v>248.66193174773525</v>
      </c>
      <c r="BJ54" s="62">
        <f t="shared" si="38"/>
        <v>249.61655682981151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19.512976884976563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2.3185193144853629</v>
      </c>
      <c r="BS54" s="24">
        <f t="shared" si="9"/>
        <v>21.831496199461927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27.8</v>
      </c>
      <c r="BY54" s="13">
        <f>IF('Données projet'!$A$114&gt;35,BY53+BX54-CG53,IF(A54&lt;'Données projet'!$A$114,$BV$205^A54,IF(A54='Données projet'!$A$114,'Données projet'!$B$114,BY53+BX54-CG53)))</f>
        <v>566.79999999999973</v>
      </c>
      <c r="BZ54" s="14">
        <f>BY54*VLOOKUP('Données projet'!$B$12,Paramètres!$A$1:$I$88,3,0)*VLOOKUP('Données projet'!$B$12,Paramètres!$A$1:$I$88,5,0)</f>
        <v>228.42039999999989</v>
      </c>
      <c r="CA54" s="14">
        <f t="shared" si="39"/>
        <v>55.940998211235552</v>
      </c>
      <c r="CB54" s="22">
        <f t="shared" si="10"/>
        <v>495.26276855123501</v>
      </c>
      <c r="CC54" s="62">
        <f t="shared" si="11"/>
        <v>751.04664895448184</v>
      </c>
      <c r="CD54" s="62">
        <f ca="1">AVERAGE(OFFSET($CC$3,0,0,'Données projet'!$E$12+1,1))-AVERAGE(OFFSET($H$3,0,0,'Données projet'!$E$12+1,1))</f>
        <v>432.59662347701629</v>
      </c>
      <c r="CE54" s="62">
        <f t="shared" si="40"/>
        <v>348.67401091099748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30.219506226890417</v>
      </c>
      <c r="CL54" s="23">
        <f>EXP(-LN(2)/25)*CL53+(1-EXP(-LN(2)/25))/(LN(2)/25)*Calculateur!CG54*Calculateur!CI54*VLOOKUP('Données projet'!$B$12,Paramètres!$A$1:$I$88,3,0)*0.475*44/12</f>
        <v>83.8187949123175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114.03830113920792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31</v>
      </c>
      <c r="CT54" s="13">
        <f>IF('Données projet'!$A$140&gt;35,CT53+CS54-DB53,IF(A54&lt;'Données projet'!$A$140,$CQ$205^A54,IF(A54='Données projet'!$A$140,'Données projet'!$B$140,CT53+CS54-DB53)))</f>
        <v>773</v>
      </c>
      <c r="CU54" s="18">
        <f>CT54*VLOOKUP('Données projet'!$B$13,Paramètres!$A$1:$I$88,3,0)*VLOOKUP('Données projet'!$B$13,Paramètres!$A$1:$I$88,5,0)</f>
        <v>341.666</v>
      </c>
      <c r="CV54" s="14">
        <f t="shared" si="41"/>
        <v>79.84405458764067</v>
      </c>
      <c r="CW54" s="22">
        <f t="shared" si="13"/>
        <v>734.13001174014073</v>
      </c>
      <c r="CX54" s="62">
        <f t="shared" si="14"/>
        <v>989.91389214338756</v>
      </c>
      <c r="CY54" s="62">
        <f ca="1">AVERAGE(OFFSET($CX$3,0,0,'Données projet'!$E$13+1,1))-AVERAGE(OFFSET($H$3,0,0,'Données projet'!$E$13+1,1))</f>
        <v>582.26951914082088</v>
      </c>
      <c r="CZ54" s="62">
        <f t="shared" si="42"/>
        <v>434.80429932654715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36.529253677323986</v>
      </c>
      <c r="DG54" s="23">
        <f>EXP(-LN(2)/25)*DG53+(1-EXP(-LN(2)/25))/(LN(2)/25)*Calculateur!DB54*Calculateur!DD54*VLOOKUP('Données projet'!$B$13,Paramètres!$A$1:$I$88,3,0)*0.475*44/12</f>
        <v>84.257390367366071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120.78664404469006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19</v>
      </c>
      <c r="DO54" s="13">
        <f>IF('Données projet'!$A$166&gt;35,DO53+DN54-DW53,IF(A54&lt;'Données projet'!$A$166,$DL$205^A54,IF(A54='Données projet'!$A$166,'Données projet'!$B$166,DO53+DN54-DW53)))</f>
        <v>338.99999999999966</v>
      </c>
      <c r="DP54" s="18">
        <f>DO54*VLOOKUP('Données projet'!$B$14,Paramètres!$A$1:$I$88,3,0)*VLOOKUP('Données projet'!$B$14,Paramètres!$A$1:$I$88,5,0)</f>
        <v>163.05899999999986</v>
      </c>
      <c r="DQ54" s="14">
        <f t="shared" si="43"/>
        <v>41.531719070070807</v>
      </c>
      <c r="DR54" s="22">
        <f t="shared" si="16"/>
        <v>356.32883571370644</v>
      </c>
      <c r="DS54" s="62">
        <f t="shared" si="17"/>
        <v>612.11271611695327</v>
      </c>
      <c r="DT54" s="62">
        <f ca="1">AVERAGE(OFFSET($DS$3,0,0,'Données projet'!$E$14+1,1))-AVERAGE(OFFSET($H$3,0,0,'Données projet'!$E$14+1,1))</f>
        <v>273.24375559399846</v>
      </c>
      <c r="DU54" s="62">
        <f t="shared" si="44"/>
        <v>270.77718895097848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projet'!$B$14,Paramètres!$A$1:$I$88,3,0)*0.475*44/12</f>
        <v>27.641350069679604</v>
      </c>
      <c r="EB54" s="23">
        <f>EXP(-LN(2)/25)*EB53+(1-EXP(-LN(2)/25))/(LN(2)/25)*Calculateur!DW54*Calculateur!DY54*VLOOKUP('Données projet'!$B$14,Paramètres!$A$1:$I$88,3,0)*0.475*44/12</f>
        <v>52.462137471387955</v>
      </c>
      <c r="EC54" s="23">
        <f>EXP(-LN(2)/2)*EC53+(1-EXP(-LN(2)/2))/(LN(2)/2)*DW54*DZ54*VLOOKUP('Données projet'!$B$14,Paramètres!$A$1:$I$88,3,0)*0.475*44/12</f>
        <v>0</v>
      </c>
      <c r="ED54" s="24">
        <f t="shared" si="18"/>
        <v>80.103487541067551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19</v>
      </c>
      <c r="EJ54" s="13">
        <f>IF('Données projet'!$A$192&gt;35,EJ53+EI54-ER53,IF(A54&lt;'Données projet'!$A$192,$EG$205^A54,IF(A54='Données projet'!$A$192,'Données projet'!$B$192,EJ53+EI54-ER53)))</f>
        <v>338.99999999999966</v>
      </c>
      <c r="EK54" s="18">
        <f>EJ54*VLOOKUP('Données projet'!$B$15,Paramètres!$A$1:$I$88,3,0)*VLOOKUP('Données projet'!$B$15,Paramètres!$A$1:$I$88,5,0)</f>
        <v>158.65199999999984</v>
      </c>
      <c r="EL54" s="14">
        <f t="shared" si="45"/>
        <v>40.538320690487261</v>
      </c>
      <c r="EM54" s="22">
        <f t="shared" si="19"/>
        <v>346.92314186926501</v>
      </c>
      <c r="EN54" s="62">
        <f t="shared" si="20"/>
        <v>602.70702227251184</v>
      </c>
      <c r="EO54" s="62">
        <f ca="1">AVERAGE(OFFSET($EN$3,0,0,'Données projet'!$E$15+1,1))-AVERAGE(OFFSET($H$3,0,0,'Données projet'!$E$15+1,1))</f>
        <v>267.26203506406682</v>
      </c>
      <c r="EP54" s="62">
        <f t="shared" si="46"/>
        <v>265.10857635664843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projet'!$B$15,Paramètres!$A$1:$I$88,3,0)*0.475*44/12</f>
        <v>26.894286554282854</v>
      </c>
      <c r="EW54" s="23">
        <f>EXP(-LN(2)/25)*EW53+(1-EXP(-LN(2)/25))/(LN(2)/25)*Calculateur!ER54*Calculateur!ET54*VLOOKUP('Données projet'!$B$15,Paramètres!$A$1:$I$88,3,0)*0.475*44/12</f>
        <v>51.044241864053141</v>
      </c>
      <c r="EX54" s="23">
        <f>EXP(-LN(2)/2)*EX53+(1-EXP(-LN(2)/2))/(LN(2)/2)*ER54*EU54*VLOOKUP('Données projet'!$B$15,Paramètres!$A$1:$I$88,3,0)*0.475*44/12</f>
        <v>0</v>
      </c>
      <c r="EY54" s="24">
        <f t="shared" si="21"/>
        <v>77.938528418335991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231</v>
      </c>
      <c r="FF54" s="18">
        <f>FE54*VLOOKUP('Données projet'!$B$16,Paramètres!$A$1:$I$88,3,0)*VLOOKUP('Données projet'!$B$16,Paramètres!$A$1:$I$88,5,0)</f>
        <v>169.36920000000001</v>
      </c>
      <c r="FG54" s="14">
        <f t="shared" si="47"/>
        <v>42.948714817158674</v>
      </c>
      <c r="FH54" s="22">
        <f t="shared" si="22"/>
        <v>369.787034973218</v>
      </c>
      <c r="FI54" s="62">
        <f t="shared" si="23"/>
        <v>625.57091537646488</v>
      </c>
      <c r="FJ54" s="62">
        <f ca="1">AVERAGE(OFFSET($FI$3,0,0,'Données projet'!$E$16+1,1))-AVERAGE(OFFSET($H$3,0,0,'Données projet'!$E$16+1,1))</f>
        <v>207.66160354686221</v>
      </c>
      <c r="FK54" s="62">
        <f t="shared" si="48"/>
        <v>260.45879589483525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projet'!$B$16,Paramètres!$A$1:$I$88,3,0)*0.475*44/12</f>
        <v>3.4155416673962393</v>
      </c>
      <c r="FR54" s="23">
        <f>EXP(-LN(2)/25)*FR53+(1-EXP(-LN(2)/25))/(LN(2)/25)*Calculateur!FM54*Calculateur!FO54*VLOOKUP('Données projet'!$B$16,Paramètres!$A$1:$I$88,3,0)*0.475*44/12</f>
        <v>0</v>
      </c>
      <c r="FS54" s="23">
        <f>EXP(-LN(2)/2)*FS53+(1-EXP(-LN(2)/2))/(LN(2)/2)*FM54*FP54*VLOOKUP('Données projet'!$B$16,Paramètres!$A$1:$I$88,3,0)*0.475*44/12</f>
        <v>0</v>
      </c>
      <c r="FT54" s="24">
        <f t="shared" si="24"/>
        <v>3.4155416673962393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23.5</v>
      </c>
      <c r="N55" s="14">
        <f>IF('Données projet'!$A$36&gt;35,N54+M55-V54,IF(A55&lt;'Données projet'!$A$36,$K$205^A55,IF(A55='Données projet'!$A$36,'Données projet'!$B$36,N54+M55-V54)))</f>
        <v>592.99999999999977</v>
      </c>
      <c r="O55" s="14">
        <f>N55*VLOOKUP('Données projet'!$B$9,Paramètres!$A$1:$I$88,3,0)*VLOOKUP('Données projet'!$B$9,Paramètres!$A$1:$I$88,5,0)</f>
        <v>331.48699999999985</v>
      </c>
      <c r="P55" s="14">
        <f t="shared" si="33"/>
        <v>77.738519494787681</v>
      </c>
      <c r="Q55" s="22">
        <f t="shared" si="53"/>
        <v>712.73444645342158</v>
      </c>
      <c r="R55" s="62">
        <f t="shared" si="0"/>
        <v>969.16972591700494</v>
      </c>
      <c r="S55" s="62">
        <f ca="1">AVERAGE(OFFSET($R$3,0,0,'Données projet'!$E$9+1,1))-AVERAGE(OFFSET($H$3,0,0,'Données projet'!$E$9+1,1))</f>
        <v>378.13552372917843</v>
      </c>
      <c r="T55" s="62">
        <f t="shared" si="34"/>
        <v>528.97123645404952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54.738257938663409</v>
      </c>
      <c r="AA55" s="23">
        <f>EXP(-LN(2)/25)*AA54+(1-EXP(-LN(2)/25))/(LN(2)/25)*Calculateur!V55*Calculateur!X55*VLOOKUP('Données projet'!$B$9,Paramètres!$A$1:$I$88,3,0)*0.475*44/12</f>
        <v>68.177759763534297</v>
      </c>
      <c r="AB55" s="23">
        <f>EXP(-LN(2)/2)*AB54+(1-EXP(-LN(2)/2))/(LN(2)/2)*V55*Y55*VLOOKUP('Données projet'!$B$9,Paramètres!$A$1:$I$88,3,0)*0.475*44/12</f>
        <v>0</v>
      </c>
      <c r="AC55" s="24">
        <f t="shared" si="3"/>
        <v>122.91601770219771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9.625</v>
      </c>
      <c r="AI55" s="14">
        <f>IF('Données projet'!$A$62&gt;35,AI54+AH55-AQ54,IF(A55&lt;'Données projet'!$A$62,$AF$205^A55,IF(A55='Données projet'!$A$62,'Données projet'!$B$62,AI54+AH55-AQ54)))</f>
        <v>185.375</v>
      </c>
      <c r="AJ55" s="14">
        <f>AI55*VLOOKUP('Données projet'!$B$10,Paramètres!$A$1:$I$88,3,0)*VLOOKUP('Données projet'!$B$10,Paramètres!$A$1:$I$88,5,0)</f>
        <v>167.72730000000001</v>
      </c>
      <c r="AK55" s="14">
        <f t="shared" si="35"/>
        <v>42.58061636127843</v>
      </c>
      <c r="AL55" s="22">
        <f t="shared" si="4"/>
        <v>366.28628766255997</v>
      </c>
      <c r="AM55" s="62">
        <f t="shared" si="5"/>
        <v>622.72156712614333</v>
      </c>
      <c r="AN55" s="62">
        <f ca="1">AVERAGE(OFFSET($AM$3,0,0,'Données projet'!$E$10+1,1))-AVERAGE(OFFSET($H$3,0,0,'Données projet'!$E$10+1,1))</f>
        <v>536.3707066106856</v>
      </c>
      <c r="AO55" s="62">
        <f t="shared" si="36"/>
        <v>217.6280015974086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2.340141810682959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2.340141810682959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7.5749999999999957</v>
      </c>
      <c r="BD55" s="13">
        <f>IF('Données projet'!$A$88&gt;35,BD54+BC55-BL54,IF(A55&lt;'Données projet'!$A$88,$BA$205^A55,IF(A55='Données projet'!$A$88,'Données projet'!$B$88,BD54+BC55-BL54)))</f>
        <v>280.34999999999997</v>
      </c>
      <c r="BE55" s="14">
        <f>BD55*VLOOKUP('Données projet'!$B$11,Paramètres!$A$1:$I$88,3,0)*VLOOKUP('Données projet'!$B$11,Paramètres!$A$1:$I$88,5,0)</f>
        <v>167.64929999999998</v>
      </c>
      <c r="BF55" s="14">
        <f t="shared" si="37"/>
        <v>42.563119092877216</v>
      </c>
      <c r="BG55" s="22">
        <f t="shared" si="7"/>
        <v>366.11996325342778</v>
      </c>
      <c r="BH55" s="62">
        <f t="shared" si="8"/>
        <v>622.5552427170112</v>
      </c>
      <c r="BI55" s="62">
        <f ca="1">AVERAGE(OFFSET($BH$3,0,0,'Données projet'!$E$11+1,1))-AVERAGE(OFFSET($H$3,0,0,'Données projet'!$E$11+1,1))</f>
        <v>248.66193174773525</v>
      </c>
      <c r="BJ55" s="62">
        <f t="shared" si="38"/>
        <v>249.61655682981151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19.130339310002874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1.6394407295845856</v>
      </c>
      <c r="BS55" s="24">
        <f t="shared" si="9"/>
        <v>20.769780039587459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27.8</v>
      </c>
      <c r="BY55" s="13">
        <f>IF('Données projet'!$A$114&gt;35,BY54+BX55-CG54,IF(A55&lt;'Données projet'!$A$114,$BV$205^A55,IF(A55='Données projet'!$A$114,'Données projet'!$B$114,BY54+BX55-CG54)))</f>
        <v>594.59999999999968</v>
      </c>
      <c r="BZ55" s="14">
        <f>BY55*VLOOKUP('Données projet'!$B$12,Paramètres!$A$1:$I$88,3,0)*VLOOKUP('Données projet'!$B$12,Paramètres!$A$1:$I$88,5,0)</f>
        <v>239.62379999999987</v>
      </c>
      <c r="CA55" s="14">
        <f t="shared" si="39"/>
        <v>58.35858183113595</v>
      </c>
      <c r="CB55" s="22">
        <f t="shared" si="10"/>
        <v>518.9859816892282</v>
      </c>
      <c r="CC55" s="62">
        <f t="shared" si="11"/>
        <v>775.42126115281155</v>
      </c>
      <c r="CD55" s="62">
        <f ca="1">AVERAGE(OFFSET($CC$3,0,0,'Données projet'!$E$12+1,1))-AVERAGE(OFFSET($H$3,0,0,'Données projet'!$E$12+1,1))</f>
        <v>432.59662347701629</v>
      </c>
      <c r="CE55" s="62">
        <f t="shared" si="40"/>
        <v>348.67401091099748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29.626920141859877</v>
      </c>
      <c r="CL55" s="23">
        <f>EXP(-LN(2)/25)*CL54+(1-EXP(-LN(2)/25))/(LN(2)/25)*Calculateur!CG55*Calculateur!CI55*VLOOKUP('Données projet'!$B$12,Paramètres!$A$1:$I$88,3,0)*0.475*44/12</f>
        <v>81.526765557601323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111.15368569946119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31</v>
      </c>
      <c r="CT55" s="13">
        <f>IF('Données projet'!$A$140&gt;35,CT54+CS55-DB54,IF(A55&lt;'Données projet'!$A$140,$CQ$205^A55,IF(A55='Données projet'!$A$140,'Données projet'!$B$140,CT54+CS55-DB54)))</f>
        <v>804</v>
      </c>
      <c r="CU55" s="18">
        <f>CT55*VLOOKUP('Données projet'!$B$13,Paramètres!$A$1:$I$88,3,0)*VLOOKUP('Données projet'!$B$13,Paramètres!$A$1:$I$88,5,0)</f>
        <v>355.36800000000005</v>
      </c>
      <c r="CV55" s="14">
        <f t="shared" si="41"/>
        <v>82.666857134597876</v>
      </c>
      <c r="CW55" s="22">
        <f t="shared" si="13"/>
        <v>762.91070950942469</v>
      </c>
      <c r="CX55" s="62">
        <f t="shared" si="14"/>
        <v>1019.345988973008</v>
      </c>
      <c r="CY55" s="62">
        <f ca="1">AVERAGE(OFFSET($CX$3,0,0,'Données projet'!$E$13+1,1))-AVERAGE(OFFSET($H$3,0,0,'Données projet'!$E$13+1,1))</f>
        <v>582.26951914082088</v>
      </c>
      <c r="CZ55" s="62">
        <f t="shared" si="42"/>
        <v>434.80429932654715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35.812937293356377</v>
      </c>
      <c r="DG55" s="23">
        <f>EXP(-LN(2)/25)*DG54+(1-EXP(-LN(2)/25))/(LN(2)/25)*Calculateur!DB55*Calculateur!DD55*VLOOKUP('Données projet'!$B$13,Paramètres!$A$1:$I$88,3,0)*0.475*44/12</f>
        <v>81.953367596866855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117.76630489022324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19</v>
      </c>
      <c r="DO55" s="13">
        <f>IF('Données projet'!$A$166&gt;35,DO54+DN55-DW54,IF(A55&lt;'Données projet'!$A$166,$DL$205^A55,IF(A55='Données projet'!$A$166,'Données projet'!$B$166,DO54+DN55-DW54)))</f>
        <v>357.99999999999966</v>
      </c>
      <c r="DP55" s="18">
        <f>DO55*VLOOKUP('Données projet'!$B$14,Paramètres!$A$1:$I$88,3,0)*VLOOKUP('Données projet'!$B$14,Paramètres!$A$1:$I$88,5,0)</f>
        <v>172.19799999999984</v>
      </c>
      <c r="DQ55" s="14">
        <f t="shared" si="43"/>
        <v>43.581933801858348</v>
      </c>
      <c r="DR55" s="22">
        <f t="shared" si="16"/>
        <v>375.81671803823633</v>
      </c>
      <c r="DS55" s="62">
        <f t="shared" si="17"/>
        <v>632.25199750181969</v>
      </c>
      <c r="DT55" s="62">
        <f ca="1">AVERAGE(OFFSET($DS$3,0,0,'Données projet'!$E$14+1,1))-AVERAGE(OFFSET($H$3,0,0,'Données projet'!$E$14+1,1))</f>
        <v>273.24375559399846</v>
      </c>
      <c r="DU55" s="62">
        <f t="shared" si="44"/>
        <v>270.77718895097848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projet'!$B$14,Paramètres!$A$1:$I$88,3,0)*0.475*44/12</f>
        <v>27.099320054371987</v>
      </c>
      <c r="EB55" s="23">
        <f>EXP(-LN(2)/25)*EB54+(1-EXP(-LN(2)/25))/(LN(2)/25)*Calculateur!DW55*Calculateur!DY55*VLOOKUP('Données projet'!$B$14,Paramètres!$A$1:$I$88,3,0)*0.475*44/12</f>
        <v>51.027557563368944</v>
      </c>
      <c r="EC55" s="23">
        <f>EXP(-LN(2)/2)*EC54+(1-EXP(-LN(2)/2))/(LN(2)/2)*DW55*DZ55*VLOOKUP('Données projet'!$B$14,Paramètres!$A$1:$I$88,3,0)*0.475*44/12</f>
        <v>0</v>
      </c>
      <c r="ED55" s="24">
        <f t="shared" si="18"/>
        <v>78.126877617740931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19</v>
      </c>
      <c r="EJ55" s="13">
        <f>IF('Données projet'!$A$192&gt;35,EJ54+EI55-ER54,IF(A55&lt;'Données projet'!$A$192,$EG$205^A55,IF(A55='Données projet'!$A$192,'Données projet'!$B$192,EJ54+EI55-ER54)))</f>
        <v>357.99999999999966</v>
      </c>
      <c r="EK55" s="18">
        <f>EJ55*VLOOKUP('Données projet'!$B$15,Paramètres!$A$1:$I$88,3,0)*VLOOKUP('Données projet'!$B$15,Paramètres!$A$1:$I$88,5,0)</f>
        <v>167.54399999999984</v>
      </c>
      <c r="EL55" s="14">
        <f t="shared" si="45"/>
        <v>42.539496277304153</v>
      </c>
      <c r="EM55" s="22">
        <f t="shared" si="19"/>
        <v>365.89542268297106</v>
      </c>
      <c r="EN55" s="62">
        <f t="shared" si="20"/>
        <v>622.33070214655436</v>
      </c>
      <c r="EO55" s="62">
        <f ca="1">AVERAGE(OFFSET($EN$3,0,0,'Données projet'!$E$15+1,1))-AVERAGE(OFFSET($H$3,0,0,'Données projet'!$E$15+1,1))</f>
        <v>267.26203506406682</v>
      </c>
      <c r="EP55" s="62">
        <f t="shared" si="46"/>
        <v>265.10857635664843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projet'!$B$15,Paramètres!$A$1:$I$88,3,0)*0.475*44/12</f>
        <v>26.366905998848416</v>
      </c>
      <c r="EW55" s="23">
        <f>EXP(-LN(2)/25)*EW54+(1-EXP(-LN(2)/25))/(LN(2)/25)*Calculateur!ER55*Calculateur!ET55*VLOOKUP('Données projet'!$B$15,Paramètres!$A$1:$I$88,3,0)*0.475*44/12</f>
        <v>49.648434385980593</v>
      </c>
      <c r="EX55" s="23">
        <f>EXP(-LN(2)/2)*EX54+(1-EXP(-LN(2)/2))/(LN(2)/2)*ER55*EU55*VLOOKUP('Données projet'!$B$15,Paramètres!$A$1:$I$88,3,0)*0.475*44/12</f>
        <v>0</v>
      </c>
      <c r="EY55" s="24">
        <f t="shared" si="21"/>
        <v>76.015340384829017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231</v>
      </c>
      <c r="FF55" s="18">
        <f>FE55*VLOOKUP('Données projet'!$B$16,Paramètres!$A$1:$I$88,3,0)*VLOOKUP('Données projet'!$B$16,Paramètres!$A$1:$I$88,5,0)</f>
        <v>169.36920000000001</v>
      </c>
      <c r="FG55" s="14">
        <f t="shared" si="47"/>
        <v>42.948714817158674</v>
      </c>
      <c r="FH55" s="22">
        <f t="shared" si="22"/>
        <v>369.787034973218</v>
      </c>
      <c r="FI55" s="62">
        <f t="shared" si="23"/>
        <v>626.2223144368013</v>
      </c>
      <c r="FJ55" s="62">
        <f ca="1">AVERAGE(OFFSET($FI$3,0,0,'Données projet'!$E$16+1,1))-AVERAGE(OFFSET($H$3,0,0,'Données projet'!$E$16+1,1))</f>
        <v>207.66160354686221</v>
      </c>
      <c r="FK55" s="62">
        <f t="shared" si="48"/>
        <v>260.45879589483525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projet'!$B$16,Paramètres!$A$1:$I$88,3,0)*0.475*44/12</f>
        <v>3.34856497857331</v>
      </c>
      <c r="FR55" s="23">
        <f>EXP(-LN(2)/25)*FR54+(1-EXP(-LN(2)/25))/(LN(2)/25)*Calculateur!FM55*Calculateur!FO55*VLOOKUP('Données projet'!$B$16,Paramètres!$A$1:$I$88,3,0)*0.475*44/12</f>
        <v>0</v>
      </c>
      <c r="FS55" s="23">
        <f>EXP(-LN(2)/2)*FS54+(1-EXP(-LN(2)/2))/(LN(2)/2)*FM55*FP55*VLOOKUP('Données projet'!$B$16,Paramètres!$A$1:$I$88,3,0)*0.475*44/12</f>
        <v>0</v>
      </c>
      <c r="FT55" s="24">
        <f t="shared" si="24"/>
        <v>3.34856497857331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23.5</v>
      </c>
      <c r="N56" s="14">
        <f>IF('Données projet'!$A$36&gt;35,N55+M56-V55,IF(A56&lt;'Données projet'!$A$36,$K$205^A56,IF(A56='Données projet'!$A$36,'Données projet'!$B$36,N55+M56-V55)))</f>
        <v>616.49999999999977</v>
      </c>
      <c r="O56" s="14">
        <f>N56*VLOOKUP('Données projet'!$B$9,Paramètres!$A$1:$I$88,3,0)*VLOOKUP('Données projet'!$B$9,Paramètres!$A$1:$I$88,5,0)</f>
        <v>344.62349999999992</v>
      </c>
      <c r="P56" s="14">
        <f t="shared" si="33"/>
        <v>80.454438579998452</v>
      </c>
      <c r="Q56" s="22">
        <f t="shared" si="53"/>
        <v>740.34407636016385</v>
      </c>
      <c r="R56" s="62">
        <f t="shared" si="0"/>
        <v>997.41945456669714</v>
      </c>
      <c r="S56" s="62">
        <f ca="1">AVERAGE(OFFSET($R$3,0,0,'Données projet'!$E$9+1,1))-AVERAGE(OFFSET($H$3,0,0,'Données projet'!$E$9+1,1))</f>
        <v>378.13552372917843</v>
      </c>
      <c r="T56" s="62">
        <f t="shared" si="34"/>
        <v>528.97123645404952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53.664874087526869</v>
      </c>
      <c r="AA56" s="23">
        <f>EXP(-LN(2)/25)*AA55+(1-EXP(-LN(2)/25))/(LN(2)/25)*Calculateur!V56*Calculateur!X56*VLOOKUP('Données projet'!$B$9,Paramètres!$A$1:$I$88,3,0)*0.475*44/12</f>
        <v>66.313435337487888</v>
      </c>
      <c r="AB56" s="23">
        <f>EXP(-LN(2)/2)*AB55+(1-EXP(-LN(2)/2))/(LN(2)/2)*V56*Y56*VLOOKUP('Données projet'!$B$9,Paramètres!$A$1:$I$88,3,0)*0.475*44/12</f>
        <v>0</v>
      </c>
      <c r="AC56" s="24">
        <f t="shared" si="3"/>
        <v>119.97830942501476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>
        <f>VLOOKUP(A56,'Données projet'!$A$61:$I$81,2,0)</f>
        <v>195</v>
      </c>
      <c r="AG56" s="13">
        <f>VLOOKUP(A56,'Données projet'!$A$61:$I$81,9,0)</f>
        <v>9.625</v>
      </c>
      <c r="AH56" s="13">
        <f t="array" ref="AH56">INDEX(AG:AG,MIN(IF(ISNUMBER(AG56:AG252),ROW(AG56:AG252),"")))</f>
        <v>9.625</v>
      </c>
      <c r="AI56" s="14">
        <f>IF('Données projet'!$A$62&gt;35,AI55+AH56-AQ55,IF(A56&lt;'Données projet'!$A$62,$AF$205^A56,IF(A56='Données projet'!$A$62,'Données projet'!$B$62,AI55+AH56-AQ55)))</f>
        <v>195</v>
      </c>
      <c r="AJ56" s="14">
        <f>AI56*VLOOKUP('Données projet'!$B$10,Paramètres!$A$1:$I$88,3,0)*VLOOKUP('Données projet'!$B$10,Paramètres!$A$1:$I$88,5,0)</f>
        <v>176.43600000000001</v>
      </c>
      <c r="AK56" s="14">
        <f t="shared" si="35"/>
        <v>44.52834129105058</v>
      </c>
      <c r="AL56" s="22">
        <f t="shared" si="4"/>
        <v>384.84622774857968</v>
      </c>
      <c r="AM56" s="62">
        <f t="shared" si="5"/>
        <v>641.92160595511291</v>
      </c>
      <c r="AN56" s="62">
        <f ca="1">AVERAGE(OFFSET($AM$3,0,0,'Données projet'!$E$10+1,1))-AVERAGE(OFFSET($H$3,0,0,'Données projet'!$E$10+1,1))</f>
        <v>536.3707066106856</v>
      </c>
      <c r="AO56" s="62">
        <f t="shared" si="36"/>
        <v>217.6280015974086</v>
      </c>
      <c r="AP56" s="16">
        <f>IF(ISNA(VLOOKUP(A56,'Données projet'!$A$61:$I$81,3,0)),0,VLOOKUP(A56,'Données projet'!$A$61:$I$81,3,0))</f>
        <v>6</v>
      </c>
      <c r="AQ56" s="16">
        <f>IF(ISNA(VLOOKUP(A56,'Données projet'!$A$61:$I$81,4,0)),0,VLOOKUP(A56,'Données projet'!$A$61:$I$81,4,0))</f>
        <v>45</v>
      </c>
      <c r="AR56" s="17">
        <f>IF(ISNA(VLOOKUP(A56,'Données projet'!$A$61:$I$81,5,0)),0%,VLOOKUP(A56,'Données projet'!$A$61:$I$81,5,0)*VLOOKUP('Données projet'!$B$10,Paramètres!$A$1:$I$88,7,0))</f>
        <v>0.1075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7.132863744225368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7.132863744225368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7.5749999999999957</v>
      </c>
      <c r="BD56" s="13">
        <f>IF('Données projet'!$A$88&gt;35,BD55+BC56-BL55,IF(A56&lt;'Données projet'!$A$88,$BA$205^A56,IF(A56='Données projet'!$A$88,'Données projet'!$B$88,BD55+BC56-BL55)))</f>
        <v>287.92499999999995</v>
      </c>
      <c r="BE56" s="14">
        <f>BD56*VLOOKUP('Données projet'!$B$11,Paramètres!$A$1:$I$88,3,0)*VLOOKUP('Données projet'!$B$11,Paramètres!$A$1:$I$88,5,0)</f>
        <v>172.17914999999999</v>
      </c>
      <c r="BF56" s="14">
        <f t="shared" si="37"/>
        <v>43.577718310315021</v>
      </c>
      <c r="BG56" s="22">
        <f t="shared" si="7"/>
        <v>375.77654564046526</v>
      </c>
      <c r="BH56" s="62">
        <f t="shared" si="8"/>
        <v>632.85192384699849</v>
      </c>
      <c r="BI56" s="62">
        <f ca="1">AVERAGE(OFFSET($BH$3,0,0,'Données projet'!$E$11+1,1))-AVERAGE(OFFSET($H$3,0,0,'Données projet'!$E$11+1,1))</f>
        <v>248.66193174773525</v>
      </c>
      <c r="BJ56" s="62">
        <f t="shared" si="38"/>
        <v>249.61655682981151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18.755205024488543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1.1592596572426814</v>
      </c>
      <c r="BS56" s="24">
        <f t="shared" si="9"/>
        <v>19.914464681731225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27.8</v>
      </c>
      <c r="BY56" s="13">
        <f>IF('Données projet'!$A$114&gt;35,BY55+BX56-CG55,IF(A56&lt;'Données projet'!$A$114,$BV$205^A56,IF(A56='Données projet'!$A$114,'Données projet'!$B$114,BY55+BX56-CG55)))</f>
        <v>622.39999999999964</v>
      </c>
      <c r="BZ56" s="14">
        <f>BY56*VLOOKUP('Données projet'!$B$12,Paramètres!$A$1:$I$88,3,0)*VLOOKUP('Données projet'!$B$12,Paramètres!$A$1:$I$88,5,0)</f>
        <v>250.82719999999983</v>
      </c>
      <c r="CA56" s="14">
        <f t="shared" si="39"/>
        <v>60.763039213598908</v>
      </c>
      <c r="CB56" s="22">
        <f t="shared" si="10"/>
        <v>542.68633329701777</v>
      </c>
      <c r="CC56" s="62">
        <f t="shared" si="11"/>
        <v>799.76171150355094</v>
      </c>
      <c r="CD56" s="62">
        <f ca="1">AVERAGE(OFFSET($CC$3,0,0,'Données projet'!$E$12+1,1))-AVERAGE(OFFSET($H$3,0,0,'Données projet'!$E$12+1,1))</f>
        <v>432.59662347701629</v>
      </c>
      <c r="CE56" s="62">
        <f t="shared" si="40"/>
        <v>348.67401091099748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29.045954308514965</v>
      </c>
      <c r="CL56" s="23">
        <f>EXP(-LN(2)/25)*CL55+(1-EXP(-LN(2)/25))/(LN(2)/25)*Calculateur!CG56*Calculateur!CI56*VLOOKUP('Données projet'!$B$12,Paramètres!$A$1:$I$88,3,0)*0.475*44/12</f>
        <v>79.297411866122445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108.34336617463741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31</v>
      </c>
      <c r="CT56" s="13">
        <f>IF('Données projet'!$A$140&gt;35,CT55+CS56-DB55,IF(A56&lt;'Données projet'!$A$140,$CQ$205^A56,IF(A56='Données projet'!$A$140,'Données projet'!$B$140,CT55+CS56-DB55)))</f>
        <v>835</v>
      </c>
      <c r="CU56" s="18">
        <f>CT56*VLOOKUP('Données projet'!$B$13,Paramètres!$A$1:$I$88,3,0)*VLOOKUP('Données projet'!$B$13,Paramètres!$A$1:$I$88,5,0)</f>
        <v>369.07000000000005</v>
      </c>
      <c r="CV56" s="14">
        <f t="shared" si="41"/>
        <v>85.477015853186089</v>
      </c>
      <c r="CW56" s="22">
        <f t="shared" si="13"/>
        <v>791.66938594429928</v>
      </c>
      <c r="CX56" s="62">
        <f t="shared" si="14"/>
        <v>1048.7447641508325</v>
      </c>
      <c r="CY56" s="62">
        <f ca="1">AVERAGE(OFFSET($CX$3,0,0,'Données projet'!$E$13+1,1))-AVERAGE(OFFSET($H$3,0,0,'Données projet'!$E$13+1,1))</f>
        <v>582.26951914082088</v>
      </c>
      <c r="CZ56" s="62">
        <f t="shared" si="42"/>
        <v>434.80429932654715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35.110667436768516</v>
      </c>
      <c r="DG56" s="23">
        <f>EXP(-LN(2)/25)*DG55+(1-EXP(-LN(2)/25))/(LN(2)/25)*Calculateur!DB56*Calculateur!DD56*VLOOKUP('Données projet'!$B$13,Paramètres!$A$1:$I$88,3,0)*0.475*44/12</f>
        <v>79.712348450190234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114.82301588695876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19</v>
      </c>
      <c r="DO56" s="13">
        <f>IF('Données projet'!$A$166&gt;35,DO55+DN56-DW55,IF(A56&lt;'Données projet'!$A$166,$DL$205^A56,IF(A56='Données projet'!$A$166,'Données projet'!$B$166,DO55+DN56-DW55)))</f>
        <v>376.99999999999966</v>
      </c>
      <c r="DP56" s="18">
        <f>DO56*VLOOKUP('Données projet'!$B$14,Paramètres!$A$1:$I$88,3,0)*VLOOKUP('Données projet'!$B$14,Paramètres!$A$1:$I$88,5,0)</f>
        <v>181.33699999999985</v>
      </c>
      <c r="DQ56" s="14">
        <f t="shared" si="43"/>
        <v>45.619515797804446</v>
      </c>
      <c r="DR56" s="22">
        <f t="shared" si="16"/>
        <v>395.2825983478424</v>
      </c>
      <c r="DS56" s="62">
        <f t="shared" si="17"/>
        <v>652.35797655437568</v>
      </c>
      <c r="DT56" s="62">
        <f ca="1">AVERAGE(OFFSET($DS$3,0,0,'Données projet'!$E$14+1,1))-AVERAGE(OFFSET($H$3,0,0,'Données projet'!$E$14+1,1))</f>
        <v>273.24375559399846</v>
      </c>
      <c r="DU56" s="62">
        <f t="shared" si="44"/>
        <v>270.77718895097848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projet'!$B$14,Paramètres!$A$1:$I$88,3,0)*0.475*44/12</f>
        <v>26.567918917058886</v>
      </c>
      <c r="EB56" s="23">
        <f>EXP(-LN(2)/25)*EB55+(1-EXP(-LN(2)/25))/(LN(2)/25)*Calculateur!DW56*Calculateur!DY56*VLOOKUP('Données projet'!$B$14,Paramètres!$A$1:$I$88,3,0)*0.475*44/12</f>
        <v>49.632206318375992</v>
      </c>
      <c r="EC56" s="23">
        <f>EXP(-LN(2)/2)*EC55+(1-EXP(-LN(2)/2))/(LN(2)/2)*DW56*DZ56*VLOOKUP('Données projet'!$B$14,Paramètres!$A$1:$I$88,3,0)*0.475*44/12</f>
        <v>0</v>
      </c>
      <c r="ED56" s="24">
        <f t="shared" si="18"/>
        <v>76.200125235434882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19</v>
      </c>
      <c r="EJ56" s="13">
        <f>IF('Données projet'!$A$192&gt;35,EJ55+EI56-ER55,IF(A56&lt;'Données projet'!$A$192,$EG$205^A56,IF(A56='Données projet'!$A$192,'Données projet'!$B$192,EJ55+EI56-ER55)))</f>
        <v>376.99999999999966</v>
      </c>
      <c r="EK56" s="18">
        <f>EJ56*VLOOKUP('Données projet'!$B$15,Paramètres!$A$1:$I$88,3,0)*VLOOKUP('Données projet'!$B$15,Paramètres!$A$1:$I$88,5,0)</f>
        <v>176.43599999999986</v>
      </c>
      <c r="EL56" s="14">
        <f t="shared" si="45"/>
        <v>44.52834129105058</v>
      </c>
      <c r="EM56" s="22">
        <f t="shared" si="19"/>
        <v>384.84622774857945</v>
      </c>
      <c r="EN56" s="62">
        <f t="shared" si="20"/>
        <v>641.92160595511268</v>
      </c>
      <c r="EO56" s="62">
        <f ca="1">AVERAGE(OFFSET($EN$3,0,0,'Données projet'!$E$15+1,1))-AVERAGE(OFFSET($H$3,0,0,'Données projet'!$E$15+1,1))</f>
        <v>267.26203506406682</v>
      </c>
      <c r="EP56" s="62">
        <f t="shared" si="46"/>
        <v>265.10857635664843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projet'!$B$15,Paramètres!$A$1:$I$88,3,0)*0.475*44/12</f>
        <v>25.84986705443567</v>
      </c>
      <c r="EW56" s="23">
        <f>EXP(-LN(2)/25)*EW55+(1-EXP(-LN(2)/25))/(LN(2)/25)*Calculateur!ER56*Calculateur!ET56*VLOOKUP('Données projet'!$B$15,Paramètres!$A$1:$I$88,3,0)*0.475*44/12</f>
        <v>48.290795336798261</v>
      </c>
      <c r="EX56" s="23">
        <f>EXP(-LN(2)/2)*EX55+(1-EXP(-LN(2)/2))/(LN(2)/2)*ER56*EU56*VLOOKUP('Données projet'!$B$15,Paramètres!$A$1:$I$88,3,0)*0.475*44/12</f>
        <v>0</v>
      </c>
      <c r="EY56" s="24">
        <f t="shared" si="21"/>
        <v>74.140662391233931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231</v>
      </c>
      <c r="FF56" s="18">
        <f>FE56*VLOOKUP('Données projet'!$B$16,Paramètres!$A$1:$I$88,3,0)*VLOOKUP('Données projet'!$B$16,Paramètres!$A$1:$I$88,5,0)</f>
        <v>169.36920000000001</v>
      </c>
      <c r="FG56" s="14">
        <f t="shared" si="47"/>
        <v>42.948714817158674</v>
      </c>
      <c r="FH56" s="22">
        <f t="shared" si="22"/>
        <v>369.787034973218</v>
      </c>
      <c r="FI56" s="62">
        <f t="shared" si="23"/>
        <v>626.86241317975123</v>
      </c>
      <c r="FJ56" s="62">
        <f ca="1">AVERAGE(OFFSET($FI$3,0,0,'Données projet'!$E$16+1,1))-AVERAGE(OFFSET($H$3,0,0,'Données projet'!$E$16+1,1))</f>
        <v>207.66160354686221</v>
      </c>
      <c r="FK56" s="62">
        <f t="shared" si="48"/>
        <v>260.45879589483525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projet'!$B$16,Paramètres!$A$1:$I$88,3,0)*0.475*44/12</f>
        <v>3.2829016617664517</v>
      </c>
      <c r="FR56" s="23">
        <f>EXP(-LN(2)/25)*FR55+(1-EXP(-LN(2)/25))/(LN(2)/25)*Calculateur!FM56*Calculateur!FO56*VLOOKUP('Données projet'!$B$16,Paramètres!$A$1:$I$88,3,0)*0.475*44/12</f>
        <v>0</v>
      </c>
      <c r="FS56" s="23">
        <f>EXP(-LN(2)/2)*FS55+(1-EXP(-LN(2)/2))/(LN(2)/2)*FM56*FP56*VLOOKUP('Données projet'!$B$16,Paramètres!$A$1:$I$88,3,0)*0.475*44/12</f>
        <v>0</v>
      </c>
      <c r="FT56" s="24">
        <f t="shared" si="24"/>
        <v>3.2829016617664517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640</v>
      </c>
      <c r="L57" s="13">
        <f>VLOOKUP(A57,'Données projet'!$A$35:$I$55,9,0)</f>
        <v>23.5</v>
      </c>
      <c r="M57" s="13">
        <f t="array" ref="M57">INDEX(L:L,MIN(IF(ISNUMBER(L57:L253),ROW(L57:L253),"")))</f>
        <v>23.5</v>
      </c>
      <c r="N57" s="14">
        <f>IF('Données projet'!$A$36&gt;35,N56+M57-V56,IF(A57&lt;'Données projet'!$A$36,$K$205^A57,IF(A57='Données projet'!$A$36,'Données projet'!$B$36,N56+M57-V56)))</f>
        <v>639.99999999999977</v>
      </c>
      <c r="O57" s="14">
        <f>N57*VLOOKUP('Données projet'!$B$9,Paramètres!$A$1:$I$88,3,0)*VLOOKUP('Données projet'!$B$9,Paramètres!$A$1:$I$88,5,0)</f>
        <v>357.75999999999988</v>
      </c>
      <c r="P57" s="14">
        <f t="shared" si="33"/>
        <v>83.158330796597369</v>
      </c>
      <c r="Q57" s="22">
        <f t="shared" si="53"/>
        <v>767.93275947074017</v>
      </c>
      <c r="R57" s="62">
        <f t="shared" si="0"/>
        <v>1025.6371321380796</v>
      </c>
      <c r="S57" s="62">
        <f ca="1">AVERAGE(OFFSET($R$3,0,0,'Données projet'!$E$9+1,1))-AVERAGE(OFFSET($H$3,0,0,'Données projet'!$E$9+1,1))</f>
        <v>378.13552372917843</v>
      </c>
      <c r="T57" s="62">
        <f t="shared" si="34"/>
        <v>528.97123645404952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640</v>
      </c>
      <c r="W57" s="17">
        <f>IF(ISNA(VLOOKUP(A57,'Données projet'!$A$35:$I$55,5,0)),0%,VLOOKUP(A57,'Données projet'!$A$35:$I$55,5,0)*VLOOKUP('Données projet'!$B$9,Paramètres!$A$1:$I$88,7,0))</f>
        <v>0.41250000000000003</v>
      </c>
      <c r="X57" s="17">
        <f>IF(ISNA(VLOOKUP(A57,'Données projet'!$A$35:$I$55,6,0)),0%,VLOOKUP(A57,'Données projet'!$A$35:$I$55,6,0)*VLOOKUP('Données projet'!$B$9,Paramètres!$A$1:$I$88,7,0))</f>
        <v>0.13750000000000001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248.38161471495718</v>
      </c>
      <c r="AA57" s="23">
        <f>EXP(-LN(2)/25)*AA56+(1-EXP(-LN(2)/25))/(LN(2)/25)*Calculateur!V57*Calculateur!X57*VLOOKUP('Données projet'!$B$9,Paramètres!$A$1:$I$88,3,0)*0.475*44/12</f>
        <v>129.49951050410181</v>
      </c>
      <c r="AB57" s="23">
        <f>EXP(-LN(2)/2)*AB56+(1-EXP(-LN(2)/2))/(LN(2)/2)*V57*Y57*VLOOKUP('Données projet'!$B$9,Paramètres!$A$1:$I$88,3,0)*0.475*44/12</f>
        <v>0</v>
      </c>
      <c r="AC57" s="24">
        <f t="shared" si="3"/>
        <v>377.88112521905896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8.5</v>
      </c>
      <c r="AI57" s="14">
        <f>IF('Données projet'!$A$62&gt;35,AI56+AH57-AQ56,IF(A57&lt;'Données projet'!$A$62,$AF$205^A57,IF(A57='Données projet'!$A$62,'Données projet'!$B$62,AI56+AH57-AQ56)))</f>
        <v>158.5</v>
      </c>
      <c r="AJ57" s="14">
        <f>AI57*VLOOKUP('Données projet'!$B$10,Paramètres!$A$1:$I$88,3,0)*VLOOKUP('Données projet'!$B$10,Paramètres!$A$1:$I$88,5,0)</f>
        <v>143.41079999999999</v>
      </c>
      <c r="AK57" s="14">
        <f t="shared" si="35"/>
        <v>37.07727388235331</v>
      </c>
      <c r="AL57" s="22">
        <f t="shared" si="4"/>
        <v>314.35006201176537</v>
      </c>
      <c r="AM57" s="62">
        <f t="shared" si="5"/>
        <v>572.0544346791047</v>
      </c>
      <c r="AN57" s="62">
        <f ca="1">AVERAGE(OFFSET($AM$3,0,0,'Données projet'!$E$10+1,1))-AVERAGE(OFFSET($H$3,0,0,'Données projet'!$E$10+1,1))</f>
        <v>536.3707066106856</v>
      </c>
      <c r="AO57" s="62">
        <f t="shared" si="36"/>
        <v>217.6280015974086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6.9929926368184043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6.9929926368184043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295.5</v>
      </c>
      <c r="BB57" s="13">
        <f>VLOOKUP(A57,'Données projet'!$A$87:$I$107,9,0)</f>
        <v>7.5749999999999957</v>
      </c>
      <c r="BC57" s="13">
        <f t="array" ref="BC57">INDEX(BB:BB,MIN(IF(ISNUMBER(BB57:BB253),ROW(BB57:BB253),"")))</f>
        <v>7.5749999999999957</v>
      </c>
      <c r="BD57" s="13">
        <f>IF('Données projet'!$A$88&gt;35,BD56+BC57-BL56,IF(A57&lt;'Données projet'!$A$88,$BA$205^A57,IF(A57='Données projet'!$A$88,'Données projet'!$B$88,BD56+BC57-BL56)))</f>
        <v>295.49999999999994</v>
      </c>
      <c r="BE57" s="14">
        <f>BD57*VLOOKUP('Données projet'!$B$11,Paramètres!$A$1:$I$88,3,0)*VLOOKUP('Données projet'!$B$11,Paramètres!$A$1:$I$88,5,0)</f>
        <v>176.70899999999997</v>
      </c>
      <c r="BF57" s="14">
        <f t="shared" si="37"/>
        <v>44.589214834089773</v>
      </c>
      <c r="BG57" s="22">
        <f t="shared" si="7"/>
        <v>385.42772416937299</v>
      </c>
      <c r="BH57" s="62">
        <f t="shared" si="8"/>
        <v>643.13209683671232</v>
      </c>
      <c r="BI57" s="62">
        <f ca="1">AVERAGE(OFFSET($BH$3,0,0,'Données projet'!$E$11+1,1))-AVERAGE(OFFSET($H$3,0,0,'Données projet'!$E$11+1,1))</f>
        <v>248.66193174773525</v>
      </c>
      <c r="BJ57" s="62">
        <f t="shared" si="38"/>
        <v>249.61655682981151</v>
      </c>
      <c r="BK57" s="16">
        <f>IF(ISNA(VLOOKUP(A57,'Données projet'!$A$87:$I$107,3,0)),0,VLOOKUP(A57,'Données projet'!$A$87:$I$107,3,0))</f>
        <v>8</v>
      </c>
      <c r="BL57" s="16">
        <f>IF(ISNA(VLOOKUP(A57,'Données projet'!$A$87:$I$107,4,0)),0,VLOOKUP(A57,'Données projet'!$A$87:$I$107,4,0))</f>
        <v>15.6</v>
      </c>
      <c r="BM57" s="17">
        <f>IF(ISNA(VLOOKUP(A57,'Données projet'!$A$87:$I$107,5,0)),0%,VLOOKUP(A57,'Données projet'!$A$87:$I$107,5,0)*VLOOKUP('Données projet'!$B$11,Paramètres!$A$1:$I$88,7,0))</f>
        <v>0.27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0.4</v>
      </c>
      <c r="BP57" s="23">
        <f>EXP(-LN(2)/35)*BP56+(1-EXP(-LN(2)/35))/(LN(2)/35)*BL57*BM57*VLOOKUP('Données projet'!$B$11,Paramètres!$A$1:$I$88,3,0)*0.475*44/12</f>
        <v>21.728745606318007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5.0446678276582508</v>
      </c>
      <c r="BS57" s="24">
        <f t="shared" si="9"/>
        <v>26.773413433976259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27.8</v>
      </c>
      <c r="BY57" s="13">
        <f>IF('Données projet'!$A$114&gt;35,BY56+BX57-CG56,IF(A57&lt;'Données projet'!$A$114,$BV$205^A57,IF(A57='Données projet'!$A$114,'Données projet'!$B$114,BY56+BX57-CG56)))</f>
        <v>650.19999999999959</v>
      </c>
      <c r="BZ57" s="14">
        <f>BY57*VLOOKUP('Données projet'!$B$12,Paramètres!$A$1:$I$88,3,0)*VLOOKUP('Données projet'!$B$12,Paramètres!$A$1:$I$88,5,0)</f>
        <v>262.03059999999982</v>
      </c>
      <c r="CA57" s="14">
        <f t="shared" si="39"/>
        <v>63.155023642413013</v>
      </c>
      <c r="CB57" s="22">
        <f t="shared" si="10"/>
        <v>566.3649611772023</v>
      </c>
      <c r="CC57" s="62">
        <f t="shared" si="11"/>
        <v>824.06933384454169</v>
      </c>
      <c r="CD57" s="62">
        <f ca="1">AVERAGE(OFFSET($CC$3,0,0,'Données projet'!$E$12+1,1))-AVERAGE(OFFSET($H$3,0,0,'Données projet'!$E$12+1,1))</f>
        <v>432.59662347701629</v>
      </c>
      <c r="CE57" s="62">
        <f t="shared" si="40"/>
        <v>348.67401091099748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28.476380860807776</v>
      </c>
      <c r="CL57" s="23">
        <f>EXP(-LN(2)/25)*CL56+(1-EXP(-LN(2)/25))/(LN(2)/25)*Calculateur!CG57*Calculateur!CI57*VLOOKUP('Données projet'!$B$12,Paramètres!$A$1:$I$88,3,0)*0.475*44/12</f>
        <v>77.129019968573672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105.60540082938145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31</v>
      </c>
      <c r="CT57" s="13">
        <f>IF('Données projet'!$A$140&gt;35,CT56+CS57-DB56,IF(A57&lt;'Données projet'!$A$140,$CQ$205^A57,IF(A57='Données projet'!$A$140,'Données projet'!$B$140,CT56+CS57-DB56)))</f>
        <v>866</v>
      </c>
      <c r="CU57" s="18">
        <f>CT57*VLOOKUP('Données projet'!$B$13,Paramètres!$A$1:$I$88,3,0)*VLOOKUP('Données projet'!$B$13,Paramètres!$A$1:$I$88,5,0)</f>
        <v>382.77199999999999</v>
      </c>
      <c r="CV57" s="14">
        <f t="shared" si="41"/>
        <v>88.275053908372115</v>
      </c>
      <c r="CW57" s="22">
        <f t="shared" si="13"/>
        <v>820.40695222374814</v>
      </c>
      <c r="CX57" s="62">
        <f t="shared" si="14"/>
        <v>1078.1113248910874</v>
      </c>
      <c r="CY57" s="62">
        <f ca="1">AVERAGE(OFFSET($CX$3,0,0,'Données projet'!$E$13+1,1))-AVERAGE(OFFSET($H$3,0,0,'Données projet'!$E$13+1,1))</f>
        <v>582.26951914082088</v>
      </c>
      <c r="CZ57" s="62">
        <f t="shared" si="42"/>
        <v>434.80429932654715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34.422168663726026</v>
      </c>
      <c r="DG57" s="23">
        <f>EXP(-LN(2)/25)*DG56+(1-EXP(-LN(2)/25))/(LN(2)/25)*Calculateur!DB57*Calculateur!DD57*VLOOKUP('Données projet'!$B$13,Paramètres!$A$1:$I$88,3,0)*0.475*44/12</f>
        <v>77.532610089929562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111.95477875365559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19</v>
      </c>
      <c r="DO57" s="13">
        <f>IF('Données projet'!$A$166&gt;35,DO56+DN57-DW56,IF(A57&lt;'Données projet'!$A$166,$DL$205^A57,IF(A57='Données projet'!$A$166,'Données projet'!$B$166,DO56+DN57-DW56)))</f>
        <v>395.99999999999966</v>
      </c>
      <c r="DP57" s="18">
        <f>DO57*VLOOKUP('Données projet'!$B$14,Paramètres!$A$1:$I$88,3,0)*VLOOKUP('Données projet'!$B$14,Paramètres!$A$1:$I$88,5,0)</f>
        <v>190.47599999999983</v>
      </c>
      <c r="DQ57" s="14">
        <f t="shared" si="43"/>
        <v>47.645174362968312</v>
      </c>
      <c r="DR57" s="22">
        <f t="shared" si="16"/>
        <v>414.72771201550285</v>
      </c>
      <c r="DS57" s="62">
        <f t="shared" si="17"/>
        <v>672.43208468284217</v>
      </c>
      <c r="DT57" s="62">
        <f ca="1">AVERAGE(OFFSET($DS$3,0,0,'Données projet'!$E$14+1,1))-AVERAGE(OFFSET($H$3,0,0,'Données projet'!$E$14+1,1))</f>
        <v>273.24375559399846</v>
      </c>
      <c r="DU57" s="62">
        <f t="shared" si="44"/>
        <v>270.77718895097848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projet'!$B$14,Paramètres!$A$1:$I$88,3,0)*0.475*44/12</f>
        <v>26.046938231925807</v>
      </c>
      <c r="EB57" s="23">
        <f>EXP(-LN(2)/25)*EB56+(1-EXP(-LN(2)/25))/(LN(2)/25)*Calculateur!DW57*Calculateur!DY57*VLOOKUP('Données projet'!$B$14,Paramètres!$A$1:$I$88,3,0)*0.475*44/12</f>
        <v>48.27501102655571</v>
      </c>
      <c r="EC57" s="23">
        <f>EXP(-LN(2)/2)*EC56+(1-EXP(-LN(2)/2))/(LN(2)/2)*DW57*DZ57*VLOOKUP('Données projet'!$B$14,Paramètres!$A$1:$I$88,3,0)*0.475*44/12</f>
        <v>0</v>
      </c>
      <c r="ED57" s="24">
        <f t="shared" si="18"/>
        <v>74.32194925848151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19</v>
      </c>
      <c r="EJ57" s="13">
        <f>IF('Données projet'!$A$192&gt;35,EJ56+EI57-ER56,IF(A57&lt;'Données projet'!$A$192,$EG$205^A57,IF(A57='Données projet'!$A$192,'Données projet'!$B$192,EJ56+EI57-ER56)))</f>
        <v>395.99999999999966</v>
      </c>
      <c r="EK57" s="18">
        <f>EJ57*VLOOKUP('Données projet'!$B$15,Paramètres!$A$1:$I$88,3,0)*VLOOKUP('Données projet'!$B$15,Paramètres!$A$1:$I$88,5,0)</f>
        <v>185.32799999999983</v>
      </c>
      <c r="EL57" s="14">
        <f t="shared" si="45"/>
        <v>46.505548070897582</v>
      </c>
      <c r="EM57" s="22">
        <f t="shared" si="19"/>
        <v>403.7767628901463</v>
      </c>
      <c r="EN57" s="62">
        <f t="shared" si="20"/>
        <v>661.48113555748569</v>
      </c>
      <c r="EO57" s="62">
        <f ca="1">AVERAGE(OFFSET($EN$3,0,0,'Données projet'!$E$15+1,1))-AVERAGE(OFFSET($H$3,0,0,'Données projet'!$E$15+1,1))</f>
        <v>267.26203506406682</v>
      </c>
      <c r="EP57" s="62">
        <f t="shared" si="46"/>
        <v>265.10857635664843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projet'!$B$15,Paramètres!$A$1:$I$88,3,0)*0.475*44/12</f>
        <v>25.342966928360241</v>
      </c>
      <c r="EW57" s="23">
        <f>EXP(-LN(2)/25)*EW56+(1-EXP(-LN(2)/25))/(LN(2)/25)*Calculateur!ER57*Calculateur!ET57*VLOOKUP('Données projet'!$B$15,Paramètres!$A$1:$I$88,3,0)*0.475*44/12</f>
        <v>46.970280998810956</v>
      </c>
      <c r="EX57" s="23">
        <f>EXP(-LN(2)/2)*EX56+(1-EXP(-LN(2)/2))/(LN(2)/2)*ER57*EU57*VLOOKUP('Données projet'!$B$15,Paramètres!$A$1:$I$88,3,0)*0.475*44/12</f>
        <v>0</v>
      </c>
      <c r="EY57" s="24">
        <f t="shared" si="21"/>
        <v>72.313247927171204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231</v>
      </c>
      <c r="FF57" s="18">
        <f>FE57*VLOOKUP('Données projet'!$B$16,Paramètres!$A$1:$I$88,3,0)*VLOOKUP('Données projet'!$B$16,Paramètres!$A$1:$I$88,5,0)</f>
        <v>169.36920000000001</v>
      </c>
      <c r="FG57" s="14">
        <f t="shared" si="47"/>
        <v>42.948714817158674</v>
      </c>
      <c r="FH57" s="22">
        <f t="shared" si="22"/>
        <v>369.787034973218</v>
      </c>
      <c r="FI57" s="62">
        <f t="shared" si="23"/>
        <v>627.49140764055733</v>
      </c>
      <c r="FJ57" s="62">
        <f ca="1">AVERAGE(OFFSET($FI$3,0,0,'Données projet'!$E$16+1,1))-AVERAGE(OFFSET($H$3,0,0,'Données projet'!$E$16+1,1))</f>
        <v>207.66160354686221</v>
      </c>
      <c r="FK57" s="62">
        <f t="shared" si="48"/>
        <v>260.45879589483525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projet'!$B$16,Paramètres!$A$1:$I$88,3,0)*0.475*44/12</f>
        <v>3.2185259625515075</v>
      </c>
      <c r="FR57" s="23">
        <f>EXP(-LN(2)/25)*FR56+(1-EXP(-LN(2)/25))/(LN(2)/25)*Calculateur!FM57*Calculateur!FO57*VLOOKUP('Données projet'!$B$16,Paramètres!$A$1:$I$88,3,0)*0.475*44/12</f>
        <v>0</v>
      </c>
      <c r="FS57" s="23">
        <f>EXP(-LN(2)/2)*FS56+(1-EXP(-LN(2)/2))/(LN(2)/2)*FM57*FP57*VLOOKUP('Données projet'!$B$16,Paramètres!$A$1:$I$88,3,0)*0.475*44/12</f>
        <v>0</v>
      </c>
      <c r="FT57" s="24">
        <f t="shared" si="24"/>
        <v>3.2185259625515075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projet'!$B$9,Paramètres!$A$1:$I$88,3,0)*VLOOKUP('Données projet'!$B$9,Paramètres!$A$1:$I$88,5,0)</f>
        <v>-1.2710188457276673E-13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378.13552372917843</v>
      </c>
      <c r="T58" s="62">
        <f t="shared" si="34"/>
        <v>528.97123645404952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243.51100274822267</v>
      </c>
      <c r="AA58" s="23">
        <f>EXP(-LN(2)/25)*AA57+(1-EXP(-LN(2)/25))/(LN(2)/25)*Calculateur!V58*Calculateur!X58*VLOOKUP('Données projet'!$B$9,Paramètres!$A$1:$I$88,3,0)*0.475*44/12</f>
        <v>125.95833957928386</v>
      </c>
      <c r="AB58" s="23">
        <f>EXP(-LN(2)/2)*AB57+(1-EXP(-LN(2)/2))/(LN(2)/2)*V58*Y58*VLOOKUP('Données projet'!$B$9,Paramètres!$A$1:$I$88,3,0)*0.475*44/12</f>
        <v>0</v>
      </c>
      <c r="AC58" s="24">
        <f t="shared" si="3"/>
        <v>369.46934232750652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8.5</v>
      </c>
      <c r="AI58" s="14">
        <f>IF('Données projet'!$A$62&gt;35,AI57+AH58-AQ57,IF(A58&lt;'Données projet'!$A$62,$AF$205^A58,IF(A58='Données projet'!$A$62,'Données projet'!$B$62,AI57+AH58-AQ57)))</f>
        <v>167</v>
      </c>
      <c r="AJ58" s="14">
        <f>AI58*VLOOKUP('Données projet'!$B$10,Paramètres!$A$1:$I$88,3,0)*VLOOKUP('Données projet'!$B$10,Paramètres!$A$1:$I$88,5,0)</f>
        <v>151.10159999999999</v>
      </c>
      <c r="AK58" s="14">
        <f t="shared" si="35"/>
        <v>38.82882146347977</v>
      </c>
      <c r="AL58" s="22">
        <f t="shared" si="4"/>
        <v>330.79548404889391</v>
      </c>
      <c r="AM58" s="62">
        <f t="shared" si="5"/>
        <v>589.11793952936523</v>
      </c>
      <c r="AN58" s="62">
        <f ca="1">AVERAGE(OFFSET($AM$3,0,0,'Données projet'!$E$10+1,1))-AVERAGE(OFFSET($H$3,0,0,'Données projet'!$E$10+1,1))</f>
        <v>536.3707066106856</v>
      </c>
      <c r="AO58" s="62">
        <f t="shared" si="36"/>
        <v>217.6280015974086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6.8558643165147402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6.8558643165147402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3.6125000000000043</v>
      </c>
      <c r="BD58" s="13">
        <f>IF('Données projet'!$A$88&gt;35,BD57+BC58-BL57,IF(A58&lt;'Données projet'!$A$88,$BA$205^A58,IF(A58='Données projet'!$A$88,'Données projet'!$B$88,BD57+BC58-BL57)))</f>
        <v>283.51249999999993</v>
      </c>
      <c r="BE58" s="14">
        <f>BD58*VLOOKUP('Données projet'!$B$11,Paramètres!$A$1:$I$88,3,0)*VLOOKUP('Données projet'!$B$11,Paramètres!$A$1:$I$88,5,0)</f>
        <v>169.54047499999999</v>
      </c>
      <c r="BF58" s="14">
        <f t="shared" si="37"/>
        <v>42.987089064316692</v>
      </c>
      <c r="BG58" s="22">
        <f t="shared" si="7"/>
        <v>370.15217407868482</v>
      </c>
      <c r="BH58" s="62">
        <f t="shared" si="8"/>
        <v>628.47462955915626</v>
      </c>
      <c r="BI58" s="62">
        <f ca="1">AVERAGE(OFFSET($BH$3,0,0,'Données projet'!$E$11+1,1))-AVERAGE(OFFSET($H$3,0,0,'Données projet'!$E$11+1,1))</f>
        <v>248.66193174773525</v>
      </c>
      <c r="BJ58" s="62">
        <f t="shared" si="38"/>
        <v>249.61655682981151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21.302658158204284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3.567118829770759</v>
      </c>
      <c r="BS58" s="24">
        <f t="shared" si="9"/>
        <v>24.869776987975044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678</v>
      </c>
      <c r="BW58" s="13">
        <f>VLOOKUP(A58,'Données projet'!$A$113:$I$133,9,0)</f>
        <v>27.8</v>
      </c>
      <c r="BX58" s="13">
        <f t="array" ref="BX58">INDEX(BW:BW,MIN(IF(ISNUMBER(BW58:BW254),ROW(BW58:BW254),"")))</f>
        <v>27.8</v>
      </c>
      <c r="BY58" s="13">
        <f>IF('Données projet'!$A$114&gt;35,BY57+BX58-CG57,IF(A58&lt;'Données projet'!$A$114,$BV$205^A58,IF(A58='Données projet'!$A$114,'Données projet'!$B$114,BY57+BX58-CG57)))</f>
        <v>677.99999999999955</v>
      </c>
      <c r="BZ58" s="14">
        <f>BY58*VLOOKUP('Données projet'!$B$12,Paramètres!$A$1:$I$88,3,0)*VLOOKUP('Données projet'!$B$12,Paramètres!$A$1:$I$88,5,0)</f>
        <v>273.23399999999981</v>
      </c>
      <c r="CA58" s="14">
        <f t="shared" si="39"/>
        <v>65.535129378020358</v>
      </c>
      <c r="CB58" s="22">
        <f t="shared" si="10"/>
        <v>590.02290033338511</v>
      </c>
      <c r="CC58" s="62">
        <f t="shared" si="11"/>
        <v>848.34535581385649</v>
      </c>
      <c r="CD58" s="62">
        <f ca="1">AVERAGE(OFFSET($CC$3,0,0,'Données projet'!$E$12+1,1))-AVERAGE(OFFSET($H$3,0,0,'Données projet'!$E$12+1,1))</f>
        <v>432.59662347701629</v>
      </c>
      <c r="CE58" s="62">
        <f t="shared" si="40"/>
        <v>348.67401091099748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70</v>
      </c>
      <c r="CH58" s="17">
        <f>IF(ISNA(VLOOKUP(A58,'Données projet'!$A$113:$I$133,5,0)),0%,VLOOKUP(A58,'Données projet'!$A$113:$I$133,5,0)*VLOOKUP('Données projet'!$B$12,Paramètres!$A$1:$I$88,7,0))</f>
        <v>0.22000000000000003</v>
      </c>
      <c r="CI58" s="17">
        <f>IF(ISNA(VLOOKUP(A58,'Données projet'!$A$113:$I$133,6,0)),0%,VLOOKUP(A58,'Données projet'!$A$113:$I$133,6,0)*VLOOKUP('Données projet'!$B$12,Paramètres!$A$1:$I$88,7,0))</f>
        <v>0.33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36.150900724353505</v>
      </c>
      <c r="CL58" s="23">
        <f>EXP(-LN(2)/25)*CL57+(1-EXP(-LN(2)/25))/(LN(2)/25)*Calculateur!CG58*Calculateur!CI58*VLOOKUP('Données projet'!$B$12,Paramètres!$A$1:$I$88,3,0)*0.475*44/12</f>
        <v>87.320685106440777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123.47158583079428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897</v>
      </c>
      <c r="CR58" s="13">
        <f>VLOOKUP(A58,'Données projet'!$A$139:$I$159,9,0)</f>
        <v>31</v>
      </c>
      <c r="CS58" s="13">
        <f t="array" ref="CS58">INDEX(CR:CR,MIN(IF(ISNUMBER(CR58:CR254),ROW(CR58:CR254),"")))</f>
        <v>31</v>
      </c>
      <c r="CT58" s="13">
        <f>IF('Données projet'!$A$140&gt;35,CT57+CS58-DB57,IF(A58&lt;'Données projet'!$A$140,$CQ$205^A58,IF(A58='Données projet'!$A$140,'Données projet'!$B$140,CT57+CS58-DB57)))</f>
        <v>897</v>
      </c>
      <c r="CU58" s="18">
        <f>CT58*VLOOKUP('Données projet'!$B$13,Paramètres!$A$1:$I$88,3,0)*VLOOKUP('Données projet'!$B$13,Paramètres!$A$1:$I$88,5,0)</f>
        <v>396.47400000000005</v>
      </c>
      <c r="CV58" s="14">
        <f t="shared" si="41"/>
        <v>91.061454886690214</v>
      </c>
      <c r="CW58" s="22">
        <f t="shared" si="13"/>
        <v>849.12425059431882</v>
      </c>
      <c r="CX58" s="62">
        <f t="shared" si="14"/>
        <v>1107.4467060747902</v>
      </c>
      <c r="CY58" s="62">
        <f ca="1">AVERAGE(OFFSET($CX$3,0,0,'Données projet'!$E$13+1,1))-AVERAGE(OFFSET($H$3,0,0,'Données projet'!$E$13+1,1))</f>
        <v>582.26951914082088</v>
      </c>
      <c r="CZ58" s="62">
        <f t="shared" si="42"/>
        <v>434.80429932654715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62</v>
      </c>
      <c r="DC58" s="17">
        <f>IF(ISNA(VLOOKUP(A58,'Données projet'!$A$139:$I$159,5,0)),0%,VLOOKUP(A58,'Données projet'!$A$139:$I$159,5,0)*VLOOKUP('Données projet'!$B$13,Paramètres!$A$1:$I$88,7,0))</f>
        <v>0.30250000000000005</v>
      </c>
      <c r="DD58" s="17">
        <f>IF(ISNA(VLOOKUP(A58,'Données projet'!$A$139:$I$159,6,0)),0%,VLOOKUP(A58,'Données projet'!$A$139:$I$159,6,0)*VLOOKUP('Données projet'!$B$13,Paramètres!$A$1:$I$88,7,0))</f>
        <v>0.24750000000000003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44.74400556358183</v>
      </c>
      <c r="DG58" s="23">
        <f>EXP(-LN(2)/25)*DG57+(1-EXP(-LN(2)/25))/(LN(2)/25)*Calculateur!DB58*Calculateur!DD58*VLOOKUP('Données projet'!$B$13,Paramètres!$A$1:$I$88,3,0)*0.475*44/12</f>
        <v>84.374460711075926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129.11846627465775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415</v>
      </c>
      <c r="DM58" s="13">
        <f>VLOOKUP(A58,'Données projet'!$A$165:$I$185,9,0)</f>
        <v>19</v>
      </c>
      <c r="DN58" s="13">
        <f t="array" ref="DN58">INDEX(DM:DM,MIN(IF(ISNUMBER(DM58:DM254),ROW(DM58:DM254),"")))</f>
        <v>19</v>
      </c>
      <c r="DO58" s="13">
        <f>IF('Données projet'!$A$166&gt;35,DO57+DN58-DW57,IF(A58&lt;'Données projet'!$A$166,$DL$205^A58,IF(A58='Données projet'!$A$166,'Données projet'!$B$166,DO57+DN58-DW57)))</f>
        <v>414.99999999999966</v>
      </c>
      <c r="DP58" s="18">
        <f>DO58*VLOOKUP('Données projet'!$B$14,Paramètres!$A$1:$I$88,3,0)*VLOOKUP('Données projet'!$B$14,Paramètres!$A$1:$I$88,5,0)</f>
        <v>199.61499999999984</v>
      </c>
      <c r="DQ58" s="14">
        <f t="shared" si="43"/>
        <v>49.65954689194411</v>
      </c>
      <c r="DR58" s="22">
        <f t="shared" si="16"/>
        <v>434.1531691701357</v>
      </c>
      <c r="DS58" s="62">
        <f t="shared" si="17"/>
        <v>692.47562465060707</v>
      </c>
      <c r="DT58" s="62">
        <f ca="1">AVERAGE(OFFSET($DS$3,0,0,'Données projet'!$E$14+1,1))-AVERAGE(OFFSET($H$3,0,0,'Données projet'!$E$14+1,1))</f>
        <v>273.24375559399846</v>
      </c>
      <c r="DU58" s="62">
        <f t="shared" si="44"/>
        <v>270.77718895097848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48</v>
      </c>
      <c r="DX58" s="17">
        <f>IF(ISNA(VLOOKUP(A58,'Données projet'!$A$165:$I$185,5,0)),0%,VLOOKUP(A58,'Données projet'!$A$165:$I$185,5,0)*VLOOKUP('Données projet'!$B$14,Paramètres!$A$1:$I$88,7,0))</f>
        <v>0.30250000000000005</v>
      </c>
      <c r="DY58" s="17">
        <f>IF(ISNA(VLOOKUP(A58,'Données projet'!$A$165:$I$185,6,0)),0%,VLOOKUP(A58,'Données projet'!$A$165:$I$185,6,0)*VLOOKUP('Données projet'!$B$14,Paramètres!$A$1:$I$88,7,0))</f>
        <v>0.24750000000000003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projet'!$B$14,Paramètres!$A$1:$I$88,3,0)*0.475*44/12</f>
        <v>34.801059004785749</v>
      </c>
      <c r="EB58" s="23">
        <f>EXP(-LN(2)/25)*EB57+(1-EXP(-LN(2)/25))/(LN(2)/25)*Calculateur!DW58*Calculateur!DY58*VLOOKUP('Données projet'!$B$14,Paramètres!$A$1:$I$88,3,0)*0.475*44/12</f>
        <v>54.5054422792279</v>
      </c>
      <c r="EC58" s="23">
        <f>EXP(-LN(2)/2)*EC57+(1-EXP(-LN(2)/2))/(LN(2)/2)*DW58*DZ58*VLOOKUP('Données projet'!$B$14,Paramètres!$A$1:$I$88,3,0)*0.475*44/12</f>
        <v>0</v>
      </c>
      <c r="ED58" s="24">
        <f t="shared" si="18"/>
        <v>89.306501284013649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415</v>
      </c>
      <c r="EH58" s="13">
        <f>VLOOKUP(A58,'Données projet'!$A$191:$I$211,9,0)</f>
        <v>19</v>
      </c>
      <c r="EI58" s="13">
        <f t="array" ref="EI58">INDEX(EH:EH,MIN(IF(ISNUMBER(EH58:EH254),ROW(EH58:EH254),"")))</f>
        <v>19</v>
      </c>
      <c r="EJ58" s="13">
        <f>IF('Données projet'!$A$192&gt;35,EJ57+EI58-ER57,IF(A58&lt;'Données projet'!$A$192,$EG$205^A58,IF(A58='Données projet'!$A$192,'Données projet'!$B$192,EJ57+EI58-ER57)))</f>
        <v>414.99999999999966</v>
      </c>
      <c r="EK58" s="18">
        <f>EJ58*VLOOKUP('Données projet'!$B$15,Paramètres!$A$1:$I$88,3,0)*VLOOKUP('Données projet'!$B$15,Paramètres!$A$1:$I$88,5,0)</f>
        <v>194.21999999999983</v>
      </c>
      <c r="EL58" s="14">
        <f t="shared" si="45"/>
        <v>48.471738765579786</v>
      </c>
      <c r="EM58" s="22">
        <f t="shared" si="19"/>
        <v>422.68811168338442</v>
      </c>
      <c r="EN58" s="62">
        <f t="shared" si="20"/>
        <v>681.01056716385574</v>
      </c>
      <c r="EO58" s="62">
        <f ca="1">AVERAGE(OFFSET($EN$3,0,0,'Données projet'!$E$15+1,1))-AVERAGE(OFFSET($H$3,0,0,'Données projet'!$E$15+1,1))</f>
        <v>267.26203506406682</v>
      </c>
      <c r="EP58" s="62">
        <f t="shared" si="46"/>
        <v>265.10857635664843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48</v>
      </c>
      <c r="ES58" s="17">
        <f>IF(ISNA(VLOOKUP(A58,'Données projet'!$A$191:$I$211,5,0)),0%,VLOOKUP(A58,'Données projet'!$A$191:$I$211,5,0)*VLOOKUP('Données projet'!$B$15,Paramètres!$A$1:$I$88,7,0))</f>
        <v>0.30250000000000005</v>
      </c>
      <c r="ET58" s="17">
        <f>IF(ISNA(VLOOKUP(A58,'Données projet'!$A$191:$I$211,6,0)),0%,VLOOKUP(A58,'Données projet'!$A$191:$I$211,6,0)*VLOOKUP('Données projet'!$B$15,Paramètres!$A$1:$I$88,7,0))</f>
        <v>0.24750000000000003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projet'!$B$15,Paramètres!$A$1:$I$88,3,0)*0.475*44/12</f>
        <v>33.860489842494239</v>
      </c>
      <c r="EW58" s="23">
        <f>EXP(-LN(2)/25)*EW57+(1-EXP(-LN(2)/25))/(LN(2)/25)*Calculateur!ER58*Calculateur!ET58*VLOOKUP('Données projet'!$B$15,Paramètres!$A$1:$I$88,3,0)*0.475*44/12</f>
        <v>53.032322217627147</v>
      </c>
      <c r="EX58" s="23">
        <f>EXP(-LN(2)/2)*EX57+(1-EXP(-LN(2)/2))/(LN(2)/2)*ER58*EU58*VLOOKUP('Données projet'!$B$15,Paramètres!$A$1:$I$88,3,0)*0.475*44/12</f>
        <v>0</v>
      </c>
      <c r="EY58" s="24">
        <f t="shared" si="21"/>
        <v>86.892812060121386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231</v>
      </c>
      <c r="FF58" s="18">
        <f>FE58*VLOOKUP('Données projet'!$B$16,Paramètres!$A$1:$I$88,3,0)*VLOOKUP('Données projet'!$B$16,Paramètres!$A$1:$I$88,5,0)</f>
        <v>169.36920000000001</v>
      </c>
      <c r="FG58" s="14">
        <f t="shared" si="47"/>
        <v>42.948714817158674</v>
      </c>
      <c r="FH58" s="22">
        <f t="shared" si="22"/>
        <v>369.787034973218</v>
      </c>
      <c r="FI58" s="62">
        <f t="shared" si="23"/>
        <v>628.10949045368943</v>
      </c>
      <c r="FJ58" s="62">
        <f ca="1">AVERAGE(OFFSET($FI$3,0,0,'Données projet'!$E$16+1,1))-AVERAGE(OFFSET($H$3,0,0,'Données projet'!$E$16+1,1))</f>
        <v>207.66160354686221</v>
      </c>
      <c r="FK58" s="62">
        <f t="shared" si="48"/>
        <v>260.45879589483525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projet'!$B$16,Paramètres!$A$1:$I$88,3,0)*0.475*44/12</f>
        <v>3.1554126315328688</v>
      </c>
      <c r="FR58" s="23">
        <f>EXP(-LN(2)/25)*FR57+(1-EXP(-LN(2)/25))/(LN(2)/25)*Calculateur!FM58*Calculateur!FO58*VLOOKUP('Données projet'!$B$16,Paramètres!$A$1:$I$88,3,0)*0.475*44/12</f>
        <v>0</v>
      </c>
      <c r="FS58" s="23">
        <f>EXP(-LN(2)/2)*FS57+(1-EXP(-LN(2)/2))/(LN(2)/2)*FM58*FP58*VLOOKUP('Données projet'!$B$16,Paramètres!$A$1:$I$88,3,0)*0.475*44/12</f>
        <v>0</v>
      </c>
      <c r="FT58" s="24">
        <f t="shared" si="24"/>
        <v>3.1554126315328688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projet'!$B$9,Paramètres!$A$1:$I$88,3,0)*VLOOKUP('Données projet'!$B$9,Paramètres!$A$1:$I$88,5,0)</f>
        <v>-1.2710188457276673E-13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378.13552372917843</v>
      </c>
      <c r="T59" s="62">
        <f t="shared" si="34"/>
        <v>528.97123645404952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238.73590051137586</v>
      </c>
      <c r="AA59" s="23">
        <f>EXP(-LN(2)/25)*AA58+(1-EXP(-LN(2)/25))/(LN(2)/25)*Calculateur!V59*Calculateur!X59*VLOOKUP('Données projet'!$B$9,Paramètres!$A$1:$I$88,3,0)*0.475*44/12</f>
        <v>122.51400215962714</v>
      </c>
      <c r="AB59" s="23">
        <f>EXP(-LN(2)/2)*AB58+(1-EXP(-LN(2)/2))/(LN(2)/2)*V59*Y59*VLOOKUP('Données projet'!$B$9,Paramètres!$A$1:$I$88,3,0)*0.475*44/12</f>
        <v>0</v>
      </c>
      <c r="AC59" s="24">
        <f t="shared" si="3"/>
        <v>361.24990267100299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8.5</v>
      </c>
      <c r="AI59" s="14">
        <f>IF('Données projet'!$A$62&gt;35,AI58+AH59-AQ58,IF(A59&lt;'Données projet'!$A$62,$AF$205^A59,IF(A59='Données projet'!$A$62,'Données projet'!$B$62,AI58+AH59-AQ58)))</f>
        <v>175.5</v>
      </c>
      <c r="AJ59" s="14">
        <f>AI59*VLOOKUP('Données projet'!$B$10,Paramètres!$A$1:$I$88,3,0)*VLOOKUP('Données projet'!$B$10,Paramètres!$A$1:$I$88,5,0)</f>
        <v>158.79239999999999</v>
      </c>
      <c r="AK59" s="14">
        <f t="shared" si="35"/>
        <v>40.570017872698244</v>
      </c>
      <c r="AL59" s="22">
        <f t="shared" si="4"/>
        <v>347.2228777949494</v>
      </c>
      <c r="AM59" s="62">
        <f t="shared" si="5"/>
        <v>606.15269373357114</v>
      </c>
      <c r="AN59" s="62">
        <f ca="1">AVERAGE(OFFSET($AM$3,0,0,'Données projet'!$E$10+1,1))-AVERAGE(OFFSET($H$3,0,0,'Données projet'!$E$10+1,1))</f>
        <v>536.3707066106856</v>
      </c>
      <c r="AO59" s="62">
        <f t="shared" si="36"/>
        <v>217.6280015974086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6.7214249989322141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6.7214249989322141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3.6125000000000043</v>
      </c>
      <c r="BD59" s="13">
        <f>IF('Données projet'!$A$88&gt;35,BD58+BC59-BL58,IF(A59&lt;'Données projet'!$A$88,$BA$205^A59,IF(A59='Données projet'!$A$88,'Données projet'!$B$88,BD58+BC59-BL58)))</f>
        <v>287.12499999999994</v>
      </c>
      <c r="BE59" s="14">
        <f>BD59*VLOOKUP('Données projet'!$B$11,Paramètres!$A$1:$I$88,3,0)*VLOOKUP('Données projet'!$B$11,Paramètres!$A$1:$I$88,5,0)</f>
        <v>171.70075</v>
      </c>
      <c r="BF59" s="14">
        <f t="shared" si="37"/>
        <v>43.470714041878111</v>
      </c>
      <c r="BG59" s="22">
        <f t="shared" si="7"/>
        <v>374.75696653960432</v>
      </c>
      <c r="BH59" s="62">
        <f t="shared" si="8"/>
        <v>633.68678247822606</v>
      </c>
      <c r="BI59" s="62">
        <f ca="1">AVERAGE(OFFSET($BH$3,0,0,'Données projet'!$E$11+1,1))-AVERAGE(OFFSET($H$3,0,0,'Données projet'!$E$11+1,1))</f>
        <v>248.66193174773525</v>
      </c>
      <c r="BJ59" s="62">
        <f t="shared" si="38"/>
        <v>249.61655682981151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20.884926025060388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2.5223339138291259</v>
      </c>
      <c r="BS59" s="24">
        <f t="shared" si="9"/>
        <v>23.407259938889514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25.2</v>
      </c>
      <c r="BY59" s="13">
        <f>IF('Données projet'!$A$114&gt;35,BY58+BX59-CG58,IF(A59&lt;'Données projet'!$A$114,$BV$205^A59,IF(A59='Données projet'!$A$114,'Données projet'!$B$114,BY58+BX59-CG58)))</f>
        <v>633.19999999999959</v>
      </c>
      <c r="BZ59" s="14">
        <f>BY59*VLOOKUP('Données projet'!$B$12,Paramètres!$A$1:$I$88,3,0)*VLOOKUP('Données projet'!$B$12,Paramètres!$A$1:$I$88,5,0)</f>
        <v>255.17959999999982</v>
      </c>
      <c r="CA59" s="14">
        <f t="shared" si="39"/>
        <v>61.693747030696557</v>
      </c>
      <c r="CB59" s="22">
        <f t="shared" si="10"/>
        <v>551.8877460784629</v>
      </c>
      <c r="CC59" s="62">
        <f t="shared" si="11"/>
        <v>810.81756201708458</v>
      </c>
      <c r="CD59" s="62">
        <f ca="1">AVERAGE(OFFSET($CC$3,0,0,'Données projet'!$E$12+1,1))-AVERAGE(OFFSET($H$3,0,0,'Données projet'!$E$12+1,1))</f>
        <v>432.59662347701629</v>
      </c>
      <c r="CE59" s="62">
        <f t="shared" si="40"/>
        <v>348.67401091099748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35.442003611021129</v>
      </c>
      <c r="CL59" s="23">
        <f>EXP(-LN(2)/25)*CL58+(1-EXP(-LN(2)/25))/(LN(2)/25)*Calculateur!CG59*Calculateur!CI59*VLOOKUP('Données projet'!$B$12,Paramètres!$A$1:$I$88,3,0)*0.475*44/12</f>
        <v>84.932896380209897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120.37489999123102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26.6</v>
      </c>
      <c r="CT59" s="13">
        <f>IF('Données projet'!$A$140&gt;35,CT58+CS59-DB58,IF(A59&lt;'Données projet'!$A$140,$CQ$205^A59,IF(A59='Données projet'!$A$140,'Données projet'!$B$140,CT58+CS59-DB58)))</f>
        <v>861.6</v>
      </c>
      <c r="CU59" s="18">
        <f>CT59*VLOOKUP('Données projet'!$B$13,Paramètres!$A$1:$I$88,3,0)*VLOOKUP('Données projet'!$B$13,Paramètres!$A$1:$I$88,5,0)</f>
        <v>380.82720000000006</v>
      </c>
      <c r="CV59" s="14">
        <f t="shared" si="41"/>
        <v>87.878632472433651</v>
      </c>
      <c r="CW59" s="22">
        <f t="shared" si="13"/>
        <v>816.3293248894887</v>
      </c>
      <c r="CX59" s="62">
        <f t="shared" si="14"/>
        <v>1075.2591408281105</v>
      </c>
      <c r="CY59" s="62">
        <f ca="1">AVERAGE(OFFSET($CX$3,0,0,'Données projet'!$E$13+1,1))-AVERAGE(OFFSET($H$3,0,0,'Données projet'!$E$13+1,1))</f>
        <v>582.26951914082088</v>
      </c>
      <c r="CZ59" s="62">
        <f t="shared" si="42"/>
        <v>434.80429932654715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43.866602905628604</v>
      </c>
      <c r="DG59" s="23">
        <f>EXP(-LN(2)/25)*DG58+(1-EXP(-LN(2)/25))/(LN(2)/25)*Calculateur!DB59*Calculateur!DD59*VLOOKUP('Données projet'!$B$13,Paramètres!$A$1:$I$88,3,0)*0.475*44/12</f>
        <v>82.067236645871503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125.93383955150011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20.2</v>
      </c>
      <c r="DO59" s="13">
        <f>IF('Données projet'!$A$166&gt;35,DO58+DN59-DW58,IF(A59&lt;'Données projet'!$A$166,$DL$205^A59,IF(A59='Données projet'!$A$166,'Données projet'!$B$166,DO58+DN59-DW58)))</f>
        <v>387.19999999999965</v>
      </c>
      <c r="DP59" s="18">
        <f>DO59*VLOOKUP('Données projet'!$B$14,Paramètres!$A$1:$I$88,3,0)*VLOOKUP('Données projet'!$B$14,Paramètres!$A$1:$I$88,5,0)</f>
        <v>186.24319999999983</v>
      </c>
      <c r="DQ59" s="14">
        <f t="shared" si="43"/>
        <v>46.708414805171451</v>
      </c>
      <c r="DR59" s="22">
        <f t="shared" si="16"/>
        <v>405.72406245233998</v>
      </c>
      <c r="DS59" s="62">
        <f t="shared" si="17"/>
        <v>664.65387839096172</v>
      </c>
      <c r="DT59" s="62">
        <f ca="1">AVERAGE(OFFSET($DS$3,0,0,'Données projet'!$E$14+1,1))-AVERAGE(OFFSET($H$3,0,0,'Données projet'!$E$14+1,1))</f>
        <v>273.24375559399846</v>
      </c>
      <c r="DU59" s="62">
        <f t="shared" si="44"/>
        <v>270.77718895097848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projet'!$B$14,Paramètres!$A$1:$I$88,3,0)*0.475*44/12</f>
        <v>34.118631464251948</v>
      </c>
      <c r="EB59" s="23">
        <f>EXP(-LN(2)/25)*EB58+(1-EXP(-LN(2)/25))/(LN(2)/25)*Calculateur!DW59*Calculateur!DY59*VLOOKUP('Données projet'!$B$14,Paramètres!$A$1:$I$88,3,0)*0.475*44/12</f>
        <v>53.014988093785774</v>
      </c>
      <c r="EC59" s="23">
        <f>EXP(-LN(2)/2)*EC58+(1-EXP(-LN(2)/2))/(LN(2)/2)*DW59*DZ59*VLOOKUP('Données projet'!$B$14,Paramètres!$A$1:$I$88,3,0)*0.475*44/12</f>
        <v>0</v>
      </c>
      <c r="ED59" s="24">
        <f t="shared" si="18"/>
        <v>87.133619558037722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20.2</v>
      </c>
      <c r="EJ59" s="13">
        <f>IF('Données projet'!$A$192&gt;35,EJ58+EI59-ER58,IF(A59&lt;'Données projet'!$A$192,$EG$205^A59,IF(A59='Données projet'!$A$192,'Données projet'!$B$192,EJ58+EI59-ER58)))</f>
        <v>387.19999999999965</v>
      </c>
      <c r="EK59" s="18">
        <f>EJ59*VLOOKUP('Données projet'!$B$15,Paramètres!$A$1:$I$88,3,0)*VLOOKUP('Données projet'!$B$15,Paramètres!$A$1:$I$88,5,0)</f>
        <v>181.20959999999982</v>
      </c>
      <c r="EL59" s="14">
        <f t="shared" si="45"/>
        <v>45.591194891830305</v>
      </c>
      <c r="EM59" s="22">
        <f t="shared" si="19"/>
        <v>395.01138443660415</v>
      </c>
      <c r="EN59" s="62">
        <f t="shared" si="20"/>
        <v>653.94120037522589</v>
      </c>
      <c r="EO59" s="62">
        <f ca="1">AVERAGE(OFFSET($EN$3,0,0,'Données projet'!$E$15+1,1))-AVERAGE(OFFSET($H$3,0,0,'Données projet'!$E$15+1,1))</f>
        <v>267.26203506406682</v>
      </c>
      <c r="EP59" s="62">
        <f t="shared" si="46"/>
        <v>265.10857635664843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projet'!$B$15,Paramètres!$A$1:$I$88,3,0)*0.475*44/12</f>
        <v>33.196506289542434</v>
      </c>
      <c r="EW59" s="23">
        <f>EXP(-LN(2)/25)*EW58+(1-EXP(-LN(2)/25))/(LN(2)/25)*Calculateur!ER59*Calculateur!ET59*VLOOKUP('Données projet'!$B$15,Paramètres!$A$1:$I$88,3,0)*0.475*44/12</f>
        <v>51.582150577737515</v>
      </c>
      <c r="EX59" s="23">
        <f>EXP(-LN(2)/2)*EX58+(1-EXP(-LN(2)/2))/(LN(2)/2)*ER59*EU59*VLOOKUP('Données projet'!$B$15,Paramètres!$A$1:$I$88,3,0)*0.475*44/12</f>
        <v>0</v>
      </c>
      <c r="EY59" s="24">
        <f t="shared" si="21"/>
        <v>84.778656867279949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231</v>
      </c>
      <c r="FF59" s="18">
        <f>FE59*VLOOKUP('Données projet'!$B$16,Paramètres!$A$1:$I$88,3,0)*VLOOKUP('Données projet'!$B$16,Paramètres!$A$1:$I$88,5,0)</f>
        <v>169.36920000000001</v>
      </c>
      <c r="FG59" s="14">
        <f t="shared" si="47"/>
        <v>42.948714817158674</v>
      </c>
      <c r="FH59" s="22">
        <f t="shared" si="22"/>
        <v>369.787034973218</v>
      </c>
      <c r="FI59" s="62">
        <f t="shared" si="23"/>
        <v>628.71685091183974</v>
      </c>
      <c r="FJ59" s="62">
        <f ca="1">AVERAGE(OFFSET($FI$3,0,0,'Données projet'!$E$16+1,1))-AVERAGE(OFFSET($H$3,0,0,'Données projet'!$E$16+1,1))</f>
        <v>207.66160354686221</v>
      </c>
      <c r="FK59" s="62">
        <f t="shared" si="48"/>
        <v>260.45879589483525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projet'!$B$16,Paramètres!$A$1:$I$88,3,0)*0.475*44/12</f>
        <v>3.093536914440175</v>
      </c>
      <c r="FR59" s="23">
        <f>EXP(-LN(2)/25)*FR58+(1-EXP(-LN(2)/25))/(LN(2)/25)*Calculateur!FM59*Calculateur!FO59*VLOOKUP('Données projet'!$B$16,Paramètres!$A$1:$I$88,3,0)*0.475*44/12</f>
        <v>0</v>
      </c>
      <c r="FS59" s="23">
        <f>EXP(-LN(2)/2)*FS58+(1-EXP(-LN(2)/2))/(LN(2)/2)*FM59*FP59*VLOOKUP('Données projet'!$B$16,Paramètres!$A$1:$I$88,3,0)*0.475*44/12</f>
        <v>0</v>
      </c>
      <c r="FT59" s="24">
        <f t="shared" si="24"/>
        <v>3.093536914440175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projet'!$B$9,Paramètres!$A$1:$I$88,3,0)*VLOOKUP('Données projet'!$B$9,Paramètres!$A$1:$I$88,5,0)</f>
        <v>-1.2710188457276673E-13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378.13552372917843</v>
      </c>
      <c r="T60" s="62">
        <f t="shared" si="34"/>
        <v>528.97123645404952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234.05443511686886</v>
      </c>
      <c r="AA60" s="23">
        <f>EXP(-LN(2)/25)*AA59+(1-EXP(-LN(2)/25))/(LN(2)/25)*Calculateur!V60*Calculateur!X60*VLOOKUP('Données projet'!$B$9,Paramètres!$A$1:$I$88,3,0)*0.475*44/12</f>
        <v>119.16385032784078</v>
      </c>
      <c r="AB60" s="23">
        <f>EXP(-LN(2)/2)*AB59+(1-EXP(-LN(2)/2))/(LN(2)/2)*V60*Y60*VLOOKUP('Données projet'!$B$9,Paramètres!$A$1:$I$88,3,0)*0.475*44/12</f>
        <v>0</v>
      </c>
      <c r="AC60" s="24">
        <f t="shared" si="3"/>
        <v>353.21828544470964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8.5</v>
      </c>
      <c r="AI60" s="14">
        <f>IF('Données projet'!$A$62&gt;35,AI59+AH60-AQ59,IF(A60&lt;'Données projet'!$A$62,$AF$205^A60,IF(A60='Données projet'!$A$62,'Données projet'!$B$62,AI59+AH60-AQ59)))</f>
        <v>184</v>
      </c>
      <c r="AJ60" s="14">
        <f>AI60*VLOOKUP('Données projet'!$B$10,Paramètres!$A$1:$I$88,3,0)*VLOOKUP('Données projet'!$B$10,Paramètres!$A$1:$I$88,5,0)</f>
        <v>166.48320000000001</v>
      </c>
      <c r="AK60" s="14">
        <f t="shared" si="35"/>
        <v>42.301421676867136</v>
      </c>
      <c r="AL60" s="22">
        <f t="shared" si="4"/>
        <v>363.63321608721026</v>
      </c>
      <c r="AM60" s="62">
        <f t="shared" si="5"/>
        <v>623.15985613788803</v>
      </c>
      <c r="AN60" s="62">
        <f ca="1">AVERAGE(OFFSET($AM$3,0,0,'Données projet'!$E$10+1,1))-AVERAGE(OFFSET($H$3,0,0,'Données projet'!$E$10+1,1))</f>
        <v>536.3707066106856</v>
      </c>
      <c r="AO60" s="62">
        <f t="shared" si="36"/>
        <v>217.6280015974086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6.5896219543675949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6.5896219543675949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3.6125000000000043</v>
      </c>
      <c r="BD60" s="13">
        <f>IF('Données projet'!$A$88&gt;35,BD59+BC60-BL59,IF(A60&lt;'Données projet'!$A$88,$BA$205^A60,IF(A60='Données projet'!$A$88,'Données projet'!$B$88,BD59+BC60-BL59)))</f>
        <v>290.73749999999995</v>
      </c>
      <c r="BE60" s="14">
        <f>BD60*VLOOKUP('Données projet'!$B$11,Paramètres!$A$1:$I$88,3,0)*VLOOKUP('Données projet'!$B$11,Paramètres!$A$1:$I$88,5,0)</f>
        <v>173.86102500000001</v>
      </c>
      <c r="BF60" s="14">
        <f t="shared" si="37"/>
        <v>43.953631248554615</v>
      </c>
      <c r="BG60" s="22">
        <f t="shared" si="7"/>
        <v>379.36052629956595</v>
      </c>
      <c r="BH60" s="62">
        <f t="shared" si="8"/>
        <v>638.88716635024366</v>
      </c>
      <c r="BI60" s="62">
        <f ca="1">AVERAGE(OFFSET($BH$3,0,0,'Données projet'!$E$11+1,1))-AVERAGE(OFFSET($H$3,0,0,'Données projet'!$E$11+1,1))</f>
        <v>248.66193174773525</v>
      </c>
      <c r="BJ60" s="62">
        <f t="shared" si="38"/>
        <v>249.61655682981151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20.475385364256002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1.7835594148853799</v>
      </c>
      <c r="BS60" s="24">
        <f t="shared" si="9"/>
        <v>22.258944779141384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25.2</v>
      </c>
      <c r="BY60" s="13">
        <f>IF('Données projet'!$A$114&gt;35,BY59+BX60-CG59,IF(A60&lt;'Données projet'!$A$114,$BV$205^A60,IF(A60='Données projet'!$A$114,'Données projet'!$B$114,BY59+BX60-CG59)))</f>
        <v>658.39999999999964</v>
      </c>
      <c r="BZ60" s="14">
        <f>BY60*VLOOKUP('Données projet'!$B$12,Paramètres!$A$1:$I$88,3,0)*VLOOKUP('Données projet'!$B$12,Paramètres!$A$1:$I$88,5,0)</f>
        <v>265.33519999999987</v>
      </c>
      <c r="CA60" s="14">
        <f t="shared" si="39"/>
        <v>63.858279080346882</v>
      </c>
      <c r="CB60" s="22">
        <f t="shared" si="10"/>
        <v>573.34530939827062</v>
      </c>
      <c r="CC60" s="62">
        <f t="shared" si="11"/>
        <v>832.87194944894827</v>
      </c>
      <c r="CD60" s="62">
        <f ca="1">AVERAGE(OFFSET($CC$3,0,0,'Données projet'!$E$12+1,1))-AVERAGE(OFFSET($H$3,0,0,'Données projet'!$E$12+1,1))</f>
        <v>432.59662347701629</v>
      </c>
      <c r="CE60" s="62">
        <f t="shared" si="40"/>
        <v>348.67401091099748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34.747007537696661</v>
      </c>
      <c r="CL60" s="23">
        <f>EXP(-LN(2)/25)*CL59+(1-EXP(-LN(2)/25))/(LN(2)/25)*Calculateur!CG60*Calculateur!CI60*VLOOKUP('Données projet'!$B$12,Paramètres!$A$1:$I$88,3,0)*0.475*44/12</f>
        <v>82.610401862266158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117.35740939996282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26.6</v>
      </c>
      <c r="CT60" s="13">
        <f>IF('Données projet'!$A$140&gt;35,CT59+CS60-DB59,IF(A60&lt;'Données projet'!$A$140,$CQ$205^A60,IF(A60='Données projet'!$A$140,'Données projet'!$B$140,CT59+CS60-DB59)))</f>
        <v>888.2</v>
      </c>
      <c r="CU60" s="18">
        <f>CT60*VLOOKUP('Données projet'!$B$13,Paramètres!$A$1:$I$88,3,0)*VLOOKUP('Données projet'!$B$13,Paramètres!$A$1:$I$88,5,0)</f>
        <v>392.58440000000007</v>
      </c>
      <c r="CV60" s="14">
        <f t="shared" si="41"/>
        <v>90.271632700677941</v>
      </c>
      <c r="CW60" s="22">
        <f t="shared" si="13"/>
        <v>840.97425695368077</v>
      </c>
      <c r="CX60" s="62">
        <f t="shared" si="14"/>
        <v>1100.5008970043584</v>
      </c>
      <c r="CY60" s="62">
        <f ca="1">AVERAGE(OFFSET($CX$3,0,0,'Données projet'!$E$13+1,1))-AVERAGE(OFFSET($H$3,0,0,'Données projet'!$E$13+1,1))</f>
        <v>582.26951914082088</v>
      </c>
      <c r="CZ60" s="62">
        <f t="shared" si="42"/>
        <v>434.80429932654715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43.006405578635068</v>
      </c>
      <c r="DG60" s="23">
        <f>EXP(-LN(2)/25)*DG59+(1-EXP(-LN(2)/25))/(LN(2)/25)*Calculateur!DB60*Calculateur!DD60*VLOOKUP('Données projet'!$B$13,Paramètres!$A$1:$I$88,3,0)*0.475*44/12</f>
        <v>79.82310374406174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122.82950932269681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20.2</v>
      </c>
      <c r="DO60" s="13">
        <f>IF('Données projet'!$A$166&gt;35,DO59+DN60-DW59,IF(A60&lt;'Données projet'!$A$166,$DL$205^A60,IF(A60='Données projet'!$A$166,'Données projet'!$B$166,DO59+DN60-DW59)))</f>
        <v>407.39999999999964</v>
      </c>
      <c r="DP60" s="18">
        <f>DO60*VLOOKUP('Données projet'!$B$14,Paramètres!$A$1:$I$88,3,0)*VLOOKUP('Données projet'!$B$14,Paramètres!$A$1:$I$88,5,0)</f>
        <v>195.95939999999982</v>
      </c>
      <c r="DQ60" s="14">
        <f t="shared" si="43"/>
        <v>48.855114082018311</v>
      </c>
      <c r="DR60" s="22">
        <f t="shared" si="16"/>
        <v>426.3852786928482</v>
      </c>
      <c r="DS60" s="62">
        <f t="shared" si="17"/>
        <v>685.91191874352592</v>
      </c>
      <c r="DT60" s="62">
        <f ca="1">AVERAGE(OFFSET($DS$3,0,0,'Données projet'!$E$14+1,1))-AVERAGE(OFFSET($H$3,0,0,'Données projet'!$E$14+1,1))</f>
        <v>273.24375559399846</v>
      </c>
      <c r="DU60" s="62">
        <f t="shared" si="44"/>
        <v>270.77718895097848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projet'!$B$14,Paramètres!$A$1:$I$88,3,0)*0.475*44/12</f>
        <v>33.449585911548311</v>
      </c>
      <c r="EB60" s="23">
        <f>EXP(-LN(2)/25)*EB59+(1-EXP(-LN(2)/25))/(LN(2)/25)*Calculateur!DW60*Calculateur!DY60*VLOOKUP('Données projet'!$B$14,Paramètres!$A$1:$I$88,3,0)*0.475*44/12</f>
        <v>51.565290456424144</v>
      </c>
      <c r="EC60" s="23">
        <f>EXP(-LN(2)/2)*EC59+(1-EXP(-LN(2)/2))/(LN(2)/2)*DW60*DZ60*VLOOKUP('Données projet'!$B$14,Paramètres!$A$1:$I$88,3,0)*0.475*44/12</f>
        <v>0</v>
      </c>
      <c r="ED60" s="24">
        <f t="shared" si="18"/>
        <v>85.014876367972448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20.2</v>
      </c>
      <c r="EJ60" s="13">
        <f>IF('Données projet'!$A$192&gt;35,EJ59+EI60-ER59,IF(A60&lt;'Données projet'!$A$192,$EG$205^A60,IF(A60='Données projet'!$A$192,'Données projet'!$B$192,EJ59+EI60-ER59)))</f>
        <v>407.39999999999964</v>
      </c>
      <c r="EK60" s="18">
        <f>EJ60*VLOOKUP('Données projet'!$B$15,Paramètres!$A$1:$I$88,3,0)*VLOOKUP('Données projet'!$B$15,Paramètres!$A$1:$I$88,5,0)</f>
        <v>190.66319999999985</v>
      </c>
      <c r="EL60" s="14">
        <f t="shared" si="45"/>
        <v>47.686547207106059</v>
      </c>
      <c r="EM60" s="22">
        <f t="shared" si="19"/>
        <v>415.12580971904276</v>
      </c>
      <c r="EN60" s="62">
        <f t="shared" si="20"/>
        <v>674.65244976972053</v>
      </c>
      <c r="EO60" s="62">
        <f ca="1">AVERAGE(OFFSET($EN$3,0,0,'Données projet'!$E$15+1,1))-AVERAGE(OFFSET($H$3,0,0,'Données projet'!$E$15+1,1))</f>
        <v>267.26203506406682</v>
      </c>
      <c r="EP60" s="62">
        <f t="shared" si="46"/>
        <v>265.10857635664843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projet'!$B$15,Paramètres!$A$1:$I$88,3,0)*0.475*44/12</f>
        <v>32.545543049074034</v>
      </c>
      <c r="EW60" s="23">
        <f>EXP(-LN(2)/25)*EW59+(1-EXP(-LN(2)/25))/(LN(2)/25)*Calculateur!ER60*Calculateur!ET60*VLOOKUP('Données projet'!$B$15,Paramètres!$A$1:$I$88,3,0)*0.475*44/12</f>
        <v>50.171633957601877</v>
      </c>
      <c r="EX60" s="23">
        <f>EXP(-LN(2)/2)*EX59+(1-EXP(-LN(2)/2))/(LN(2)/2)*ER60*EU60*VLOOKUP('Données projet'!$B$15,Paramètres!$A$1:$I$88,3,0)*0.475*44/12</f>
        <v>0</v>
      </c>
      <c r="EY60" s="24">
        <f t="shared" si="21"/>
        <v>82.717177006675911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231</v>
      </c>
      <c r="FF60" s="18">
        <f>FE60*VLOOKUP('Données projet'!$B$16,Paramètres!$A$1:$I$88,3,0)*VLOOKUP('Données projet'!$B$16,Paramètres!$A$1:$I$88,5,0)</f>
        <v>169.36920000000001</v>
      </c>
      <c r="FG60" s="14">
        <f t="shared" si="47"/>
        <v>42.948714817158674</v>
      </c>
      <c r="FH60" s="22">
        <f t="shared" si="22"/>
        <v>369.787034973218</v>
      </c>
      <c r="FI60" s="62">
        <f t="shared" si="23"/>
        <v>629.31367502389571</v>
      </c>
      <c r="FJ60" s="62">
        <f ca="1">AVERAGE(OFFSET($FI$3,0,0,'Données projet'!$E$16+1,1))-AVERAGE(OFFSET($H$3,0,0,'Données projet'!$E$16+1,1))</f>
        <v>207.66160354686221</v>
      </c>
      <c r="FK60" s="62">
        <f t="shared" si="48"/>
        <v>260.45879589483525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projet'!$B$16,Paramètres!$A$1:$I$88,3,0)*0.475*44/12</f>
        <v>3.0328745424192078</v>
      </c>
      <c r="FR60" s="23">
        <f>EXP(-LN(2)/25)*FR59+(1-EXP(-LN(2)/25))/(LN(2)/25)*Calculateur!FM60*Calculateur!FO60*VLOOKUP('Données projet'!$B$16,Paramètres!$A$1:$I$88,3,0)*0.475*44/12</f>
        <v>0</v>
      </c>
      <c r="FS60" s="23">
        <f>EXP(-LN(2)/2)*FS59+(1-EXP(-LN(2)/2))/(LN(2)/2)*FM60*FP60*VLOOKUP('Données projet'!$B$16,Paramètres!$A$1:$I$88,3,0)*0.475*44/12</f>
        <v>0</v>
      </c>
      <c r="FT60" s="24">
        <f t="shared" si="24"/>
        <v>3.0328745424192078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projet'!$B$9,Paramètres!$A$1:$I$88,3,0)*VLOOKUP('Données projet'!$B$9,Paramètres!$A$1:$I$88,5,0)</f>
        <v>-1.2710188457276673E-13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378.13552372917843</v>
      </c>
      <c r="T61" s="62">
        <f t="shared" si="34"/>
        <v>528.97123645404952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229.46477040333619</v>
      </c>
      <c r="AA61" s="23">
        <f>EXP(-LN(2)/25)*AA60+(1-EXP(-LN(2)/25))/(LN(2)/25)*Calculateur!V61*Calculateur!X61*VLOOKUP('Données projet'!$B$9,Paramètres!$A$1:$I$88,3,0)*0.475*44/12</f>
        <v>115.90530857407144</v>
      </c>
      <c r="AB61" s="23">
        <f>EXP(-LN(2)/2)*AB60+(1-EXP(-LN(2)/2))/(LN(2)/2)*V61*Y61*VLOOKUP('Données projet'!$B$9,Paramètres!$A$1:$I$88,3,0)*0.475*44/12</f>
        <v>0</v>
      </c>
      <c r="AC61" s="24">
        <f t="shared" si="3"/>
        <v>345.37007897740762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8.5</v>
      </c>
      <c r="AI61" s="14">
        <f>IF('Données projet'!$A$62&gt;35,AI60+AH61-AQ60,IF(A61&lt;'Données projet'!$A$62,$AF$205^A61,IF(A61='Données projet'!$A$62,'Données projet'!$B$62,AI60+AH61-AQ60)))</f>
        <v>192.5</v>
      </c>
      <c r="AJ61" s="14">
        <f>AI61*VLOOKUP('Données projet'!$B$10,Paramètres!$A$1:$I$88,3,0)*VLOOKUP('Données projet'!$B$10,Paramètres!$A$1:$I$88,5,0)</f>
        <v>174.17400000000001</v>
      </c>
      <c r="AK61" s="14">
        <f t="shared" si="35"/>
        <v>44.023536919386274</v>
      </c>
      <c r="AL61" s="22">
        <f t="shared" si="4"/>
        <v>380.02737680126438</v>
      </c>
      <c r="AM61" s="62">
        <f t="shared" si="5"/>
        <v>640.1404873999528</v>
      </c>
      <c r="AN61" s="62">
        <f ca="1">AVERAGE(OFFSET($AM$3,0,0,'Données projet'!$E$10+1,1))-AVERAGE(OFFSET($H$3,0,0,'Données projet'!$E$10+1,1))</f>
        <v>536.3707066106856</v>
      </c>
      <c r="AO61" s="62">
        <f t="shared" si="36"/>
        <v>217.6280015974086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6.4604034871149683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6.4604034871149683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3.6125000000000043</v>
      </c>
      <c r="BD61" s="13">
        <f>IF('Données projet'!$A$88&gt;35,BD60+BC61-BL60,IF(A61&lt;'Données projet'!$A$88,$BA$205^A61,IF(A61='Données projet'!$A$88,'Données projet'!$B$88,BD60+BC61-BL60)))</f>
        <v>294.34999999999997</v>
      </c>
      <c r="BE61" s="14">
        <f>BD61*VLOOKUP('Données projet'!$B$11,Paramètres!$A$1:$I$88,3,0)*VLOOKUP('Données projet'!$B$11,Paramètres!$A$1:$I$88,5,0)</f>
        <v>176.0213</v>
      </c>
      <c r="BF61" s="14">
        <f t="shared" si="37"/>
        <v>44.435850495673954</v>
      </c>
      <c r="BG61" s="22">
        <f t="shared" si="7"/>
        <v>383.96287044663205</v>
      </c>
      <c r="BH61" s="62">
        <f t="shared" si="8"/>
        <v>644.07598104532053</v>
      </c>
      <c r="BI61" s="62">
        <f ca="1">AVERAGE(OFFSET($BH$3,0,0,'Données projet'!$E$11+1,1))-AVERAGE(OFFSET($H$3,0,0,'Données projet'!$E$11+1,1))</f>
        <v>248.66193174773525</v>
      </c>
      <c r="BJ61" s="62">
        <f t="shared" si="38"/>
        <v>249.61655682981151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20.073875546014854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1.2611669569145632</v>
      </c>
      <c r="BS61" s="24">
        <f t="shared" si="9"/>
        <v>21.335042502929419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25.2</v>
      </c>
      <c r="BY61" s="13">
        <f>IF('Données projet'!$A$114&gt;35,BY60+BX61-CG60,IF(A61&lt;'Données projet'!$A$114,$BV$205^A61,IF(A61='Données projet'!$A$114,'Données projet'!$B$114,BY60+BX61-CG60)))</f>
        <v>683.59999999999968</v>
      </c>
      <c r="BZ61" s="14">
        <f>BY61*VLOOKUP('Données projet'!$B$12,Paramètres!$A$1:$I$88,3,0)*VLOOKUP('Données projet'!$B$12,Paramètres!$A$1:$I$88,5,0)</f>
        <v>275.49079999999992</v>
      </c>
      <c r="CA61" s="14">
        <f t="shared" si="39"/>
        <v>66.013186752162994</v>
      </c>
      <c r="CB61" s="22">
        <f t="shared" si="10"/>
        <v>594.78611026001704</v>
      </c>
      <c r="CC61" s="62">
        <f t="shared" si="11"/>
        <v>854.89922085870546</v>
      </c>
      <c r="CD61" s="62">
        <f ca="1">AVERAGE(OFFSET($CC$3,0,0,'Données projet'!$E$12+1,1))-AVERAGE(OFFSET($H$3,0,0,'Données projet'!$E$12+1,1))</f>
        <v>432.59662347701629</v>
      </c>
      <c r="CE61" s="62">
        <f t="shared" si="40"/>
        <v>348.67401091099748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34.065639913464338</v>
      </c>
      <c r="CL61" s="23">
        <f>EXP(-LN(2)/25)*CL60+(1-EXP(-LN(2)/25))/(LN(2)/25)*Calculateur!CG61*Calculateur!CI61*VLOOKUP('Données projet'!$B$12,Paramètres!$A$1:$I$88,3,0)*0.475*44/12</f>
        <v>80.351416079050267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114.41705599251461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26.6</v>
      </c>
      <c r="CT61" s="13">
        <f>IF('Données projet'!$A$140&gt;35,CT60+CS61-DB60,IF(A61&lt;'Données projet'!$A$140,$CQ$205^A61,IF(A61='Données projet'!$A$140,'Données projet'!$B$140,CT60+CS61-DB60)))</f>
        <v>914.80000000000007</v>
      </c>
      <c r="CU61" s="18">
        <f>CT61*VLOOKUP('Données projet'!$B$13,Paramètres!$A$1:$I$88,3,0)*VLOOKUP('Données projet'!$B$13,Paramètres!$A$1:$I$88,5,0)</f>
        <v>404.34160000000008</v>
      </c>
      <c r="CV61" s="14">
        <f t="shared" si="41"/>
        <v>92.65630420555884</v>
      </c>
      <c r="CW61" s="22">
        <f t="shared" si="13"/>
        <v>865.60468315801518</v>
      </c>
      <c r="CX61" s="62">
        <f t="shared" si="14"/>
        <v>1125.7177937567035</v>
      </c>
      <c r="CY61" s="62">
        <f ca="1">AVERAGE(OFFSET($CX$3,0,0,'Données projet'!$E$13+1,1))-AVERAGE(OFFSET($H$3,0,0,'Données projet'!$E$13+1,1))</f>
        <v>582.26951914082088</v>
      </c>
      <c r="CZ61" s="62">
        <f t="shared" si="42"/>
        <v>434.80429932654715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42.163076196555309</v>
      </c>
      <c r="DG61" s="23">
        <f>EXP(-LN(2)/25)*DG60+(1-EXP(-LN(2)/25))/(LN(2)/25)*Calculateur!DB61*Calculateur!DD61*VLOOKUP('Données projet'!$B$13,Paramètres!$A$1:$I$88,3,0)*0.475*44/12</f>
        <v>77.64033677446578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119.80341297102109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20.2</v>
      </c>
      <c r="DO61" s="13">
        <f>IF('Données projet'!$A$166&gt;35,DO60+DN61-DW60,IF(A61&lt;'Données projet'!$A$166,$DL$205^A61,IF(A61='Données projet'!$A$166,'Données projet'!$B$166,DO60+DN61-DW60)))</f>
        <v>427.59999999999962</v>
      </c>
      <c r="DP61" s="18">
        <f>DO61*VLOOKUP('Données projet'!$B$14,Paramètres!$A$1:$I$88,3,0)*VLOOKUP('Données projet'!$B$14,Paramètres!$A$1:$I$88,5,0)</f>
        <v>205.6755999999998</v>
      </c>
      <c r="DQ61" s="14">
        <f t="shared" si="43"/>
        <v>50.989454174729858</v>
      </c>
      <c r="DR61" s="22">
        <f t="shared" si="16"/>
        <v>447.02496935432083</v>
      </c>
      <c r="DS61" s="62">
        <f t="shared" si="17"/>
        <v>707.13807995300931</v>
      </c>
      <c r="DT61" s="62">
        <f ca="1">AVERAGE(OFFSET($DS$3,0,0,'Données projet'!$E$14+1,1))-AVERAGE(OFFSET($H$3,0,0,'Données projet'!$E$14+1,1))</f>
        <v>273.24375559399846</v>
      </c>
      <c r="DU61" s="62">
        <f t="shared" si="44"/>
        <v>270.77718895097848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projet'!$B$14,Paramètres!$A$1:$I$88,3,0)*0.475*44/12</f>
        <v>32.793659934055704</v>
      </c>
      <c r="EB61" s="23">
        <f>EXP(-LN(2)/25)*EB60+(1-EXP(-LN(2)/25))/(LN(2)/25)*Calculateur!DW61*Calculateur!DY61*VLOOKUP('Données projet'!$B$14,Paramètres!$A$1:$I$88,3,0)*0.475*44/12</f>
        <v>50.155234877192456</v>
      </c>
      <c r="EC61" s="23">
        <f>EXP(-LN(2)/2)*EC60+(1-EXP(-LN(2)/2))/(LN(2)/2)*DW61*DZ61*VLOOKUP('Données projet'!$B$14,Paramètres!$A$1:$I$88,3,0)*0.475*44/12</f>
        <v>0</v>
      </c>
      <c r="ED61" s="24">
        <f t="shared" si="18"/>
        <v>82.948894811248152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20.2</v>
      </c>
      <c r="EJ61" s="13">
        <f>IF('Données projet'!$A$192&gt;35,EJ60+EI61-ER60,IF(A61&lt;'Données projet'!$A$192,$EG$205^A61,IF(A61='Données projet'!$A$192,'Données projet'!$B$192,EJ60+EI61-ER60)))</f>
        <v>427.59999999999962</v>
      </c>
      <c r="EK61" s="18">
        <f>EJ61*VLOOKUP('Données projet'!$B$15,Paramètres!$A$1:$I$88,3,0)*VLOOKUP('Données projet'!$B$15,Paramètres!$A$1:$I$88,5,0)</f>
        <v>200.11679999999984</v>
      </c>
      <c r="EL61" s="14">
        <f t="shared" si="45"/>
        <v>49.769835957926304</v>
      </c>
      <c r="EM61" s="22">
        <f t="shared" si="19"/>
        <v>435.21922429338809</v>
      </c>
      <c r="EN61" s="62">
        <f t="shared" si="20"/>
        <v>695.33233489207646</v>
      </c>
      <c r="EO61" s="62">
        <f ca="1">AVERAGE(OFFSET($EN$3,0,0,'Données projet'!$E$15+1,1))-AVERAGE(OFFSET($H$3,0,0,'Données projet'!$E$15+1,1))</f>
        <v>267.26203506406682</v>
      </c>
      <c r="EP61" s="62">
        <f t="shared" si="46"/>
        <v>265.10857635664843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projet'!$B$15,Paramètres!$A$1:$I$88,3,0)*0.475*44/12</f>
        <v>31.907344800702848</v>
      </c>
      <c r="EW61" s="23">
        <f>EXP(-LN(2)/25)*EW60+(1-EXP(-LN(2)/25))/(LN(2)/25)*Calculateur!ER61*Calculateur!ET61*VLOOKUP('Données projet'!$B$15,Paramètres!$A$1:$I$88,3,0)*0.475*44/12</f>
        <v>48.799687988619695</v>
      </c>
      <c r="EX61" s="23">
        <f>EXP(-LN(2)/2)*EX60+(1-EXP(-LN(2)/2))/(LN(2)/2)*ER61*EU61*VLOOKUP('Données projet'!$B$15,Paramètres!$A$1:$I$88,3,0)*0.475*44/12</f>
        <v>0</v>
      </c>
      <c r="EY61" s="24">
        <f t="shared" si="21"/>
        <v>80.70703278932254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231</v>
      </c>
      <c r="FF61" s="18">
        <f>FE61*VLOOKUP('Données projet'!$B$16,Paramètres!$A$1:$I$88,3,0)*VLOOKUP('Données projet'!$B$16,Paramètres!$A$1:$I$88,5,0)</f>
        <v>169.36920000000001</v>
      </c>
      <c r="FG61" s="14">
        <f t="shared" si="47"/>
        <v>42.948714817158674</v>
      </c>
      <c r="FH61" s="22">
        <f t="shared" si="22"/>
        <v>369.787034973218</v>
      </c>
      <c r="FI61" s="62">
        <f t="shared" si="23"/>
        <v>629.90014557190648</v>
      </c>
      <c r="FJ61" s="62">
        <f ca="1">AVERAGE(OFFSET($FI$3,0,0,'Données projet'!$E$16+1,1))-AVERAGE(OFFSET($H$3,0,0,'Données projet'!$E$16+1,1))</f>
        <v>207.66160354686221</v>
      </c>
      <c r="FK61" s="62">
        <f t="shared" si="48"/>
        <v>260.45879589483525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projet'!$B$16,Paramètres!$A$1:$I$88,3,0)*0.475*44/12</f>
        <v>2.9734017225131786</v>
      </c>
      <c r="FR61" s="23">
        <f>EXP(-LN(2)/25)*FR60+(1-EXP(-LN(2)/25))/(LN(2)/25)*Calculateur!FM61*Calculateur!FO61*VLOOKUP('Données projet'!$B$16,Paramètres!$A$1:$I$88,3,0)*0.475*44/12</f>
        <v>0</v>
      </c>
      <c r="FS61" s="23">
        <f>EXP(-LN(2)/2)*FS60+(1-EXP(-LN(2)/2))/(LN(2)/2)*FM61*FP61*VLOOKUP('Données projet'!$B$16,Paramètres!$A$1:$I$88,3,0)*0.475*44/12</f>
        <v>0</v>
      </c>
      <c r="FT61" s="24">
        <f t="shared" si="24"/>
        <v>2.9734017225131786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projet'!$B$9,Paramètres!$A$1:$I$88,3,0)*VLOOKUP('Données projet'!$B$9,Paramètres!$A$1:$I$88,5,0)</f>
        <v>-1.2710188457276673E-13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378.13552372917843</v>
      </c>
      <c r="T62" s="62">
        <f t="shared" si="34"/>
        <v>528.97123645404952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224.96510621541685</v>
      </c>
      <c r="AA62" s="23">
        <f>EXP(-LN(2)/25)*AA61+(1-EXP(-LN(2)/25))/(LN(2)/25)*Calculateur!V62*Calculateur!X62*VLOOKUP('Données projet'!$B$9,Paramètres!$A$1:$I$88,3,0)*0.475*44/12</f>
        <v>112.73587181591819</v>
      </c>
      <c r="AB62" s="23">
        <f>EXP(-LN(2)/2)*AB61+(1-EXP(-LN(2)/2))/(LN(2)/2)*V62*Y62*VLOOKUP('Données projet'!$B$9,Paramètres!$A$1:$I$88,3,0)*0.475*44/12</f>
        <v>0</v>
      </c>
      <c r="AC62" s="24">
        <f t="shared" si="3"/>
        <v>337.70097803133501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8.5</v>
      </c>
      <c r="AI62" s="14">
        <f>IF('Données projet'!$A$62&gt;35,AI61+AH62-AQ61,IF(A62&lt;'Données projet'!$A$62,$AF$205^A62,IF(A62='Données projet'!$A$62,'Données projet'!$B$62,AI61+AH62-AQ61)))</f>
        <v>201</v>
      </c>
      <c r="AJ62" s="14">
        <f>AI62*VLOOKUP('Données projet'!$B$10,Paramètres!$A$1:$I$88,3,0)*VLOOKUP('Données projet'!$B$10,Paramètres!$A$1:$I$88,5,0)</f>
        <v>181.8648</v>
      </c>
      <c r="AK62" s="14">
        <f t="shared" si="35"/>
        <v>45.73682061391029</v>
      </c>
      <c r="AL62" s="22">
        <f t="shared" si="4"/>
        <v>396.40615590256039</v>
      </c>
      <c r="AM62" s="62">
        <f t="shared" si="5"/>
        <v>657.09556309640311</v>
      </c>
      <c r="AN62" s="62">
        <f ca="1">AVERAGE(OFFSET($AM$3,0,0,'Données projet'!$E$10+1,1))-AVERAGE(OFFSET($H$3,0,0,'Données projet'!$E$10+1,1))</f>
        <v>536.3707066106856</v>
      </c>
      <c r="AO62" s="62">
        <f t="shared" si="36"/>
        <v>217.6280015974086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6.3337189151896833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6.3337189151896833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3.6125000000000043</v>
      </c>
      <c r="BD62" s="13">
        <f>IF('Données projet'!$A$88&gt;35,BD61+BC62-BL61,IF(A62&lt;'Données projet'!$A$88,$BA$205^A62,IF(A62='Données projet'!$A$88,'Données projet'!$B$88,BD61+BC62-BL61)))</f>
        <v>297.96249999999998</v>
      </c>
      <c r="BE62" s="14">
        <f>BD62*VLOOKUP('Données projet'!$B$11,Paramètres!$A$1:$I$88,3,0)*VLOOKUP('Données projet'!$B$11,Paramètres!$A$1:$I$88,5,0)</f>
        <v>178.18157500000001</v>
      </c>
      <c r="BF62" s="14">
        <f t="shared" si="37"/>
        <v>44.91738133988548</v>
      </c>
      <c r="BG62" s="22">
        <f t="shared" si="7"/>
        <v>388.56401562530056</v>
      </c>
      <c r="BH62" s="62">
        <f t="shared" si="8"/>
        <v>649.25342281914334</v>
      </c>
      <c r="BI62" s="62">
        <f ca="1">AVERAGE(OFFSET($BH$3,0,0,'Données projet'!$E$11+1,1))-AVERAGE(OFFSET($H$3,0,0,'Données projet'!$E$11+1,1))</f>
        <v>248.66193174773525</v>
      </c>
      <c r="BJ62" s="62">
        <f t="shared" si="38"/>
        <v>249.61655682981151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19.680239090412606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0.89177970744269008</v>
      </c>
      <c r="BS62" s="24">
        <f t="shared" si="9"/>
        <v>20.572018797855296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25.2</v>
      </c>
      <c r="BY62" s="13">
        <f>IF('Données projet'!$A$114&gt;35,BY61+BX62-CG61,IF(A62&lt;'Données projet'!$A$114,$BV$205^A62,IF(A62='Données projet'!$A$114,'Données projet'!$B$114,BY61+BX62-CG61)))</f>
        <v>708.79999999999973</v>
      </c>
      <c r="BZ62" s="14">
        <f>BY62*VLOOKUP('Données projet'!$B$12,Paramètres!$A$1:$I$88,3,0)*VLOOKUP('Données projet'!$B$12,Paramètres!$A$1:$I$88,5,0)</f>
        <v>285.64639999999991</v>
      </c>
      <c r="CA62" s="14">
        <f t="shared" si="39"/>
        <v>68.158865467145716</v>
      </c>
      <c r="CB62" s="22">
        <f t="shared" si="10"/>
        <v>616.21083735527861</v>
      </c>
      <c r="CC62" s="62">
        <f t="shared" si="11"/>
        <v>876.90024454912145</v>
      </c>
      <c r="CD62" s="62">
        <f ca="1">AVERAGE(OFFSET($CC$3,0,0,'Données projet'!$E$12+1,1))-AVERAGE(OFFSET($H$3,0,0,'Données projet'!$E$12+1,1))</f>
        <v>432.59662347701629</v>
      </c>
      <c r="CE62" s="62">
        <f t="shared" si="40"/>
        <v>348.67401091099748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33.397633492749996</v>
      </c>
      <c r="CL62" s="23">
        <f>EXP(-LN(2)/25)*CL61+(1-EXP(-LN(2)/25))/(LN(2)/25)*Calculateur!CG62*Calculateur!CI62*VLOOKUP('Données projet'!$B$12,Paramètres!$A$1:$I$88,3,0)*0.475*44/12</f>
        <v>78.154202380871311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111.55183587362131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26.6</v>
      </c>
      <c r="CT62" s="13">
        <f>IF('Données projet'!$A$140&gt;35,CT61+CS62-DB61,IF(A62&lt;'Données projet'!$A$140,$CQ$205^A62,IF(A62='Données projet'!$A$140,'Données projet'!$B$140,CT61+CS62-DB61)))</f>
        <v>941.40000000000009</v>
      </c>
      <c r="CU62" s="18">
        <f>CT62*VLOOKUP('Données projet'!$B$13,Paramètres!$A$1:$I$88,3,0)*VLOOKUP('Données projet'!$B$13,Paramètres!$A$1:$I$88,5,0)</f>
        <v>416.0988000000001</v>
      </c>
      <c r="CV62" s="14">
        <f t="shared" si="41"/>
        <v>95.032916974205335</v>
      </c>
      <c r="CW62" s="22">
        <f t="shared" si="13"/>
        <v>890.22107373007441</v>
      </c>
      <c r="CX62" s="62">
        <f t="shared" si="14"/>
        <v>1150.9104809239172</v>
      </c>
      <c r="CY62" s="62">
        <f ca="1">AVERAGE(OFFSET($CX$3,0,0,'Données projet'!$E$13+1,1))-AVERAGE(OFFSET($H$3,0,0,'Données projet'!$E$13+1,1))</f>
        <v>582.26951914082088</v>
      </c>
      <c r="CZ62" s="62">
        <f t="shared" si="42"/>
        <v>434.80429932654715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41.336283989278002</v>
      </c>
      <c r="DG62" s="23">
        <f>EXP(-LN(2)/25)*DG61+(1-EXP(-LN(2)/25))/(LN(2)/25)*Calculateur!DB62*Calculateur!DD62*VLOOKUP('Données projet'!$B$13,Paramètres!$A$1:$I$88,3,0)*0.475*44/12</f>
        <v>75.517257682440146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116.85354167171815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20.2</v>
      </c>
      <c r="DO62" s="13">
        <f>IF('Données projet'!$A$166&gt;35,DO61+DN62-DW61,IF(A62&lt;'Données projet'!$A$166,$DL$205^A62,IF(A62='Données projet'!$A$166,'Données projet'!$B$166,DO61+DN62-DW61)))</f>
        <v>447.79999999999961</v>
      </c>
      <c r="DP62" s="18">
        <f>DO62*VLOOKUP('Données projet'!$B$14,Paramètres!$A$1:$I$88,3,0)*VLOOKUP('Données projet'!$B$14,Paramètres!$A$1:$I$88,5,0)</f>
        <v>215.39179999999982</v>
      </c>
      <c r="DQ62" s="14">
        <f t="shared" si="43"/>
        <v>53.112085602796661</v>
      </c>
      <c r="DR62" s="22">
        <f t="shared" si="16"/>
        <v>467.64426742487052</v>
      </c>
      <c r="DS62" s="62">
        <f t="shared" si="17"/>
        <v>728.3336746187133</v>
      </c>
      <c r="DT62" s="62">
        <f ca="1">AVERAGE(OFFSET($DS$3,0,0,'Données projet'!$E$14+1,1))-AVERAGE(OFFSET($H$3,0,0,'Données projet'!$E$14+1,1))</f>
        <v>273.24375559399846</v>
      </c>
      <c r="DU62" s="62">
        <f t="shared" si="44"/>
        <v>270.77718895097848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projet'!$B$14,Paramètres!$A$1:$I$88,3,0)*0.475*44/12</f>
        <v>32.150596264906383</v>
      </c>
      <c r="EB62" s="23">
        <f>EXP(-LN(2)/25)*EB61+(1-EXP(-LN(2)/25))/(LN(2)/25)*Calculateur!DW62*Calculateur!DY62*VLOOKUP('Données projet'!$B$14,Paramètres!$A$1:$I$88,3,0)*0.475*44/12</f>
        <v>48.783737341926454</v>
      </c>
      <c r="EC62" s="23">
        <f>EXP(-LN(2)/2)*EC61+(1-EXP(-LN(2)/2))/(LN(2)/2)*DW62*DZ62*VLOOKUP('Données projet'!$B$14,Paramètres!$A$1:$I$88,3,0)*0.475*44/12</f>
        <v>0</v>
      </c>
      <c r="ED62" s="24">
        <f t="shared" si="18"/>
        <v>80.934333606832837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20.2</v>
      </c>
      <c r="EJ62" s="13">
        <f>IF('Données projet'!$A$192&gt;35,EJ61+EI62-ER61,IF(A62&lt;'Données projet'!$A$192,$EG$205^A62,IF(A62='Données projet'!$A$192,'Données projet'!$B$192,EJ61+EI62-ER61)))</f>
        <v>447.79999999999961</v>
      </c>
      <c r="EK62" s="18">
        <f>EJ62*VLOOKUP('Données projet'!$B$15,Paramètres!$A$1:$I$88,3,0)*VLOOKUP('Données projet'!$B$15,Paramètres!$A$1:$I$88,5,0)</f>
        <v>209.57039999999981</v>
      </c>
      <c r="EL62" s="14">
        <f t="shared" si="45"/>
        <v>51.841696103987246</v>
      </c>
      <c r="EM62" s="22">
        <f t="shared" si="19"/>
        <v>455.2927340477774</v>
      </c>
      <c r="EN62" s="62">
        <f t="shared" si="20"/>
        <v>715.98214124162018</v>
      </c>
      <c r="EO62" s="62">
        <f ca="1">AVERAGE(OFFSET($EN$3,0,0,'Données projet'!$E$15+1,1))-AVERAGE(OFFSET($H$3,0,0,'Données projet'!$E$15+1,1))</f>
        <v>267.26203506406682</v>
      </c>
      <c r="EP62" s="62">
        <f t="shared" si="46"/>
        <v>265.10857635664843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projet'!$B$15,Paramètres!$A$1:$I$88,3,0)*0.475*44/12</f>
        <v>31.281661230719724</v>
      </c>
      <c r="EW62" s="23">
        <f>EXP(-LN(2)/25)*EW61+(1-EXP(-LN(2)/25))/(LN(2)/25)*Calculateur!ER62*Calculateur!ET62*VLOOKUP('Données projet'!$B$15,Paramètres!$A$1:$I$88,3,0)*0.475*44/12</f>
        <v>47.465257954306828</v>
      </c>
      <c r="EX62" s="23">
        <f>EXP(-LN(2)/2)*EX61+(1-EXP(-LN(2)/2))/(LN(2)/2)*ER62*EU62*VLOOKUP('Données projet'!$B$15,Paramètres!$A$1:$I$88,3,0)*0.475*44/12</f>
        <v>0</v>
      </c>
      <c r="EY62" s="24">
        <f t="shared" si="21"/>
        <v>78.746919185026556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231</v>
      </c>
      <c r="FF62" s="18">
        <f>FE62*VLOOKUP('Données projet'!$B$16,Paramètres!$A$1:$I$88,3,0)*VLOOKUP('Données projet'!$B$16,Paramètres!$A$1:$I$88,5,0)</f>
        <v>169.36920000000001</v>
      </c>
      <c r="FG62" s="14">
        <f t="shared" si="47"/>
        <v>42.948714817158674</v>
      </c>
      <c r="FH62" s="22">
        <f t="shared" si="22"/>
        <v>369.787034973218</v>
      </c>
      <c r="FI62" s="62">
        <f t="shared" si="23"/>
        <v>630.47644216706078</v>
      </c>
      <c r="FJ62" s="62">
        <f ca="1">AVERAGE(OFFSET($FI$3,0,0,'Données projet'!$E$16+1,1))-AVERAGE(OFFSET($H$3,0,0,'Données projet'!$E$16+1,1))</f>
        <v>207.66160354686221</v>
      </c>
      <c r="FK62" s="62">
        <f t="shared" si="48"/>
        <v>260.45879589483525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projet'!$B$16,Paramètres!$A$1:$I$88,3,0)*0.475*44/12</f>
        <v>2.9150951283306683</v>
      </c>
      <c r="FR62" s="23">
        <f>EXP(-LN(2)/25)*FR61+(1-EXP(-LN(2)/25))/(LN(2)/25)*Calculateur!FM62*Calculateur!FO62*VLOOKUP('Données projet'!$B$16,Paramètres!$A$1:$I$88,3,0)*0.475*44/12</f>
        <v>0</v>
      </c>
      <c r="FS62" s="23">
        <f>EXP(-LN(2)/2)*FS61+(1-EXP(-LN(2)/2))/(LN(2)/2)*FM62*FP62*VLOOKUP('Données projet'!$B$16,Paramètres!$A$1:$I$88,3,0)*0.475*44/12</f>
        <v>0</v>
      </c>
      <c r="FT62" s="24">
        <f t="shared" si="24"/>
        <v>2.9150951283306683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projet'!$B$9,Paramètres!$A$1:$I$88,3,0)*VLOOKUP('Données projet'!$B$9,Paramètres!$A$1:$I$88,5,0)</f>
        <v>-1.2710188457276673E-13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378.13552372917843</v>
      </c>
      <c r="T63" s="62">
        <f t="shared" si="34"/>
        <v>528.97123645404952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220.55367769769845</v>
      </c>
      <c r="AA63" s="23">
        <f>EXP(-LN(2)/25)*AA62+(1-EXP(-LN(2)/25))/(LN(2)/25)*Calculateur!V63*Calculateur!X63*VLOOKUP('Données projet'!$B$9,Paramètres!$A$1:$I$88,3,0)*0.475*44/12</f>
        <v>109.65310347259006</v>
      </c>
      <c r="AB63" s="23">
        <f>EXP(-LN(2)/2)*AB62+(1-EXP(-LN(2)/2))/(LN(2)/2)*V63*Y63*VLOOKUP('Données projet'!$B$9,Paramètres!$A$1:$I$88,3,0)*0.475*44/12</f>
        <v>0</v>
      </c>
      <c r="AC63" s="24">
        <f t="shared" si="3"/>
        <v>330.20678117028854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8.5</v>
      </c>
      <c r="AI63" s="14">
        <f>IF('Données projet'!$A$62&gt;35,AI62+AH63-AQ62,IF(A63&lt;'Données projet'!$A$62,$AF$205^A63,IF(A63='Données projet'!$A$62,'Données projet'!$B$62,AI62+AH63-AQ62)))</f>
        <v>209.5</v>
      </c>
      <c r="AJ63" s="14">
        <f>AI63*VLOOKUP('Données projet'!$B$10,Paramètres!$A$1:$I$88,3,0)*VLOOKUP('Données projet'!$B$10,Paramètres!$A$1:$I$88,5,0)</f>
        <v>189.5556</v>
      </c>
      <c r="AK63" s="14">
        <f t="shared" si="35"/>
        <v>47.441688934734636</v>
      </c>
      <c r="AL63" s="22">
        <f t="shared" si="4"/>
        <v>412.77027822799613</v>
      </c>
      <c r="AM63" s="62">
        <f t="shared" si="5"/>
        <v>674.02598455947361</v>
      </c>
      <c r="AN63" s="62">
        <f ca="1">AVERAGE(OFFSET($AM$3,0,0,'Données projet'!$E$10+1,1))-AVERAGE(OFFSET($H$3,0,0,'Données projet'!$E$10+1,1))</f>
        <v>536.3707066106856</v>
      </c>
      <c r="AO63" s="62">
        <f t="shared" si="36"/>
        <v>217.6280015974086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6.2095185504498938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6.2095185504498938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3.6125000000000043</v>
      </c>
      <c r="BD63" s="13">
        <f>IF('Données projet'!$A$88&gt;35,BD62+BC63-BL62,IF(A63&lt;'Données projet'!$A$88,$BA$205^A63,IF(A63='Données projet'!$A$88,'Données projet'!$B$88,BD62+BC63-BL62)))</f>
        <v>301.57499999999999</v>
      </c>
      <c r="BE63" s="14">
        <f>BD63*VLOOKUP('Données projet'!$B$11,Paramètres!$A$1:$I$88,3,0)*VLOOKUP('Données projet'!$B$11,Paramètres!$A$1:$I$88,5,0)</f>
        <v>180.34185000000002</v>
      </c>
      <c r="BF63" s="14">
        <f t="shared" si="37"/>
        <v>45.398233092777396</v>
      </c>
      <c r="BG63" s="22">
        <f t="shared" si="7"/>
        <v>393.16397805325397</v>
      </c>
      <c r="BH63" s="62">
        <f t="shared" si="8"/>
        <v>654.41968438473145</v>
      </c>
      <c r="BI63" s="62">
        <f ca="1">AVERAGE(OFFSET($BH$3,0,0,'Données projet'!$E$11+1,1))-AVERAGE(OFFSET($H$3,0,0,'Données projet'!$E$11+1,1))</f>
        <v>248.66193174773525</v>
      </c>
      <c r="BJ63" s="62">
        <f t="shared" si="38"/>
        <v>249.61655682981151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19.294321605610186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0.63058347845728169</v>
      </c>
      <c r="BS63" s="24">
        <f t="shared" si="9"/>
        <v>19.924905084067468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734</v>
      </c>
      <c r="BW63" s="13">
        <f>VLOOKUP(A63,'Données projet'!$A$113:$I$133,9,0)</f>
        <v>25.2</v>
      </c>
      <c r="BX63" s="13">
        <f t="array" ref="BX63">INDEX(BW:BW,MIN(IF(ISNUMBER(BW63:BW259),ROW(BW63:BW259),"")))</f>
        <v>25.2</v>
      </c>
      <c r="BY63" s="13">
        <f>IF('Données projet'!$A$114&gt;35,BY62+BX63-CG62,IF(A63&lt;'Données projet'!$A$114,$BV$205^A63,IF(A63='Données projet'!$A$114,'Données projet'!$B$114,BY62+BX63-CG62)))</f>
        <v>733.99999999999977</v>
      </c>
      <c r="BZ63" s="14">
        <f>BY63*VLOOKUP('Données projet'!$B$12,Paramètres!$A$1:$I$88,3,0)*VLOOKUP('Données projet'!$B$12,Paramètres!$A$1:$I$88,5,0)</f>
        <v>295.80199999999991</v>
      </c>
      <c r="CA63" s="14">
        <f t="shared" si="39"/>
        <v>70.295680935455096</v>
      </c>
      <c r="CB63" s="22">
        <f t="shared" si="10"/>
        <v>637.62012762925076</v>
      </c>
      <c r="CC63" s="62">
        <f t="shared" si="11"/>
        <v>898.87583396072819</v>
      </c>
      <c r="CD63" s="62">
        <f ca="1">AVERAGE(OFFSET($CC$3,0,0,'Données projet'!$E$12+1,1))-AVERAGE(OFFSET($H$3,0,0,'Données projet'!$E$12+1,1))</f>
        <v>432.59662347701629</v>
      </c>
      <c r="CE63" s="62">
        <f t="shared" si="40"/>
        <v>348.67401091099748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64</v>
      </c>
      <c r="CH63" s="17">
        <f>IF(ISNA(VLOOKUP(A63,'Données projet'!$A$113:$I$133,5,0)),0%,VLOOKUP(A63,'Données projet'!$A$113:$I$133,5,0)*VLOOKUP('Données projet'!$B$12,Paramètres!$A$1:$I$88,7,0))</f>
        <v>0.30250000000000005</v>
      </c>
      <c r="CI63" s="17">
        <f>IF(ISNA(VLOOKUP(A63,'Données projet'!$A$113:$I$133,6,0)),0%,VLOOKUP(A63,'Données projet'!$A$113:$I$133,6,0)*VLOOKUP('Données projet'!$B$12,Paramètres!$A$1:$I$88,7,0))</f>
        <v>0.24750000000000003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43.092688276997904</v>
      </c>
      <c r="CL63" s="23">
        <f>EXP(-LN(2)/25)*CL62+(1-EXP(-LN(2)/25))/(LN(2)/25)*Calculateur!CG63*Calculateur!CI63*VLOOKUP('Données projet'!$B$12,Paramètres!$A$1:$I$88,3,0)*0.475*44/12</f>
        <v>84.45188000335034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127.54456828034824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968</v>
      </c>
      <c r="CR63" s="13">
        <f>VLOOKUP(A63,'Données projet'!$A$139:$I$159,9,0)</f>
        <v>26.6</v>
      </c>
      <c r="CS63" s="13">
        <f t="array" ref="CS63">INDEX(CR:CR,MIN(IF(ISNUMBER(CR63:CR259),ROW(CR63:CR259),"")))</f>
        <v>26.6</v>
      </c>
      <c r="CT63" s="13">
        <f>IF('Données projet'!$A$140&gt;35,CT62+CS63-DB62,IF(A63&lt;'Données projet'!$A$140,$CQ$205^A63,IF(A63='Données projet'!$A$140,'Données projet'!$B$140,CT62+CS63-DB62)))</f>
        <v>968.00000000000011</v>
      </c>
      <c r="CU63" s="18">
        <f>CT63*VLOOKUP('Données projet'!$B$13,Paramètres!$A$1:$I$88,3,0)*VLOOKUP('Données projet'!$B$13,Paramètres!$A$1:$I$88,5,0)</f>
        <v>427.85600000000011</v>
      </c>
      <c r="CV63" s="14">
        <f t="shared" si="41"/>
        <v>97.401724868398716</v>
      </c>
      <c r="CW63" s="22">
        <f t="shared" si="13"/>
        <v>914.82387081246122</v>
      </c>
      <c r="CX63" s="62">
        <f t="shared" si="14"/>
        <v>1176.0795771439386</v>
      </c>
      <c r="CY63" s="62">
        <f ca="1">AVERAGE(OFFSET($CX$3,0,0,'Données projet'!$E$13+1,1))-AVERAGE(OFFSET($H$3,0,0,'Données projet'!$E$13+1,1))</f>
        <v>582.26951914082088</v>
      </c>
      <c r="CZ63" s="62">
        <f t="shared" si="42"/>
        <v>434.80429932654715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55</v>
      </c>
      <c r="DC63" s="17">
        <f>IF(ISNA(VLOOKUP(A63,'Données projet'!$A$139:$I$159,5,0)),0%,VLOOKUP(A63,'Données projet'!$A$139:$I$159,5,0)*VLOOKUP('Données projet'!$B$13,Paramètres!$A$1:$I$88,7,0))</f>
        <v>0.30250000000000005</v>
      </c>
      <c r="DD63" s="17">
        <f>IF(ISNA(VLOOKUP(A63,'Données projet'!$A$139:$I$159,6,0)),0%,VLOOKUP(A63,'Données projet'!$A$139:$I$159,6,0)*VLOOKUP('Données projet'!$B$13,Paramètres!$A$1:$I$88,7,0))</f>
        <v>0.24750000000000003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50.280961201191857</v>
      </c>
      <c r="DG63" s="23">
        <f>EXP(-LN(2)/25)*DG62+(1-EXP(-LN(2)/25))/(LN(2)/25)*Calculateur!DB63*Calculateur!DD63*VLOOKUP('Données projet'!$B$13,Paramètres!$A$1:$I$88,3,0)*0.475*44/12</f>
        <v>81.402381326809703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131.68334252800156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468</v>
      </c>
      <c r="DM63" s="13">
        <f>VLOOKUP(A63,'Données projet'!$A$165:$I$185,9,0)</f>
        <v>20.2</v>
      </c>
      <c r="DN63" s="13">
        <f t="array" ref="DN63">INDEX(DM:DM,MIN(IF(ISNUMBER(DM63:DM259),ROW(DM63:DM259),"")))</f>
        <v>20.2</v>
      </c>
      <c r="DO63" s="13">
        <f>IF('Données projet'!$A$166&gt;35,DO62+DN63-DW62,IF(A63&lt;'Données projet'!$A$166,$DL$205^A63,IF(A63='Données projet'!$A$166,'Données projet'!$B$166,DO62+DN63-DW62)))</f>
        <v>467.9999999999996</v>
      </c>
      <c r="DP63" s="18">
        <f>DO63*VLOOKUP('Données projet'!$B$14,Paramètres!$A$1:$I$88,3,0)*VLOOKUP('Données projet'!$B$14,Paramètres!$A$1:$I$88,5,0)</f>
        <v>225.10799999999981</v>
      </c>
      <c r="DQ63" s="14">
        <f t="shared" si="43"/>
        <v>55.223596878889587</v>
      </c>
      <c r="DR63" s="22">
        <f t="shared" si="16"/>
        <v>488.24419789739903</v>
      </c>
      <c r="DS63" s="62">
        <f t="shared" si="17"/>
        <v>749.49990422887652</v>
      </c>
      <c r="DT63" s="62">
        <f ca="1">AVERAGE(OFFSET($DS$3,0,0,'Données projet'!$E$14+1,1))-AVERAGE(OFFSET($H$3,0,0,'Données projet'!$E$14+1,1))</f>
        <v>273.24375559399846</v>
      </c>
      <c r="DU63" s="62">
        <f t="shared" si="44"/>
        <v>270.77718895097848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32</v>
      </c>
      <c r="DX63" s="17">
        <f>IF(ISNA(VLOOKUP(A63,'Données projet'!$A$165:$I$185,5,0)),0%,VLOOKUP(A63,'Données projet'!$A$165:$I$185,5,0)*VLOOKUP('Données projet'!$B$14,Paramètres!$A$1:$I$88,7,0))</f>
        <v>0.41250000000000003</v>
      </c>
      <c r="DY63" s="17">
        <f>IF(ISNA(VLOOKUP(A63,'Données projet'!$A$165:$I$185,6,0)),0%,VLOOKUP(A63,'Données projet'!$A$165:$I$185,6,0)*VLOOKUP('Données projet'!$B$14,Paramètres!$A$1:$I$88,7,0))</f>
        <v>0.13750000000000001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projet'!$B$14,Paramètres!$A$1:$I$88,3,0)*0.475*44/12</f>
        <v>39.942765722555706</v>
      </c>
      <c r="EB63" s="23">
        <f>EXP(-LN(2)/25)*EB62+(1-EXP(-LN(2)/25))/(LN(2)/25)*Calculateur!DW63*Calculateur!DY63*VLOOKUP('Données projet'!$B$14,Paramètres!$A$1:$I$88,3,0)*0.475*44/12</f>
        <v>50.246230133651359</v>
      </c>
      <c r="EC63" s="23">
        <f>EXP(-LN(2)/2)*EC62+(1-EXP(-LN(2)/2))/(LN(2)/2)*DW63*DZ63*VLOOKUP('Données projet'!$B$14,Paramètres!$A$1:$I$88,3,0)*0.475*44/12</f>
        <v>0</v>
      </c>
      <c r="ED63" s="24">
        <f t="shared" si="18"/>
        <v>90.188995856207072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468</v>
      </c>
      <c r="EH63" s="13">
        <f>VLOOKUP(A63,'Données projet'!$A$191:$I$211,9,0)</f>
        <v>20.2</v>
      </c>
      <c r="EI63" s="13">
        <f t="array" ref="EI63">INDEX(EH:EH,MIN(IF(ISNUMBER(EH63:EH259),ROW(EH63:EH259),"")))</f>
        <v>20.2</v>
      </c>
      <c r="EJ63" s="13">
        <f>IF('Données projet'!$A$192&gt;35,EJ62+EI63-ER62,IF(A63&lt;'Données projet'!$A$192,$EG$205^A63,IF(A63='Données projet'!$A$192,'Données projet'!$B$192,EJ62+EI63-ER62)))</f>
        <v>467.9999999999996</v>
      </c>
      <c r="EK63" s="18">
        <f>EJ63*VLOOKUP('Données projet'!$B$15,Paramètres!$A$1:$I$88,3,0)*VLOOKUP('Données projet'!$B$15,Paramètres!$A$1:$I$88,5,0)</f>
        <v>219.0239999999998</v>
      </c>
      <c r="EL63" s="14">
        <f t="shared" si="45"/>
        <v>53.902702081308306</v>
      </c>
      <c r="EM63" s="22">
        <f t="shared" si="19"/>
        <v>475.34733945827821</v>
      </c>
      <c r="EN63" s="62">
        <f t="shared" si="20"/>
        <v>736.6030457897557</v>
      </c>
      <c r="EO63" s="62">
        <f ca="1">AVERAGE(OFFSET($EN$3,0,0,'Données projet'!$E$15+1,1))-AVERAGE(OFFSET($H$3,0,0,'Données projet'!$E$15+1,1))</f>
        <v>267.26203506406682</v>
      </c>
      <c r="EP63" s="62">
        <f t="shared" si="46"/>
        <v>265.10857635664843</v>
      </c>
      <c r="EQ63" s="16">
        <f>IF(ISNA(VLOOKUP(A63,'Données projet'!$A$191:$I$211,3,0)),0,VLOOKUP(A63,'Données projet'!$A$191:$I$211,3,0))</f>
        <v>10</v>
      </c>
      <c r="ER63" s="16">
        <f>IF(ISNA(VLOOKUP(A63,'Données projet'!$A$191:$I$211,4,0)),0,VLOOKUP(A63,'Données projet'!$A$191:$I$211,4,0))</f>
        <v>32</v>
      </c>
      <c r="ES63" s="17">
        <f>IF(ISNA(VLOOKUP(A63,'Données projet'!$A$191:$I$211,5,0)),0%,VLOOKUP(A63,'Données projet'!$A$191:$I$211,5,0)*VLOOKUP('Données projet'!$B$15,Paramètres!$A$1:$I$88,7,0))</f>
        <v>0.41250000000000003</v>
      </c>
      <c r="ET63" s="17">
        <f>IF(ISNA(VLOOKUP(A63,'Données projet'!$A$191:$I$211,6,0)),0%,VLOOKUP(A63,'Données projet'!$A$191:$I$211,6,0)*VLOOKUP('Données projet'!$B$15,Paramètres!$A$1:$I$88,7,0))</f>
        <v>0.13750000000000001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projet'!$B$15,Paramètres!$A$1:$I$88,3,0)*0.475*44/12</f>
        <v>38.863231513837974</v>
      </c>
      <c r="EW63" s="23">
        <f>EXP(-LN(2)/25)*EW62+(1-EXP(-LN(2)/25))/(LN(2)/25)*Calculateur!ER63*Calculateur!ET63*VLOOKUP('Données projet'!$B$15,Paramètres!$A$1:$I$88,3,0)*0.475*44/12</f>
        <v>48.888223913822948</v>
      </c>
      <c r="EX63" s="23">
        <f>EXP(-LN(2)/2)*EX62+(1-EXP(-LN(2)/2))/(LN(2)/2)*ER63*EU63*VLOOKUP('Données projet'!$B$15,Paramètres!$A$1:$I$88,3,0)*0.475*44/12</f>
        <v>0</v>
      </c>
      <c r="EY63" s="24">
        <f t="shared" si="21"/>
        <v>87.751455427660915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231</v>
      </c>
      <c r="FF63" s="18">
        <f>FE63*VLOOKUP('Données projet'!$B$16,Paramètres!$A$1:$I$88,3,0)*VLOOKUP('Données projet'!$B$16,Paramètres!$A$1:$I$88,5,0)</f>
        <v>169.36920000000001</v>
      </c>
      <c r="FG63" s="14">
        <f t="shared" si="47"/>
        <v>42.948714817158674</v>
      </c>
      <c r="FH63" s="22">
        <f t="shared" si="22"/>
        <v>369.787034973218</v>
      </c>
      <c r="FI63" s="62">
        <f t="shared" si="23"/>
        <v>631.04274130469548</v>
      </c>
      <c r="FJ63" s="62">
        <f ca="1">AVERAGE(OFFSET($FI$3,0,0,'Données projet'!$E$16+1,1))-AVERAGE(OFFSET($H$3,0,0,'Données projet'!$E$16+1,1))</f>
        <v>207.66160354686221</v>
      </c>
      <c r="FK63" s="62">
        <f t="shared" si="48"/>
        <v>260.45879589483525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projet'!$B$16,Paramètres!$A$1:$I$88,3,0)*0.475*44/12</f>
        <v>2.8579318908965661</v>
      </c>
      <c r="FR63" s="23">
        <f>EXP(-LN(2)/25)*FR62+(1-EXP(-LN(2)/25))/(LN(2)/25)*Calculateur!FM63*Calculateur!FO63*VLOOKUP('Données projet'!$B$16,Paramètres!$A$1:$I$88,3,0)*0.475*44/12</f>
        <v>0</v>
      </c>
      <c r="FS63" s="23">
        <f>EXP(-LN(2)/2)*FS62+(1-EXP(-LN(2)/2))/(LN(2)/2)*FM63*FP63*VLOOKUP('Données projet'!$B$16,Paramètres!$A$1:$I$88,3,0)*0.475*44/12</f>
        <v>0</v>
      </c>
      <c r="FT63" s="24">
        <f t="shared" si="24"/>
        <v>2.8579318908965661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projet'!$B$9,Paramètres!$A$1:$I$88,3,0)*VLOOKUP('Données projet'!$B$9,Paramètres!$A$1:$I$88,5,0)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378.13552372917843</v>
      </c>
      <c r="T64" s="62">
        <f t="shared" si="34"/>
        <v>528.97123645404952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216.2287546025068</v>
      </c>
      <c r="AA64" s="23">
        <f>EXP(-LN(2)/25)*AA63+(1-EXP(-LN(2)/25))/(LN(2)/25)*Calculateur!V64*Calculateur!X64*VLOOKUP('Données projet'!$B$9,Paramètres!$A$1:$I$88,3,0)*0.475*44/12</f>
        <v>106.654633591726</v>
      </c>
      <c r="AB64" s="23">
        <f>EXP(-LN(2)/2)*AB63+(1-EXP(-LN(2)/2))/(LN(2)/2)*V64*Y64*VLOOKUP('Données projet'!$B$9,Paramètres!$A$1:$I$88,3,0)*0.475*44/12</f>
        <v>0</v>
      </c>
      <c r="AC64" s="24">
        <f t="shared" si="3"/>
        <v>322.88338819423279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>
        <f>VLOOKUP(A64,'Données projet'!$A$61:$I$81,2,0)</f>
        <v>218</v>
      </c>
      <c r="AG64" s="13">
        <f>VLOOKUP(A64,'Données projet'!$A$61:$I$81,9,0)</f>
        <v>8.5</v>
      </c>
      <c r="AH64" s="13">
        <f t="array" ref="AH64">INDEX(AG:AG,MIN(IF(ISNUMBER(AG64:AG260),ROW(AG64:AG260),"")))</f>
        <v>8.5</v>
      </c>
      <c r="AI64" s="14">
        <f>IF('Données projet'!$A$62&gt;35,AI63+AH64-AQ63,IF(A64&lt;'Données projet'!$A$62,$AF$205^A64,IF(A64='Données projet'!$A$62,'Données projet'!$B$62,AI63+AH64-AQ63)))</f>
        <v>218</v>
      </c>
      <c r="AJ64" s="14">
        <f>AI64*VLOOKUP('Données projet'!$B$10,Paramètres!$A$1:$I$88,3,0)*VLOOKUP('Données projet'!$B$10,Paramètres!$A$1:$I$88,5,0)</f>
        <v>197.24639999999999</v>
      </c>
      <c r="AK64" s="14">
        <f t="shared" si="35"/>
        <v>49.138522374247202</v>
      </c>
      <c r="AL64" s="22">
        <f t="shared" si="4"/>
        <v>429.12040646848055</v>
      </c>
      <c r="AM64" s="62">
        <f t="shared" si="5"/>
        <v>690.93258791360995</v>
      </c>
      <c r="AN64" s="62">
        <f ca="1">AVERAGE(OFFSET($AM$3,0,0,'Données projet'!$E$10+1,1))-AVERAGE(OFFSET($H$3,0,0,'Données projet'!$E$10+1,1))</f>
        <v>536.3707066106856</v>
      </c>
      <c r="AO64" s="62">
        <f t="shared" si="36"/>
        <v>217.6280015974086</v>
      </c>
      <c r="AP64" s="16">
        <f>IF(ISNA(VLOOKUP(A64,'Données projet'!$A$61:$I$81,3,0)),0,VLOOKUP(A64,'Données projet'!$A$61:$I$81,3,0))</f>
        <v>7</v>
      </c>
      <c r="AQ64" s="16">
        <f>IF(ISNA(VLOOKUP(A64,'Données projet'!$A$61:$I$81,4,0)),0,VLOOKUP(A64,'Données projet'!$A$61:$I$81,4,0))</f>
        <v>47</v>
      </c>
      <c r="AR64" s="17">
        <f>IF(ISNA(VLOOKUP(A64,'Données projet'!$A$61:$I$81,5,0)),0%,VLOOKUP(A64,'Données projet'!$A$61:$I$81,5,0)*VLOOKUP('Données projet'!$B$10,Paramètres!$A$1:$I$88,7,0))</f>
        <v>0.129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12.152145740278678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12.152145740278678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3.6125000000000043</v>
      </c>
      <c r="BD64" s="13">
        <f>IF('Données projet'!$A$88&gt;35,BD63+BC64-BL63,IF(A64&lt;'Données projet'!$A$88,$BA$205^A64,IF(A64='Données projet'!$A$88,'Données projet'!$B$88,BD63+BC64-BL63)))</f>
        <v>305.1875</v>
      </c>
      <c r="BE64" s="14">
        <f>BD64*VLOOKUP('Données projet'!$B$11,Paramètres!$A$1:$I$88,3,0)*VLOOKUP('Données projet'!$B$11,Paramètres!$A$1:$I$88,5,0)</f>
        <v>182.50212500000004</v>
      </c>
      <c r="BF64" s="14">
        <f t="shared" si="37"/>
        <v>45.878414830019153</v>
      </c>
      <c r="BG64" s="22">
        <f t="shared" si="7"/>
        <v>397.76277353728341</v>
      </c>
      <c r="BH64" s="62">
        <f t="shared" si="8"/>
        <v>659.57495498241269</v>
      </c>
      <c r="BI64" s="62">
        <f ca="1">AVERAGE(OFFSET($BH$3,0,0,'Données projet'!$E$11+1,1))-AVERAGE(OFFSET($H$3,0,0,'Données projet'!$E$11+1,1))</f>
        <v>248.66193174773525</v>
      </c>
      <c r="BJ64" s="62">
        <f t="shared" si="38"/>
        <v>249.61655682981151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18.91597172729832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0.4458898537213451</v>
      </c>
      <c r="BS64" s="24">
        <f t="shared" si="9"/>
        <v>19.361861581019664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23.2</v>
      </c>
      <c r="BY64" s="13">
        <f>IF('Données projet'!$A$114&gt;35,BY63+BX64-CG63,IF(A64&lt;'Données projet'!$A$114,$BV$205^A64,IF(A64='Données projet'!$A$114,'Données projet'!$B$114,BY63+BX64-CG63)))</f>
        <v>693.19999999999982</v>
      </c>
      <c r="BZ64" s="14">
        <f>BY64*VLOOKUP('Données projet'!$B$12,Paramètres!$A$1:$I$88,3,0)*VLOOKUP('Données projet'!$B$12,Paramètres!$A$1:$I$88,5,0)</f>
        <v>279.35959999999994</v>
      </c>
      <c r="CA64" s="14">
        <f t="shared" si="39"/>
        <v>66.83165592177113</v>
      </c>
      <c r="CB64" s="22">
        <f t="shared" si="10"/>
        <v>602.94977073041787</v>
      </c>
      <c r="CC64" s="62">
        <f t="shared" si="11"/>
        <v>864.76195217554721</v>
      </c>
      <c r="CD64" s="62">
        <f ca="1">AVERAGE(OFFSET($CC$3,0,0,'Données projet'!$E$12+1,1))-AVERAGE(OFFSET($H$3,0,0,'Données projet'!$E$12+1,1))</f>
        <v>432.59662347701629</v>
      </c>
      <c r="CE64" s="62">
        <f t="shared" si="40"/>
        <v>348.67401091099748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42.247666943830502</v>
      </c>
      <c r="CL64" s="23">
        <f>EXP(-LN(2)/25)*CL63+(1-EXP(-LN(2)/25))/(LN(2)/25)*Calculateur!CG64*Calculateur!CI64*VLOOKUP('Données projet'!$B$12,Paramètres!$A$1:$I$88,3,0)*0.475*44/12</f>
        <v>82.142538903527367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124.39020584735786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23</v>
      </c>
      <c r="CT64" s="13">
        <f>IF('Données projet'!$A$140&gt;35,CT63+CS64-DB63,IF(A64&lt;'Données projet'!$A$140,$CQ$205^A64,IF(A64='Données projet'!$A$140,'Données projet'!$B$140,CT63+CS64-DB63)))</f>
        <v>936.00000000000011</v>
      </c>
      <c r="CU64" s="18">
        <f>CT64*VLOOKUP('Données projet'!$B$13,Paramètres!$A$1:$I$88,3,0)*VLOOKUP('Données projet'!$B$13,Paramètres!$A$1:$I$88,5,0)</f>
        <v>413.7120000000001</v>
      </c>
      <c r="CV64" s="14">
        <f t="shared" si="41"/>
        <v>94.55108612160069</v>
      </c>
      <c r="CW64" s="22">
        <f t="shared" si="13"/>
        <v>885.22487499512135</v>
      </c>
      <c r="CX64" s="62">
        <f t="shared" si="14"/>
        <v>1147.0370564402506</v>
      </c>
      <c r="CY64" s="62">
        <f ca="1">AVERAGE(OFFSET($CX$3,0,0,'Données projet'!$E$13+1,1))-AVERAGE(OFFSET($H$3,0,0,'Données projet'!$E$13+1,1))</f>
        <v>582.26951914082088</v>
      </c>
      <c r="CZ64" s="62">
        <f t="shared" si="42"/>
        <v>434.80429932654715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49.294982220394566</v>
      </c>
      <c r="DG64" s="23">
        <f>EXP(-LN(2)/25)*DG63+(1-EXP(-LN(2)/25))/(LN(2)/25)*Calculateur!DB64*Calculateur!DD64*VLOOKUP('Données projet'!$B$13,Paramètres!$A$1:$I$88,3,0)*0.475*44/12</f>
        <v>79.176428928662901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128.47141114905747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18.2</v>
      </c>
      <c r="DO64" s="13">
        <f>IF('Données projet'!$A$166&gt;35,DO63+DN64-DW63,IF(A64&lt;'Données projet'!$A$166,$DL$205^A64,IF(A64='Données projet'!$A$166,'Données projet'!$B$166,DO63+DN64-DW63)))</f>
        <v>454.19999999999959</v>
      </c>
      <c r="DP64" s="18">
        <f>DO64*VLOOKUP('Données projet'!$B$14,Paramètres!$A$1:$I$88,3,0)*VLOOKUP('Données projet'!$B$14,Paramètres!$A$1:$I$88,5,0)</f>
        <v>218.47019999999983</v>
      </c>
      <c r="DQ64" s="14">
        <f t="shared" si="43"/>
        <v>53.782256338496374</v>
      </c>
      <c r="DR64" s="22">
        <f t="shared" si="16"/>
        <v>474.17302812288079</v>
      </c>
      <c r="DS64" s="62">
        <f t="shared" si="17"/>
        <v>735.98520956801008</v>
      </c>
      <c r="DT64" s="62">
        <f ca="1">AVERAGE(OFFSET($DS$3,0,0,'Données projet'!$E$14+1,1))-AVERAGE(OFFSET($H$3,0,0,'Données projet'!$E$14+1,1))</f>
        <v>273.24375559399846</v>
      </c>
      <c r="DU64" s="62">
        <f t="shared" si="44"/>
        <v>270.77718895097848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projet'!$B$14,Paramètres!$A$1:$I$88,3,0)*0.475*44/12</f>
        <v>39.159512449417861</v>
      </c>
      <c r="EB64" s="23">
        <f>EXP(-LN(2)/25)*EB63+(1-EXP(-LN(2)/25))/(LN(2)/25)*Calculateur!DW64*Calculateur!DY64*VLOOKUP('Données projet'!$B$14,Paramètres!$A$1:$I$88,3,0)*0.475*44/12</f>
        <v>48.872244328312256</v>
      </c>
      <c r="EC64" s="23">
        <f>EXP(-LN(2)/2)*EC63+(1-EXP(-LN(2)/2))/(LN(2)/2)*DW64*DZ64*VLOOKUP('Données projet'!$B$14,Paramètres!$A$1:$I$88,3,0)*0.475*44/12</f>
        <v>0</v>
      </c>
      <c r="ED64" s="24">
        <f t="shared" si="18"/>
        <v>88.031756777730124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18.2</v>
      </c>
      <c r="EJ64" s="13">
        <f>IF('Données projet'!$A$192&gt;35,EJ63+EI64-ER63,IF(A64&lt;'Données projet'!$A$192,$EG$205^A64,IF(A64='Données projet'!$A$192,'Données projet'!$B$192,EJ63+EI64-ER63)))</f>
        <v>454.19999999999959</v>
      </c>
      <c r="EK64" s="18">
        <f>EJ64*VLOOKUP('Données projet'!$B$15,Paramètres!$A$1:$I$88,3,0)*VLOOKUP('Données projet'!$B$15,Paramètres!$A$1:$I$88,5,0)</f>
        <v>212.56559999999982</v>
      </c>
      <c r="EL64" s="14">
        <f t="shared" si="45"/>
        <v>52.495837006638943</v>
      </c>
      <c r="EM64" s="22">
        <f t="shared" si="19"/>
        <v>461.6486694532291</v>
      </c>
      <c r="EN64" s="62">
        <f t="shared" si="20"/>
        <v>723.46085089835844</v>
      </c>
      <c r="EO64" s="62">
        <f ca="1">AVERAGE(OFFSET($EN$3,0,0,'Données projet'!$E$15+1,1))-AVERAGE(OFFSET($H$3,0,0,'Données projet'!$E$15+1,1))</f>
        <v>267.26203506406682</v>
      </c>
      <c r="EP64" s="62">
        <f t="shared" si="46"/>
        <v>265.10857635664843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projet'!$B$15,Paramètres!$A$1:$I$88,3,0)*0.475*44/12</f>
        <v>38.101147248082235</v>
      </c>
      <c r="EW64" s="23">
        <f>EXP(-LN(2)/25)*EW63+(1-EXP(-LN(2)/25))/(LN(2)/25)*Calculateur!ER64*Calculateur!ET64*VLOOKUP('Données projet'!$B$15,Paramètres!$A$1:$I$88,3,0)*0.475*44/12</f>
        <v>47.551372859979502</v>
      </c>
      <c r="EX64" s="23">
        <f>EXP(-LN(2)/2)*EX63+(1-EXP(-LN(2)/2))/(LN(2)/2)*ER64*EU64*VLOOKUP('Données projet'!$B$15,Paramètres!$A$1:$I$88,3,0)*0.475*44/12</f>
        <v>0</v>
      </c>
      <c r="EY64" s="24">
        <f t="shared" si="21"/>
        <v>85.652520108061736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231</v>
      </c>
      <c r="FF64" s="18">
        <f>FE64*VLOOKUP('Données projet'!$B$16,Paramètres!$A$1:$I$88,3,0)*VLOOKUP('Données projet'!$B$16,Paramètres!$A$1:$I$88,5,0)</f>
        <v>169.36920000000001</v>
      </c>
      <c r="FG64" s="14">
        <f t="shared" si="47"/>
        <v>42.948714817158674</v>
      </c>
      <c r="FH64" s="22">
        <f t="shared" si="22"/>
        <v>369.787034973218</v>
      </c>
      <c r="FI64" s="62">
        <f t="shared" si="23"/>
        <v>631.5992164183474</v>
      </c>
      <c r="FJ64" s="62">
        <f ca="1">AVERAGE(OFFSET($FI$3,0,0,'Données projet'!$E$16+1,1))-AVERAGE(OFFSET($H$3,0,0,'Données projet'!$E$16+1,1))</f>
        <v>207.66160354686221</v>
      </c>
      <c r="FK64" s="62">
        <f t="shared" si="48"/>
        <v>260.45879589483525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projet'!$B$16,Paramètres!$A$1:$I$88,3,0)*0.475*44/12</f>
        <v>2.8018895896824145</v>
      </c>
      <c r="FR64" s="23">
        <f>EXP(-LN(2)/25)*FR63+(1-EXP(-LN(2)/25))/(LN(2)/25)*Calculateur!FM64*Calculateur!FO64*VLOOKUP('Données projet'!$B$16,Paramètres!$A$1:$I$88,3,0)*0.475*44/12</f>
        <v>0</v>
      </c>
      <c r="FS64" s="23">
        <f>EXP(-LN(2)/2)*FS63+(1-EXP(-LN(2)/2))/(LN(2)/2)*FM64*FP64*VLOOKUP('Données projet'!$B$16,Paramètres!$A$1:$I$88,3,0)*0.475*44/12</f>
        <v>0</v>
      </c>
      <c r="FT64" s="24">
        <f t="shared" si="24"/>
        <v>2.8018895896824145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projet'!$B$9,Paramètres!$A$1:$I$88,3,0)*VLOOKUP('Données projet'!$B$9,Paramètres!$A$1:$I$88,5,0)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378.13552372917843</v>
      </c>
      <c r="T65" s="62">
        <f t="shared" si="34"/>
        <v>528.97123645404952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211.98864061126923</v>
      </c>
      <c r="AA65" s="23">
        <f>EXP(-LN(2)/25)*AA64+(1-EXP(-LN(2)/25))/(LN(2)/25)*Calculateur!V65*Calculateur!X65*VLOOKUP('Données projet'!$B$9,Paramètres!$A$1:$I$88,3,0)*0.475*44/12</f>
        <v>103.73815702743683</v>
      </c>
      <c r="AB65" s="23">
        <f>EXP(-LN(2)/2)*AB64+(1-EXP(-LN(2)/2))/(LN(2)/2)*V65*Y65*VLOOKUP('Données projet'!$B$9,Paramètres!$A$1:$I$88,3,0)*0.475*44/12</f>
        <v>0</v>
      </c>
      <c r="AC65" s="24">
        <f t="shared" si="3"/>
        <v>315.72679763870605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8.125</v>
      </c>
      <c r="AI65" s="14">
        <f>IF('Données projet'!$A$62&gt;35,AI64+AH65-AQ64,IF(A65&lt;'Données projet'!$A$62,$AF$205^A65,IF(A65='Données projet'!$A$62,'Données projet'!$B$62,AI64+AH65-AQ64)))</f>
        <v>179.125</v>
      </c>
      <c r="AJ65" s="14">
        <f>AI65*VLOOKUP('Données projet'!$B$10,Paramètres!$A$1:$I$88,3,0)*VLOOKUP('Données projet'!$B$10,Paramètres!$A$1:$I$88,5,0)</f>
        <v>162.07230000000001</v>
      </c>
      <c r="AK65" s="14">
        <f t="shared" si="35"/>
        <v>41.309577807279609</v>
      </c>
      <c r="AL65" s="22">
        <f t="shared" si="4"/>
        <v>354.223437181012</v>
      </c>
      <c r="AM65" s="62">
        <f t="shared" si="5"/>
        <v>616.58244014066327</v>
      </c>
      <c r="AN65" s="62">
        <f ca="1">AVERAGE(OFFSET($AM$3,0,0,'Données projet'!$E$10+1,1))-AVERAGE(OFFSET($H$3,0,0,'Données projet'!$E$10+1,1))</f>
        <v>536.3707066106856</v>
      </c>
      <c r="AO65" s="62">
        <f t="shared" si="36"/>
        <v>217.6280015974086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11.913849574388832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11.913849574388832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>
        <f>VLOOKUP(A65,'Données projet'!$A$87:$I$107,2,0)</f>
        <v>308.8</v>
      </c>
      <c r="BB65" s="13">
        <f>VLOOKUP(A65,'Données projet'!$A$87:$I$107,9,0)</f>
        <v>3.6125000000000043</v>
      </c>
      <c r="BC65" s="13">
        <f t="array" ref="BC65">INDEX(BB:BB,MIN(IF(ISNUMBER(BB65:BB261),ROW(BB65:BB261),"")))</f>
        <v>3.6125000000000043</v>
      </c>
      <c r="BD65" s="13">
        <f>IF('Données projet'!$A$88&gt;35,BD64+BC65-BL64,IF(A65&lt;'Données projet'!$A$88,$BA$205^A65,IF(A65='Données projet'!$A$88,'Données projet'!$B$88,BD64+BC65-BL64)))</f>
        <v>308.8</v>
      </c>
      <c r="BE65" s="14">
        <f>BD65*VLOOKUP('Données projet'!$B$11,Paramètres!$A$1:$I$88,3,0)*VLOOKUP('Données projet'!$B$11,Paramètres!$A$1:$I$88,5,0)</f>
        <v>184.66240000000002</v>
      </c>
      <c r="BF65" s="14">
        <f t="shared" si="37"/>
        <v>46.357935400059141</v>
      </c>
      <c r="BG65" s="22">
        <f t="shared" si="7"/>
        <v>402.36041748843633</v>
      </c>
      <c r="BH65" s="62">
        <f t="shared" si="8"/>
        <v>664.7194204480877</v>
      </c>
      <c r="BI65" s="62">
        <f ca="1">AVERAGE(OFFSET($BH$3,0,0,'Données projet'!$E$11+1,1))-AVERAGE(OFFSET($H$3,0,0,'Données projet'!$E$11+1,1))</f>
        <v>248.66193174773525</v>
      </c>
      <c r="BJ65" s="62">
        <f t="shared" si="38"/>
        <v>249.61655682981151</v>
      </c>
      <c r="BK65" s="16">
        <f>IF(ISNA(VLOOKUP(A65,'Données projet'!$A$87:$I$107,3,0)),0,VLOOKUP(A65,'Données projet'!$A$87:$I$107,3,0))</f>
        <v>9</v>
      </c>
      <c r="BL65" s="16">
        <f>IF(ISNA(VLOOKUP(A65,'Données projet'!$A$87:$I$107,4,0)),0,VLOOKUP(A65,'Données projet'!$A$87:$I$107,4,0))</f>
        <v>6.5</v>
      </c>
      <c r="BM65" s="17">
        <f>IF(ISNA(VLOOKUP(A65,'Données projet'!$A$87:$I$107,5,0)),0%,VLOOKUP(A65,'Données projet'!$A$87:$I$107,5,0)*VLOOKUP('Données projet'!$B$11,Paramètres!$A$1:$I$88,7,0))</f>
        <v>0.27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0.4</v>
      </c>
      <c r="BP65" s="23">
        <f>EXP(-LN(2)/35)*BP64+(1-EXP(-LN(2)/35))/(LN(2)/35)*BL65*BM65*VLOOKUP('Données projet'!$B$11,Paramètres!$A$1:$I$88,3,0)*0.475*44/12</f>
        <v>19.937257189668752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2.0756865154227899</v>
      </c>
      <c r="BS65" s="24">
        <f t="shared" si="9"/>
        <v>22.012943705091544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23.2</v>
      </c>
      <c r="BY65" s="13">
        <f>IF('Données projet'!$A$114&gt;35,BY64+BX65-CG64,IF(A65&lt;'Données projet'!$A$114,$BV$205^A65,IF(A65='Données projet'!$A$114,'Données projet'!$B$114,BY64+BX65-CG64)))</f>
        <v>716.39999999999986</v>
      </c>
      <c r="BZ65" s="14">
        <f>BY65*VLOOKUP('Données projet'!$B$12,Paramètres!$A$1:$I$88,3,0)*VLOOKUP('Données projet'!$B$12,Paramètres!$A$1:$I$88,5,0)</f>
        <v>288.70919999999995</v>
      </c>
      <c r="CA65" s="14">
        <f t="shared" si="39"/>
        <v>68.804219335128607</v>
      </c>
      <c r="CB65" s="22">
        <f t="shared" si="10"/>
        <v>622.66920534201552</v>
      </c>
      <c r="CC65" s="62">
        <f t="shared" si="11"/>
        <v>885.02820830166684</v>
      </c>
      <c r="CD65" s="62">
        <f ca="1">AVERAGE(OFFSET($CC$3,0,0,'Données projet'!$E$12+1,1))-AVERAGE(OFFSET($H$3,0,0,'Données projet'!$E$12+1,1))</f>
        <v>432.59662347701629</v>
      </c>
      <c r="CE65" s="62">
        <f t="shared" si="40"/>
        <v>348.67401091099748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41.41921596359439</v>
      </c>
      <c r="CL65" s="23">
        <f>EXP(-LN(2)/25)*CL64+(1-EXP(-LN(2)/25))/(LN(2)/25)*Calculateur!CG65*Calculateur!CI65*VLOOKUP('Données projet'!$B$12,Paramètres!$A$1:$I$88,3,0)*0.475*44/12</f>
        <v>79.896346857522033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121.31556282111643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23</v>
      </c>
      <c r="CT65" s="13">
        <f>IF('Données projet'!$A$140&gt;35,CT64+CS65-DB64,IF(A65&lt;'Données projet'!$A$140,$CQ$205^A65,IF(A65='Données projet'!$A$140,'Données projet'!$B$140,CT64+CS65-DB64)))</f>
        <v>959.00000000000011</v>
      </c>
      <c r="CU65" s="18">
        <f>CT65*VLOOKUP('Données projet'!$B$13,Paramètres!$A$1:$I$88,3,0)*VLOOKUP('Données projet'!$B$13,Paramètres!$A$1:$I$88,5,0)</f>
        <v>423.8780000000001</v>
      </c>
      <c r="CV65" s="14">
        <f t="shared" si="41"/>
        <v>96.601107027251544</v>
      </c>
      <c r="CW65" s="22">
        <f t="shared" si="13"/>
        <v>906.50111140579656</v>
      </c>
      <c r="CX65" s="62">
        <f t="shared" si="14"/>
        <v>1168.8601143654478</v>
      </c>
      <c r="CY65" s="62">
        <f ca="1">AVERAGE(OFFSET($CX$3,0,0,'Données projet'!$E$13+1,1))-AVERAGE(OFFSET($H$3,0,0,'Données projet'!$E$13+1,1))</f>
        <v>582.26951914082088</v>
      </c>
      <c r="CZ65" s="62">
        <f t="shared" si="42"/>
        <v>434.80429932654715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48.328337686022913</v>
      </c>
      <c r="DG65" s="23">
        <f>EXP(-LN(2)/25)*DG64+(1-EXP(-LN(2)/25))/(LN(2)/25)*Calculateur!DB65*Calculateur!DD65*VLOOKUP('Données projet'!$B$13,Paramètres!$A$1:$I$88,3,0)*0.475*44/12</f>
        <v>77.011345315901181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125.3396830019241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18.2</v>
      </c>
      <c r="DO65" s="13">
        <f>IF('Données projet'!$A$166&gt;35,DO64+DN65-DW64,IF(A65&lt;'Données projet'!$A$166,$DL$205^A65,IF(A65='Données projet'!$A$166,'Données projet'!$B$166,DO64+DN65-DW64)))</f>
        <v>472.39999999999958</v>
      </c>
      <c r="DP65" s="18">
        <f>DO65*VLOOKUP('Données projet'!$B$14,Paramètres!$A$1:$I$88,3,0)*VLOOKUP('Données projet'!$B$14,Paramètres!$A$1:$I$88,5,0)</f>
        <v>227.2243999999998</v>
      </c>
      <c r="DQ65" s="14">
        <f t="shared" si="43"/>
        <v>55.682108498905791</v>
      </c>
      <c r="DR65" s="22">
        <f t="shared" si="16"/>
        <v>492.72883563559395</v>
      </c>
      <c r="DS65" s="62">
        <f t="shared" si="17"/>
        <v>755.08783859524533</v>
      </c>
      <c r="DT65" s="62">
        <f ca="1">AVERAGE(OFFSET($DS$3,0,0,'Données projet'!$E$14+1,1))-AVERAGE(OFFSET($H$3,0,0,'Données projet'!$E$14+1,1))</f>
        <v>273.24375559399846</v>
      </c>
      <c r="DU65" s="62">
        <f t="shared" si="44"/>
        <v>270.77718895097848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projet'!$B$14,Paramètres!$A$1:$I$88,3,0)*0.475*44/12</f>
        <v>38.39161829522893</v>
      </c>
      <c r="EB65" s="23">
        <f>EXP(-LN(2)/25)*EB64+(1-EXP(-LN(2)/25))/(LN(2)/25)*Calculateur!DW65*Calculateur!DY65*VLOOKUP('Données projet'!$B$14,Paramètres!$A$1:$I$88,3,0)*0.475*44/12</f>
        <v>47.535830237074926</v>
      </c>
      <c r="EC65" s="23">
        <f>EXP(-LN(2)/2)*EC64+(1-EXP(-LN(2)/2))/(LN(2)/2)*DW65*DZ65*VLOOKUP('Données projet'!$B$14,Paramètres!$A$1:$I$88,3,0)*0.475*44/12</f>
        <v>0</v>
      </c>
      <c r="ED65" s="24">
        <f t="shared" si="18"/>
        <v>85.927448532303856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18.2</v>
      </c>
      <c r="EJ65" s="13">
        <f>IF('Données projet'!$A$192&gt;35,EJ64+EI65-ER64,IF(A65&lt;'Données projet'!$A$192,$EG$205^A65,IF(A65='Données projet'!$A$192,'Données projet'!$B$192,EJ64+EI65-ER64)))</f>
        <v>472.39999999999958</v>
      </c>
      <c r="EK65" s="18">
        <f>EJ65*VLOOKUP('Données projet'!$B$15,Paramètres!$A$1:$I$88,3,0)*VLOOKUP('Données projet'!$B$15,Paramètres!$A$1:$I$88,5,0)</f>
        <v>221.08319999999981</v>
      </c>
      <c r="EL65" s="14">
        <f t="shared" si="45"/>
        <v>54.350246548735043</v>
      </c>
      <c r="EM65" s="22">
        <f t="shared" si="19"/>
        <v>479.71325273904654</v>
      </c>
      <c r="EN65" s="62">
        <f t="shared" si="20"/>
        <v>742.07225569869786</v>
      </c>
      <c r="EO65" s="62">
        <f ca="1">AVERAGE(OFFSET($EN$3,0,0,'Données projet'!$E$15+1,1))-AVERAGE(OFFSET($H$3,0,0,'Données projet'!$E$15+1,1))</f>
        <v>267.26203506406682</v>
      </c>
      <c r="EP65" s="62">
        <f t="shared" si="46"/>
        <v>265.10857635664843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projet'!$B$15,Paramètres!$A$1:$I$88,3,0)*0.475*44/12</f>
        <v>37.35400698995246</v>
      </c>
      <c r="EW65" s="23">
        <f>EXP(-LN(2)/25)*EW64+(1-EXP(-LN(2)/25))/(LN(2)/25)*Calculateur!ER65*Calculateur!ET65*VLOOKUP('Données projet'!$B$15,Paramètres!$A$1:$I$88,3,0)*0.475*44/12</f>
        <v>46.251078068505343</v>
      </c>
      <c r="EX65" s="23">
        <f>EXP(-LN(2)/2)*EX64+(1-EXP(-LN(2)/2))/(LN(2)/2)*ER65*EU65*VLOOKUP('Données projet'!$B$15,Paramètres!$A$1:$I$88,3,0)*0.475*44/12</f>
        <v>0</v>
      </c>
      <c r="EY65" s="24">
        <f t="shared" si="21"/>
        <v>83.605085058457803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231</v>
      </c>
      <c r="FF65" s="18">
        <f>FE65*VLOOKUP('Données projet'!$B$16,Paramètres!$A$1:$I$88,3,0)*VLOOKUP('Données projet'!$B$16,Paramètres!$A$1:$I$88,5,0)</f>
        <v>169.36920000000001</v>
      </c>
      <c r="FG65" s="14">
        <f t="shared" si="47"/>
        <v>42.948714817158674</v>
      </c>
      <c r="FH65" s="22">
        <f t="shared" si="22"/>
        <v>369.787034973218</v>
      </c>
      <c r="FI65" s="62">
        <f t="shared" si="23"/>
        <v>632.14603793286938</v>
      </c>
      <c r="FJ65" s="62">
        <f ca="1">AVERAGE(OFFSET($FI$3,0,0,'Données projet'!$E$16+1,1))-AVERAGE(OFFSET($H$3,0,0,'Données projet'!$E$16+1,1))</f>
        <v>207.66160354686221</v>
      </c>
      <c r="FK65" s="62">
        <f t="shared" si="48"/>
        <v>260.45879589483525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projet'!$B$16,Paramètres!$A$1:$I$88,3,0)*0.475*44/12</f>
        <v>2.7469462438126437</v>
      </c>
      <c r="FR65" s="23">
        <f>EXP(-LN(2)/25)*FR64+(1-EXP(-LN(2)/25))/(LN(2)/25)*Calculateur!FM65*Calculateur!FO65*VLOOKUP('Données projet'!$B$16,Paramètres!$A$1:$I$88,3,0)*0.475*44/12</f>
        <v>0</v>
      </c>
      <c r="FS65" s="23">
        <f>EXP(-LN(2)/2)*FS64+(1-EXP(-LN(2)/2))/(LN(2)/2)*FM65*FP65*VLOOKUP('Données projet'!$B$16,Paramètres!$A$1:$I$88,3,0)*0.475*44/12</f>
        <v>0</v>
      </c>
      <c r="FT65" s="24">
        <f t="shared" si="24"/>
        <v>2.7469462438126437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projet'!$B$9,Paramètres!$A$1:$I$88,3,0)*VLOOKUP('Données projet'!$B$9,Paramètres!$A$1:$I$88,5,0)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378.13552372917843</v>
      </c>
      <c r="T66" s="62">
        <f t="shared" si="34"/>
        <v>528.97123645404952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207.83167266918568</v>
      </c>
      <c r="AA66" s="23">
        <f>EXP(-LN(2)/25)*AA65+(1-EXP(-LN(2)/25))/(LN(2)/25)*Calculateur!V66*Calculateur!X66*VLOOKUP('Données projet'!$B$9,Paramètres!$A$1:$I$88,3,0)*0.475*44/12</f>
        <v>100.90143166816898</v>
      </c>
      <c r="AB66" s="23">
        <f>EXP(-LN(2)/2)*AB65+(1-EXP(-LN(2)/2))/(LN(2)/2)*V66*Y66*VLOOKUP('Données projet'!$B$9,Paramètres!$A$1:$I$88,3,0)*0.475*44/12</f>
        <v>0</v>
      </c>
      <c r="AC66" s="24">
        <f t="shared" si="3"/>
        <v>308.73310433735469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8.125</v>
      </c>
      <c r="AI66" s="14">
        <f>IF('Données projet'!$A$62&gt;35,AI65+AH66-AQ65,IF(A66&lt;'Données projet'!$A$62,$AF$205^A66,IF(A66='Données projet'!$A$62,'Données projet'!$B$62,AI65+AH66-AQ65)))</f>
        <v>187.25</v>
      </c>
      <c r="AJ66" s="14">
        <f>AI66*VLOOKUP('Données projet'!$B$10,Paramètres!$A$1:$I$88,3,0)*VLOOKUP('Données projet'!$B$10,Paramètres!$A$1:$I$88,5,0)</f>
        <v>169.4238</v>
      </c>
      <c r="AK66" s="14">
        <f t="shared" si="35"/>
        <v>42.960948463994995</v>
      </c>
      <c r="AL66" s="22">
        <f t="shared" si="4"/>
        <v>369.9034369081246</v>
      </c>
      <c r="AM66" s="62">
        <f t="shared" si="5"/>
        <v>632.79977525153072</v>
      </c>
      <c r="AN66" s="62">
        <f ca="1">AVERAGE(OFFSET($AM$3,0,0,'Données projet'!$E$10+1,1))-AVERAGE(OFFSET($H$3,0,0,'Données projet'!$E$10+1,1))</f>
        <v>536.3707066106856</v>
      </c>
      <c r="AO66" s="62">
        <f t="shared" si="36"/>
        <v>217.6280015974086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11.680226250965777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11.680226250965777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302.3</v>
      </c>
      <c r="BE66" s="14">
        <f>BD66*VLOOKUP('Données projet'!$B$11,Paramètres!$A$1:$I$88,3,0)*VLOOKUP('Données projet'!$B$11,Paramètres!$A$1:$I$88,5,0)</f>
        <v>180.77540000000005</v>
      </c>
      <c r="BF66" s="14">
        <f t="shared" si="37"/>
        <v>45.494655198846154</v>
      </c>
      <c r="BG66" s="22">
        <f t="shared" si="7"/>
        <v>394.08701280465715</v>
      </c>
      <c r="BH66" s="62">
        <f t="shared" si="8"/>
        <v>656.98335114806332</v>
      </c>
      <c r="BI66" s="62">
        <f ca="1">AVERAGE(OFFSET($BH$3,0,0,'Données projet'!$E$11+1,1))-AVERAGE(OFFSET($H$3,0,0,'Données projet'!$E$11+1,1))</f>
        <v>248.66193174773525</v>
      </c>
      <c r="BJ66" s="62">
        <f t="shared" si="38"/>
        <v>249.61655682981151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19.546299736705482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1.4677320106729301</v>
      </c>
      <c r="BS66" s="24">
        <f t="shared" si="9"/>
        <v>21.014031747378411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23.2</v>
      </c>
      <c r="BY66" s="13">
        <f>IF('Données projet'!$A$114&gt;35,BY65+BX66-CG65,IF(A66&lt;'Données projet'!$A$114,$BV$205^A66,IF(A66='Données projet'!$A$114,'Données projet'!$B$114,BY65+BX66-CG65)))</f>
        <v>739.59999999999991</v>
      </c>
      <c r="BZ66" s="14">
        <f>BY66*VLOOKUP('Données projet'!$B$12,Paramètres!$A$1:$I$88,3,0)*VLOOKUP('Données projet'!$B$12,Paramètres!$A$1:$I$88,5,0)</f>
        <v>298.05879999999996</v>
      </c>
      <c r="CA66" s="14">
        <f t="shared" si="39"/>
        <v>70.769359768605042</v>
      </c>
      <c r="CB66" s="22">
        <f t="shared" si="10"/>
        <v>642.375711596987</v>
      </c>
      <c r="CC66" s="62">
        <f t="shared" si="11"/>
        <v>905.27204994039312</v>
      </c>
      <c r="CD66" s="62">
        <f ca="1">AVERAGE(OFFSET($CC$3,0,0,'Données projet'!$E$12+1,1))-AVERAGE(OFFSET($H$3,0,0,'Données projet'!$E$12+1,1))</f>
        <v>432.59662347701629</v>
      </c>
      <c r="CE66" s="62">
        <f t="shared" si="40"/>
        <v>348.67401091099748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40.607010401775504</v>
      </c>
      <c r="CL66" s="23">
        <f>EXP(-LN(2)/25)*CL65+(1-EXP(-LN(2)/25))/(LN(2)/25)*Calculateur!CG66*Calculateur!CI66*VLOOKUP('Données projet'!$B$12,Paramètres!$A$1:$I$88,3,0)*0.475*44/12</f>
        <v>77.711577051136814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118.31858745291231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23</v>
      </c>
      <c r="CT66" s="13">
        <f>IF('Données projet'!$A$140&gt;35,CT65+CS66-DB65,IF(A66&lt;'Données projet'!$A$140,$CQ$205^A66,IF(A66='Données projet'!$A$140,'Données projet'!$B$140,CT65+CS66-DB65)))</f>
        <v>982.00000000000011</v>
      </c>
      <c r="CU66" s="18">
        <f>CT66*VLOOKUP('Données projet'!$B$13,Paramètres!$A$1:$I$88,3,0)*VLOOKUP('Données projet'!$B$13,Paramètres!$A$1:$I$88,5,0)</f>
        <v>434.0440000000001</v>
      </c>
      <c r="CV66" s="14">
        <f t="shared" si="41"/>
        <v>98.645412377437069</v>
      </c>
      <c r="CW66" s="22">
        <f t="shared" si="13"/>
        <v>927.76739322403637</v>
      </c>
      <c r="CX66" s="62">
        <f t="shared" si="14"/>
        <v>1190.6637315674425</v>
      </c>
      <c r="CY66" s="62">
        <f ca="1">AVERAGE(OFFSET($CX$3,0,0,'Données projet'!$E$13+1,1))-AVERAGE(OFFSET($H$3,0,0,'Données projet'!$E$13+1,1))</f>
        <v>582.26951914082088</v>
      </c>
      <c r="CZ66" s="62">
        <f t="shared" si="42"/>
        <v>434.80429932654715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47.380648461375344</v>
      </c>
      <c r="DG66" s="23">
        <f>EXP(-LN(2)/25)*DG65+(1-EXP(-LN(2)/25))/(LN(2)/25)*Calculateur!DB66*Calculateur!DD66*VLOOKUP('Données projet'!$B$13,Paramètres!$A$1:$I$88,3,0)*0.475*44/12</f>
        <v>74.905466028387224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122.28611448976257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18.2</v>
      </c>
      <c r="DO66" s="13">
        <f>IF('Données projet'!$A$166&gt;35,DO65+DN66-DW65,IF(A66&lt;'Données projet'!$A$166,$DL$205^A66,IF(A66='Données projet'!$A$166,'Données projet'!$B$166,DO65+DN66-DW65)))</f>
        <v>490.59999999999957</v>
      </c>
      <c r="DP66" s="18">
        <f>DO66*VLOOKUP('Données projet'!$B$14,Paramètres!$A$1:$I$88,3,0)*VLOOKUP('Données projet'!$B$14,Paramètres!$A$1:$I$88,5,0)</f>
        <v>235.9785999999998</v>
      </c>
      <c r="DQ66" s="14">
        <f t="shared" si="43"/>
        <v>57.573457616931258</v>
      </c>
      <c r="DR66" s="22">
        <f t="shared" si="16"/>
        <v>511.26983368282157</v>
      </c>
      <c r="DS66" s="62">
        <f t="shared" si="17"/>
        <v>774.16617202622774</v>
      </c>
      <c r="DT66" s="62">
        <f ca="1">AVERAGE(OFFSET($DS$3,0,0,'Données projet'!$E$14+1,1))-AVERAGE(OFFSET($H$3,0,0,'Données projet'!$E$14+1,1))</f>
        <v>273.24375559399846</v>
      </c>
      <c r="DU66" s="62">
        <f t="shared" si="44"/>
        <v>270.77718895097848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projet'!$B$14,Paramètres!$A$1:$I$88,3,0)*0.475*44/12</f>
        <v>37.638782077034456</v>
      </c>
      <c r="EB66" s="23">
        <f>EXP(-LN(2)/25)*EB65+(1-EXP(-LN(2)/25))/(LN(2)/25)*Calculateur!DW66*Calculateur!DY66*VLOOKUP('Données projet'!$B$14,Paramètres!$A$1:$I$88,3,0)*0.475*44/12</f>
        <v>46.235960459441444</v>
      </c>
      <c r="EC66" s="23">
        <f>EXP(-LN(2)/2)*EC65+(1-EXP(-LN(2)/2))/(LN(2)/2)*DW66*DZ66*VLOOKUP('Données projet'!$B$14,Paramètres!$A$1:$I$88,3,0)*0.475*44/12</f>
        <v>0</v>
      </c>
      <c r="ED66" s="24">
        <f t="shared" si="18"/>
        <v>83.874742536475907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18.2</v>
      </c>
      <c r="EJ66" s="13">
        <f>IF('Données projet'!$A$192&gt;35,EJ65+EI66-ER65,IF(A66&lt;'Données projet'!$A$192,$EG$205^A66,IF(A66='Données projet'!$A$192,'Données projet'!$B$192,EJ65+EI66-ER65)))</f>
        <v>490.59999999999957</v>
      </c>
      <c r="EK66" s="18">
        <f>EJ66*VLOOKUP('Données projet'!$B$15,Paramètres!$A$1:$I$88,3,0)*VLOOKUP('Données projet'!$B$15,Paramètres!$A$1:$I$88,5,0)</f>
        <v>229.60079999999979</v>
      </c>
      <c r="EL66" s="14">
        <f t="shared" si="45"/>
        <v>56.196356432961799</v>
      </c>
      <c r="EM66" s="22">
        <f t="shared" si="19"/>
        <v>497.7633807874081</v>
      </c>
      <c r="EN66" s="62">
        <f t="shared" si="20"/>
        <v>760.65971913081421</v>
      </c>
      <c r="EO66" s="62">
        <f ca="1">AVERAGE(OFFSET($EN$3,0,0,'Données projet'!$E$15+1,1))-AVERAGE(OFFSET($H$3,0,0,'Données projet'!$E$15+1,1))</f>
        <v>267.26203506406682</v>
      </c>
      <c r="EP66" s="62">
        <f t="shared" si="46"/>
        <v>265.10857635664843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projet'!$B$15,Paramètres!$A$1:$I$88,3,0)*0.475*44/12</f>
        <v>36.621517696574053</v>
      </c>
      <c r="EW66" s="23">
        <f>EXP(-LN(2)/25)*EW65+(1-EXP(-LN(2)/25))/(LN(2)/25)*Calculateur!ER66*Calculateur!ET66*VLOOKUP('Données projet'!$B$15,Paramètres!$A$1:$I$88,3,0)*0.475*44/12</f>
        <v>44.986339906483579</v>
      </c>
      <c r="EX66" s="23">
        <f>EXP(-LN(2)/2)*EX65+(1-EXP(-LN(2)/2))/(LN(2)/2)*ER66*EU66*VLOOKUP('Données projet'!$B$15,Paramètres!$A$1:$I$88,3,0)*0.475*44/12</f>
        <v>0</v>
      </c>
      <c r="EY66" s="24">
        <f t="shared" si="21"/>
        <v>81.607857603057624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231</v>
      </c>
      <c r="FF66" s="18">
        <f>FE66*VLOOKUP('Données projet'!$B$16,Paramètres!$A$1:$I$88,3,0)*VLOOKUP('Données projet'!$B$16,Paramètres!$A$1:$I$88,5,0)</f>
        <v>169.36920000000001</v>
      </c>
      <c r="FG66" s="14">
        <f t="shared" si="47"/>
        <v>42.948714817158674</v>
      </c>
      <c r="FH66" s="22">
        <f t="shared" si="22"/>
        <v>369.787034973218</v>
      </c>
      <c r="FI66" s="62">
        <f t="shared" si="23"/>
        <v>632.68337331662406</v>
      </c>
      <c r="FJ66" s="62">
        <f ca="1">AVERAGE(OFFSET($FI$3,0,0,'Données projet'!$E$16+1,1))-AVERAGE(OFFSET($H$3,0,0,'Données projet'!$E$16+1,1))</f>
        <v>207.66160354686221</v>
      </c>
      <c r="FK66" s="62">
        <f t="shared" si="48"/>
        <v>260.45879589483525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projet'!$B$16,Paramètres!$A$1:$I$88,3,0)*0.475*44/12</f>
        <v>2.6930803034432476</v>
      </c>
      <c r="FR66" s="23">
        <f>EXP(-LN(2)/25)*FR65+(1-EXP(-LN(2)/25))/(LN(2)/25)*Calculateur!FM66*Calculateur!FO66*VLOOKUP('Données projet'!$B$16,Paramètres!$A$1:$I$88,3,0)*0.475*44/12</f>
        <v>0</v>
      </c>
      <c r="FS66" s="23">
        <f>EXP(-LN(2)/2)*FS65+(1-EXP(-LN(2)/2))/(LN(2)/2)*FM66*FP66*VLOOKUP('Données projet'!$B$16,Paramètres!$A$1:$I$88,3,0)*0.475*44/12</f>
        <v>0</v>
      </c>
      <c r="FT66" s="24">
        <f t="shared" si="24"/>
        <v>2.6930803034432476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projet'!$B$9,Paramètres!$A$1:$I$88,3,0)*VLOOKUP('Données projet'!$B$9,Paramètres!$A$1:$I$88,5,0)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378.13552372917843</v>
      </c>
      <c r="T67" s="62">
        <f t="shared" si="34"/>
        <v>528.97123645404952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203.7562203329463</v>
      </c>
      <c r="AA67" s="23">
        <f>EXP(-LN(2)/25)*AA66+(1-EXP(-LN(2)/25))/(LN(2)/25)*Calculateur!V67*Calculateur!X67*VLOOKUP('Données projet'!$B$9,Paramètres!$A$1:$I$88,3,0)*0.475*44/12</f>
        <v>98.142276713027229</v>
      </c>
      <c r="AB67" s="23">
        <f>EXP(-LN(2)/2)*AB66+(1-EXP(-LN(2)/2))/(LN(2)/2)*V67*Y67*VLOOKUP('Données projet'!$B$9,Paramètres!$A$1:$I$88,3,0)*0.475*44/12</f>
        <v>0</v>
      </c>
      <c r="AC67" s="24">
        <f t="shared" si="3"/>
        <v>301.8984970459735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8.125</v>
      </c>
      <c r="AI67" s="14">
        <f>IF('Données projet'!$A$62&gt;35,AI66+AH67-AQ66,IF(A67&lt;'Données projet'!$A$62,$AF$205^A67,IF(A67='Données projet'!$A$62,'Données projet'!$B$62,AI66+AH67-AQ66)))</f>
        <v>195.375</v>
      </c>
      <c r="AJ67" s="14">
        <f>AI67*VLOOKUP('Données projet'!$B$10,Paramètres!$A$1:$I$88,3,0)*VLOOKUP('Données projet'!$B$10,Paramètres!$A$1:$I$88,5,0)</f>
        <v>176.77529999999999</v>
      </c>
      <c r="AK67" s="14">
        <f t="shared" si="35"/>
        <v>44.603996756189858</v>
      </c>
      <c r="AL67" s="22">
        <f t="shared" si="4"/>
        <v>385.56894185036396</v>
      </c>
      <c r="AM67" s="62">
        <f t="shared" si="5"/>
        <v>648.99329400991871</v>
      </c>
      <c r="AN67" s="62">
        <f ca="1">AVERAGE(OFFSET($AM$3,0,0,'Données projet'!$E$10+1,1))-AVERAGE(OFFSET($H$3,0,0,'Données projet'!$E$10+1,1))</f>
        <v>536.3707066106856</v>
      </c>
      <c r="AO67" s="62">
        <f t="shared" si="36"/>
        <v>217.6280015974086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11.451184138418892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11.451184138418892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302.3</v>
      </c>
      <c r="BE67" s="14">
        <f>BD67*VLOOKUP('Données projet'!$B$11,Paramètres!$A$1:$I$88,3,0)*VLOOKUP('Données projet'!$B$11,Paramètres!$A$1:$I$88,5,0)</f>
        <v>180.77540000000005</v>
      </c>
      <c r="BF67" s="14">
        <f t="shared" si="37"/>
        <v>45.494655198846154</v>
      </c>
      <c r="BG67" s="22">
        <f t="shared" si="7"/>
        <v>394.08701280465715</v>
      </c>
      <c r="BH67" s="62">
        <f t="shared" si="8"/>
        <v>657.51136496421191</v>
      </c>
      <c r="BI67" s="62">
        <f ca="1">AVERAGE(OFFSET($BH$3,0,0,'Données projet'!$E$11+1,1))-AVERAGE(OFFSET($H$3,0,0,'Données projet'!$E$11+1,1))</f>
        <v>248.66193174773525</v>
      </c>
      <c r="BJ67" s="62">
        <f t="shared" si="38"/>
        <v>249.61655682981151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19.163008720934322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1.0378432577113952</v>
      </c>
      <c r="BS67" s="24">
        <f t="shared" si="9"/>
        <v>20.200851978645716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23.2</v>
      </c>
      <c r="BY67" s="13">
        <f>IF('Données projet'!$A$114&gt;35,BY66+BX67-CG66,IF(A67&lt;'Données projet'!$A$114,$BV$205^A67,IF(A67='Données projet'!$A$114,'Données projet'!$B$114,BY66+BX67-CG66)))</f>
        <v>762.8</v>
      </c>
      <c r="BZ67" s="14">
        <f>BY67*VLOOKUP('Données projet'!$B$12,Paramètres!$A$1:$I$88,3,0)*VLOOKUP('Données projet'!$B$12,Paramètres!$A$1:$I$88,5,0)</f>
        <v>307.40839999999997</v>
      </c>
      <c r="CA67" s="14">
        <f t="shared" si="39"/>
        <v>72.727336784205889</v>
      </c>
      <c r="CB67" s="22">
        <f t="shared" si="10"/>
        <v>662.06974156582521</v>
      </c>
      <c r="CC67" s="62">
        <f t="shared" si="11"/>
        <v>925.49409372538003</v>
      </c>
      <c r="CD67" s="62">
        <f ca="1">AVERAGE(OFFSET($CC$3,0,0,'Données projet'!$E$12+1,1))-AVERAGE(OFFSET($H$3,0,0,'Données projet'!$E$12+1,1))</f>
        <v>432.59662347701629</v>
      </c>
      <c r="CE67" s="62">
        <f t="shared" si="40"/>
        <v>348.67401091099748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39.81073169562741</v>
      </c>
      <c r="CL67" s="23">
        <f>EXP(-LN(2)/25)*CL66+(1-EXP(-LN(2)/25))/(LN(2)/25)*Calculateur!CG67*Calculateur!CI67*VLOOKUP('Données projet'!$B$12,Paramètres!$A$1:$I$88,3,0)*0.475*44/12</f>
        <v>75.586549889999247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115.39728158562666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23</v>
      </c>
      <c r="CT67" s="13">
        <f>IF('Données projet'!$A$140&gt;35,CT66+CS67-DB66,IF(A67&lt;'Données projet'!$A$140,$CQ$205^A67,IF(A67='Données projet'!$A$140,'Données projet'!$B$140,CT66+CS67-DB66)))</f>
        <v>1005.0000000000001</v>
      </c>
      <c r="CU67" s="18">
        <f>CT67*VLOOKUP('Données projet'!$B$13,Paramètres!$A$1:$I$88,3,0)*VLOOKUP('Données projet'!$B$13,Paramètres!$A$1:$I$88,5,0)</f>
        <v>444.21000000000009</v>
      </c>
      <c r="CV67" s="14">
        <f t="shared" si="41"/>
        <v>100.68415144576424</v>
      </c>
      <c r="CW67" s="22">
        <f t="shared" si="13"/>
        <v>949.02398043470623</v>
      </c>
      <c r="CX67" s="62">
        <f t="shared" si="14"/>
        <v>1212.448332594261</v>
      </c>
      <c r="CY67" s="62">
        <f ca="1">AVERAGE(OFFSET($CX$3,0,0,'Données projet'!$E$13+1,1))-AVERAGE(OFFSET($H$3,0,0,'Données projet'!$E$13+1,1))</f>
        <v>582.26951914082088</v>
      </c>
      <c r="CZ67" s="62">
        <f t="shared" si="42"/>
        <v>434.80429932654715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46.451542844389763</v>
      </c>
      <c r="DG67" s="23">
        <f>EXP(-LN(2)/25)*DG66+(1-EXP(-LN(2)/25))/(LN(2)/25)*Calculateur!DB67*Calculateur!DD67*VLOOKUP('Données projet'!$B$13,Paramètres!$A$1:$I$88,3,0)*0.475*44/12</f>
        <v>72.857172120733722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119.30871496512349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18.2</v>
      </c>
      <c r="DO67" s="13">
        <f>IF('Données projet'!$A$166&gt;35,DO66+DN67-DW66,IF(A67&lt;'Données projet'!$A$166,$DL$205^A67,IF(A67='Données projet'!$A$166,'Données projet'!$B$166,DO66+DN67-DW66)))</f>
        <v>508.79999999999956</v>
      </c>
      <c r="DP67" s="18">
        <f>DO67*VLOOKUP('Données projet'!$B$14,Paramètres!$A$1:$I$88,3,0)*VLOOKUP('Données projet'!$B$14,Paramètres!$A$1:$I$88,5,0)</f>
        <v>244.7327999999998</v>
      </c>
      <c r="DQ67" s="14">
        <f t="shared" si="43"/>
        <v>59.456655255793528</v>
      </c>
      <c r="DR67" s="22">
        <f t="shared" si="16"/>
        <v>529.79663457050674</v>
      </c>
      <c r="DS67" s="62">
        <f t="shared" si="17"/>
        <v>793.22098673006144</v>
      </c>
      <c r="DT67" s="62">
        <f ca="1">AVERAGE(OFFSET($DS$3,0,0,'Données projet'!$E$14+1,1))-AVERAGE(OFFSET($H$3,0,0,'Données projet'!$E$14+1,1))</f>
        <v>273.24375559399846</v>
      </c>
      <c r="DU67" s="62">
        <f t="shared" si="44"/>
        <v>270.77718895097848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projet'!$B$14,Paramètres!$A$1:$I$88,3,0)*0.475*44/12</f>
        <v>36.900708517894024</v>
      </c>
      <c r="EB67" s="23">
        <f>EXP(-LN(2)/25)*EB66+(1-EXP(-LN(2)/25))/(LN(2)/25)*Calculateur!DW67*Calculateur!DY67*VLOOKUP('Données projet'!$B$14,Paramètres!$A$1:$I$88,3,0)*0.475*44/12</f>
        <v>44.971635689234532</v>
      </c>
      <c r="EC67" s="23">
        <f>EXP(-LN(2)/2)*EC66+(1-EXP(-LN(2)/2))/(LN(2)/2)*DW67*DZ67*VLOOKUP('Données projet'!$B$14,Paramètres!$A$1:$I$88,3,0)*0.475*44/12</f>
        <v>0</v>
      </c>
      <c r="ED67" s="24">
        <f t="shared" si="18"/>
        <v>81.872344207128549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18.2</v>
      </c>
      <c r="EJ67" s="13">
        <f>IF('Données projet'!$A$192&gt;35,EJ66+EI67-ER66,IF(A67&lt;'Données projet'!$A$192,$EG$205^A67,IF(A67='Données projet'!$A$192,'Données projet'!$B$192,EJ66+EI67-ER66)))</f>
        <v>508.79999999999956</v>
      </c>
      <c r="EK67" s="18">
        <f>EJ67*VLOOKUP('Données projet'!$B$15,Paramètres!$A$1:$I$88,3,0)*VLOOKUP('Données projet'!$B$15,Paramètres!$A$1:$I$88,5,0)</f>
        <v>238.11839999999978</v>
      </c>
      <c r="EL67" s="14">
        <f t="shared" si="45"/>
        <v>58.034509813489208</v>
      </c>
      <c r="EM67" s="22">
        <f t="shared" si="19"/>
        <v>515.79965125849321</v>
      </c>
      <c r="EN67" s="62">
        <f t="shared" si="20"/>
        <v>779.22400341804791</v>
      </c>
      <c r="EO67" s="62">
        <f ca="1">AVERAGE(OFFSET($EN$3,0,0,'Données projet'!$E$15+1,1))-AVERAGE(OFFSET($H$3,0,0,'Données projet'!$E$15+1,1))</f>
        <v>267.26203506406682</v>
      </c>
      <c r="EP67" s="62">
        <f t="shared" si="46"/>
        <v>265.10857635664843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projet'!$B$15,Paramètres!$A$1:$I$88,3,0)*0.475*44/12</f>
        <v>35.903392071464445</v>
      </c>
      <c r="EW67" s="23">
        <f>EXP(-LN(2)/25)*EW66+(1-EXP(-LN(2)/25))/(LN(2)/25)*Calculateur!ER67*Calculateur!ET67*VLOOKUP('Données projet'!$B$15,Paramètres!$A$1:$I$88,3,0)*0.475*44/12</f>
        <v>43.756186076011986</v>
      </c>
      <c r="EX67" s="23">
        <f>EXP(-LN(2)/2)*EX66+(1-EXP(-LN(2)/2))/(LN(2)/2)*ER67*EU67*VLOOKUP('Données projet'!$B$15,Paramètres!$A$1:$I$88,3,0)*0.475*44/12</f>
        <v>0</v>
      </c>
      <c r="EY67" s="24">
        <f t="shared" si="21"/>
        <v>79.659578147476424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231</v>
      </c>
      <c r="FF67" s="18">
        <f>FE67*VLOOKUP('Données projet'!$B$16,Paramètres!$A$1:$I$88,3,0)*VLOOKUP('Données projet'!$B$16,Paramètres!$A$1:$I$88,5,0)</f>
        <v>169.36920000000001</v>
      </c>
      <c r="FG67" s="14">
        <f t="shared" si="47"/>
        <v>42.948714817158674</v>
      </c>
      <c r="FH67" s="22">
        <f t="shared" si="22"/>
        <v>369.787034973218</v>
      </c>
      <c r="FI67" s="62">
        <f t="shared" si="23"/>
        <v>633.21138713277276</v>
      </c>
      <c r="FJ67" s="62">
        <f ca="1">AVERAGE(OFFSET($FI$3,0,0,'Données projet'!$E$16+1,1))-AVERAGE(OFFSET($H$3,0,0,'Données projet'!$E$16+1,1))</f>
        <v>207.66160354686221</v>
      </c>
      <c r="FK67" s="62">
        <f t="shared" si="48"/>
        <v>260.45879589483525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projet'!$B$16,Paramètres!$A$1:$I$88,3,0)*0.475*44/12</f>
        <v>2.6402706413095158</v>
      </c>
      <c r="FR67" s="23">
        <f>EXP(-LN(2)/25)*FR66+(1-EXP(-LN(2)/25))/(LN(2)/25)*Calculateur!FM67*Calculateur!FO67*VLOOKUP('Données projet'!$B$16,Paramètres!$A$1:$I$88,3,0)*0.475*44/12</f>
        <v>0</v>
      </c>
      <c r="FS67" s="23">
        <f>EXP(-LN(2)/2)*FS66+(1-EXP(-LN(2)/2))/(LN(2)/2)*FM67*FP67*VLOOKUP('Données projet'!$B$16,Paramètres!$A$1:$I$88,3,0)*0.475*44/12</f>
        <v>0</v>
      </c>
      <c r="FT67" s="24">
        <f t="shared" si="24"/>
        <v>2.6402706413095158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projet'!$B$9,Paramètres!$A$1:$I$88,3,0)*VLOOKUP('Données projet'!$B$9,Paramètres!$A$1:$I$88,5,0)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378.13552372917843</v>
      </c>
      <c r="T68" s="62">
        <f t="shared" si="34"/>
        <v>528.97123645404952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199.76068513124008</v>
      </c>
      <c r="AA68" s="23">
        <f>EXP(-LN(2)/25)*AA67+(1-EXP(-LN(2)/25))/(LN(2)/25)*Calculateur!V68*Calculateur!X68*VLOOKUP('Données projet'!$B$9,Paramètres!$A$1:$I$88,3,0)*0.475*44/12</f>
        <v>95.458570995231469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295.21925612647158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8.125</v>
      </c>
      <c r="AI68" s="14">
        <f>IF('Données projet'!$A$62&gt;35,AI67+AH68-AQ67,IF(A68&lt;'Données projet'!$A$62,$AF$205^A68,IF(A68='Données projet'!$A$62,'Données projet'!$B$62,AI67+AH68-AQ67)))</f>
        <v>203.5</v>
      </c>
      <c r="AJ68" s="14">
        <f>AI68*VLOOKUP('Données projet'!$B$10,Paramètres!$A$1:$I$88,3,0)*VLOOKUP('Données projet'!$B$10,Paramètres!$A$1:$I$88,5,0)</f>
        <v>184.12679999999997</v>
      </c>
      <c r="AK68" s="14">
        <f t="shared" si="35"/>
        <v>46.239108362516738</v>
      </c>
      <c r="AL68" s="22">
        <f t="shared" ref="AL68:AL131" si="58">(AJ68+AK68)*0.475*44/12</f>
        <v>401.22062373138323</v>
      </c>
      <c r="AM68" s="62">
        <f t="shared" ref="AM68:AM131" si="59">AL68+(AD68+AE68)*44/12</f>
        <v>665.16382984783843</v>
      </c>
      <c r="AN68" s="62">
        <f ca="1">AVERAGE(OFFSET($AM$3,0,0,'Données projet'!$E$10+1,1))-AVERAGE(OFFSET($H$3,0,0,'Données projet'!$E$10+1,1))</f>
        <v>536.3707066106856</v>
      </c>
      <c r="AO68" s="62">
        <f t="shared" si="36"/>
        <v>217.6280015974086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11.226633401997157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11.226633401997157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302.3</v>
      </c>
      <c r="BE68" s="14">
        <f>BD68*VLOOKUP('Données projet'!$B$11,Paramètres!$A$1:$I$88,3,0)*VLOOKUP('Données projet'!$B$11,Paramètres!$A$1:$I$88,5,0)</f>
        <v>180.77540000000005</v>
      </c>
      <c r="BF68" s="14">
        <f t="shared" si="37"/>
        <v>45.494655198846154</v>
      </c>
      <c r="BG68" s="22">
        <f t="shared" ref="BG68:BG131" si="61">(BE68+BF68)*0.475*44/12</f>
        <v>394.08701280465715</v>
      </c>
      <c r="BH68" s="62">
        <f t="shared" ref="BH68:BH131" si="62">BG68+(AY68+AZ68)*44/12</f>
        <v>658.03021892111235</v>
      </c>
      <c r="BI68" s="62">
        <f ca="1">AVERAGE(OFFSET($BH$3,0,0,'Données projet'!$E$11+1,1))-AVERAGE(OFFSET($H$3,0,0,'Données projet'!$E$11+1,1))</f>
        <v>248.66193174773525</v>
      </c>
      <c r="BJ68" s="62">
        <f t="shared" si="38"/>
        <v>249.61655682981151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18.787233808197996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0.73386600533646518</v>
      </c>
      <c r="BS68" s="24">
        <f t="shared" ref="BS68:BS131" si="63">SUM(BP68:BR68)</f>
        <v>19.521099813534462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786</v>
      </c>
      <c r="BW68" s="13">
        <f>VLOOKUP(A68,'Données projet'!$A$113:$I$133,9,0)</f>
        <v>23.2</v>
      </c>
      <c r="BX68" s="13">
        <f t="array" ref="BX68">INDEX(BW:BW,MIN(IF(ISNUMBER(BW68:BW264),ROW(BW68:BW264),"")))</f>
        <v>23.2</v>
      </c>
      <c r="BY68" s="13">
        <f>IF('Données projet'!$A$114&gt;35,BY67+BX68-CG67,IF(A68&lt;'Données projet'!$A$114,$BV$205^A68,IF(A68='Données projet'!$A$114,'Données projet'!$B$114,BY67+BX68-CG67)))</f>
        <v>786</v>
      </c>
      <c r="BZ68" s="14">
        <f>BY68*VLOOKUP('Données projet'!$B$12,Paramètres!$A$1:$I$88,3,0)*VLOOKUP('Données projet'!$B$12,Paramètres!$A$1:$I$88,5,0)</f>
        <v>316.75799999999998</v>
      </c>
      <c r="CA68" s="14">
        <f t="shared" si="39"/>
        <v>74.678393257996404</v>
      </c>
      <c r="CB68" s="22">
        <f t="shared" ref="CB68:CB131" si="64">(BZ68+CA68)*0.475*44/12</f>
        <v>681.751718257677</v>
      </c>
      <c r="CC68" s="62">
        <f t="shared" ref="CC68:CC131" si="65">CB68+(BT68+BU68)*44/12</f>
        <v>945.69492437413214</v>
      </c>
      <c r="CD68" s="62">
        <f ca="1">AVERAGE(OFFSET($CC$3,0,0,'Données projet'!$E$12+1,1))-AVERAGE(OFFSET($H$3,0,0,'Données projet'!$E$12+1,1))</f>
        <v>432.59662347701629</v>
      </c>
      <c r="CE68" s="62">
        <f t="shared" si="40"/>
        <v>348.67401091099748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60</v>
      </c>
      <c r="CH68" s="17">
        <f>IF(ISNA(VLOOKUP(A68,'Données projet'!$A$113:$I$133,5,0)),0%,VLOOKUP(A68,'Données projet'!$A$113:$I$133,5,0)*VLOOKUP('Données projet'!$B$12,Paramètres!$A$1:$I$88,7,0))</f>
        <v>0.30250000000000005</v>
      </c>
      <c r="CI68" s="17">
        <f>IF(ISNA(VLOOKUP(A68,'Données projet'!$A$113:$I$133,6,0)),0%,VLOOKUP(A68,'Données projet'!$A$113:$I$133,6,0)*VLOOKUP('Données projet'!$B$12,Paramètres!$A$1:$I$88,7,0))</f>
        <v>0.24750000000000003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48.733156910314577</v>
      </c>
      <c r="CL68" s="23">
        <f>EXP(-LN(2)/25)*CL67+(1-EXP(-LN(2)/25))/(LN(2)/25)*Calculateur!CG68*Calculateur!CI68*VLOOKUP('Données projet'!$B$12,Paramètres!$A$1:$I$88,3,0)*0.475*44/12</f>
        <v>81.427264580084724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130.1604214903993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1028</v>
      </c>
      <c r="CR68" s="13">
        <f>VLOOKUP(A68,'Données projet'!$A$139:$I$159,9,0)</f>
        <v>23</v>
      </c>
      <c r="CS68" s="13">
        <f t="array" ref="CS68">INDEX(CR:CR,MIN(IF(ISNUMBER(CR68:CR264),ROW(CR68:CR264),"")))</f>
        <v>23</v>
      </c>
      <c r="CT68" s="13">
        <f>IF('Données projet'!$A$140&gt;35,CT67+CS68-DB67,IF(A68&lt;'Données projet'!$A$140,$CQ$205^A68,IF(A68='Données projet'!$A$140,'Données projet'!$B$140,CT67+CS68-DB67)))</f>
        <v>1028</v>
      </c>
      <c r="CU68" s="18">
        <f>CT68*VLOOKUP('Données projet'!$B$13,Paramètres!$A$1:$I$88,3,0)*VLOOKUP('Données projet'!$B$13,Paramètres!$A$1:$I$88,5,0)</f>
        <v>454.37600000000009</v>
      </c>
      <c r="CV68" s="14">
        <f t="shared" si="41"/>
        <v>102.71746628349389</v>
      </c>
      <c r="CW68" s="22">
        <f t="shared" ref="CW68:CW131" si="67">(CU68+CV68)*0.475*44/12</f>
        <v>970.2711204437519</v>
      </c>
      <c r="CX68" s="62">
        <f t="shared" ref="CX68:CX131" si="68">CW68+(CO68+CP68)*44/12</f>
        <v>1234.2143265602072</v>
      </c>
      <c r="CY68" s="62">
        <f ca="1">AVERAGE(OFFSET($CX$3,0,0,'Données projet'!$E$13+1,1))-AVERAGE(OFFSET($H$3,0,0,'Données projet'!$E$13+1,1))</f>
        <v>582.26951914082088</v>
      </c>
      <c r="CZ68" s="62">
        <f t="shared" si="42"/>
        <v>434.80429932654715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49</v>
      </c>
      <c r="DC68" s="17">
        <f>IF(ISNA(VLOOKUP(A68,'Données projet'!$A$139:$I$159,5,0)),0%,VLOOKUP(A68,'Données projet'!$A$139:$I$159,5,0)*VLOOKUP('Données projet'!$B$13,Paramètres!$A$1:$I$88,7,0))</f>
        <v>0.33</v>
      </c>
      <c r="DD68" s="17">
        <f>IF(ISNA(VLOOKUP(A68,'Données projet'!$A$139:$I$159,6,0)),0%,VLOOKUP(A68,'Données projet'!$A$139:$I$159,6,0)*VLOOKUP('Données projet'!$B$13,Paramètres!$A$1:$I$88,7,0))</f>
        <v>0.22000000000000003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55.021798303904959</v>
      </c>
      <c r="DG68" s="23">
        <f>EXP(-LN(2)/25)*DG67+(1-EXP(-LN(2)/25))/(LN(2)/25)*Calculateur!DB68*Calculateur!DD68*VLOOKUP('Données projet'!$B$13,Paramètres!$A$1:$I$88,3,0)*0.475*44/12</f>
        <v>77.160762926941601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132.18256123084655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527</v>
      </c>
      <c r="DM68" s="13">
        <f>VLOOKUP(A68,'Données projet'!$A$165:$I$185,9,0)</f>
        <v>18.2</v>
      </c>
      <c r="DN68" s="13">
        <f t="array" ref="DN68">INDEX(DM:DM,MIN(IF(ISNUMBER(DM68:DM264),ROW(DM68:DM264),"")))</f>
        <v>18.2</v>
      </c>
      <c r="DO68" s="13">
        <f>IF('Données projet'!$A$166&gt;35,DO67+DN68-DW67,IF(A68&lt;'Données projet'!$A$166,$DL$205^A68,IF(A68='Données projet'!$A$166,'Données projet'!$B$166,DO67+DN68-DW67)))</f>
        <v>526.99999999999955</v>
      </c>
      <c r="DP68" s="18">
        <f>DO68*VLOOKUP('Données projet'!$B$14,Paramètres!$A$1:$I$88,3,0)*VLOOKUP('Données projet'!$B$14,Paramètres!$A$1:$I$88,5,0)</f>
        <v>253.4869999999998</v>
      </c>
      <c r="DQ68" s="14">
        <f t="shared" si="43"/>
        <v>61.332026401827136</v>
      </c>
      <c r="DR68" s="22">
        <f t="shared" ref="DR68:DR131" si="70">(DP68+DQ68)*0.475*44/12</f>
        <v>548.30980431651517</v>
      </c>
      <c r="DS68" s="62">
        <f t="shared" ref="DS68:DS131" si="71">DR68+(DJ68+DK68)*44/12</f>
        <v>812.25301043297031</v>
      </c>
      <c r="DT68" s="62">
        <f ca="1">AVERAGE(OFFSET($DS$3,0,0,'Données projet'!$E$14+1,1))-AVERAGE(OFFSET($H$3,0,0,'Données projet'!$E$14+1,1))</f>
        <v>273.24375559399846</v>
      </c>
      <c r="DU68" s="62">
        <f t="shared" si="44"/>
        <v>270.77718895097848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projet'!$B$14,Paramètres!$A$1:$I$88,7,0))</f>
        <v>0.41250000000000003</v>
      </c>
      <c r="DY68" s="17">
        <f>IF(ISNA(VLOOKUP(A68,'Données projet'!$A$165:$I$185,6,0)),0%,VLOOKUP(A68,'Données projet'!$A$165:$I$185,6,0)*VLOOKUP('Données projet'!$B$14,Paramètres!$A$1:$I$88,7,0))</f>
        <v>0.13750000000000001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projet'!$B$14,Paramètres!$A$1:$I$88,3,0)*0.475*44/12</f>
        <v>43.546903291485052</v>
      </c>
      <c r="EB68" s="23">
        <f>EXP(-LN(2)/25)*EB67+(1-EXP(-LN(2)/25))/(LN(2)/25)*Calculateur!DW68*Calculateur!DY68*VLOOKUP('Données projet'!$B$14,Paramètres!$A$1:$I$88,3,0)*0.475*44/12</f>
        <v>46.188809769276368</v>
      </c>
      <c r="EC68" s="23">
        <f>EXP(-LN(2)/2)*EC67+(1-EXP(-LN(2)/2))/(LN(2)/2)*DW68*DZ68*VLOOKUP('Données projet'!$B$14,Paramètres!$A$1:$I$88,3,0)*0.475*44/12</f>
        <v>0</v>
      </c>
      <c r="ED68" s="24">
        <f t="shared" ref="ED68:ED131" si="72">SUM(EA68:EC68)</f>
        <v>89.735713060761412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527</v>
      </c>
      <c r="EH68" s="13">
        <f>VLOOKUP(A68,'Données projet'!$A$191:$I$211,9,0)</f>
        <v>18.2</v>
      </c>
      <c r="EI68" s="13">
        <f t="array" ref="EI68">INDEX(EH:EH,MIN(IF(ISNUMBER(EH68:EH264),ROW(EH68:EH264),"")))</f>
        <v>18.2</v>
      </c>
      <c r="EJ68" s="13">
        <f>IF('Données projet'!$A$192&gt;35,EJ67+EI68-ER67,IF(A68&lt;'Données projet'!$A$192,$EG$205^A68,IF(A68='Données projet'!$A$192,'Données projet'!$B$192,EJ67+EI68-ER67)))</f>
        <v>526.99999999999955</v>
      </c>
      <c r="EK68" s="18">
        <f>EJ68*VLOOKUP('Données projet'!$B$15,Paramètres!$A$1:$I$88,3,0)*VLOOKUP('Données projet'!$B$15,Paramètres!$A$1:$I$88,5,0)</f>
        <v>246.6359999999998</v>
      </c>
      <c r="EL68" s="14">
        <f t="shared" si="45"/>
        <v>59.865023903294485</v>
      </c>
      <c r="EM68" s="22">
        <f t="shared" ref="EM68:EM131" si="73">(EK68+EL68)*0.475*44/12</f>
        <v>533.82261663157078</v>
      </c>
      <c r="EN68" s="62">
        <f t="shared" ref="EN68:EN131" si="74">EM68+(EE68+EF68)*44/12</f>
        <v>797.76582274802604</v>
      </c>
      <c r="EO68" s="62">
        <f ca="1">AVERAGE(OFFSET($EN$3,0,0,'Données projet'!$E$15+1,1))-AVERAGE(OFFSET($H$3,0,0,'Données projet'!$E$15+1,1))</f>
        <v>267.26203506406682</v>
      </c>
      <c r="EP68" s="62">
        <f t="shared" si="46"/>
        <v>265.10857635664843</v>
      </c>
      <c r="EQ68" s="16">
        <f>IF(ISNA(VLOOKUP(A68,'Données projet'!$A$191:$I$211,3,0)),0,VLOOKUP(A68,'Données projet'!$A$191:$I$211,3,0))</f>
        <v>11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projet'!$B$15,Paramètres!$A$1:$I$88,7,0))</f>
        <v>0.41250000000000003</v>
      </c>
      <c r="ET68" s="17">
        <f>IF(ISNA(VLOOKUP(A68,'Données projet'!$A$191:$I$211,6,0)),0%,VLOOKUP(A68,'Données projet'!$A$191:$I$211,6,0)*VLOOKUP('Données projet'!$B$15,Paramètres!$A$1:$I$88,7,0))</f>
        <v>0.13750000000000001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projet'!$B$15,Paramètres!$A$1:$I$88,3,0)*0.475*44/12</f>
        <v>42.369959959282738</v>
      </c>
      <c r="EW68" s="23">
        <f>EXP(-LN(2)/25)*EW67+(1-EXP(-LN(2)/25))/(LN(2)/25)*Calculateur!ER68*Calculateur!ET68*VLOOKUP('Données projet'!$B$15,Paramètres!$A$1:$I$88,3,0)*0.475*44/12</f>
        <v>44.940463559295935</v>
      </c>
      <c r="EX68" s="23">
        <f>EXP(-LN(2)/2)*EX67+(1-EXP(-LN(2)/2))/(LN(2)/2)*ER68*EU68*VLOOKUP('Données projet'!$B$15,Paramètres!$A$1:$I$88,3,0)*0.475*44/12</f>
        <v>0</v>
      </c>
      <c r="EY68" s="24">
        <f t="shared" ref="EY68:EY131" si="75">SUM(EV68:EX68)</f>
        <v>87.310423518578673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231</v>
      </c>
      <c r="FF68" s="18">
        <f>FE68*VLOOKUP('Données projet'!$B$16,Paramètres!$A$1:$I$88,3,0)*VLOOKUP('Données projet'!$B$16,Paramètres!$A$1:$I$88,5,0)</f>
        <v>169.36920000000001</v>
      </c>
      <c r="FG68" s="14">
        <f t="shared" si="47"/>
        <v>42.948714817158674</v>
      </c>
      <c r="FH68" s="22">
        <f t="shared" ref="FH68:FH131" si="76">(FF68+FG68)*0.475*44/12</f>
        <v>369.787034973218</v>
      </c>
      <c r="FI68" s="62">
        <f t="shared" ref="FI68:FI131" si="77">FH68+(EZ68+FA68)*44/12</f>
        <v>633.7302410896732</v>
      </c>
      <c r="FJ68" s="62">
        <f ca="1">AVERAGE(OFFSET($FI$3,0,0,'Données projet'!$E$16+1,1))-AVERAGE(OFFSET($H$3,0,0,'Données projet'!$E$16+1,1))</f>
        <v>207.66160354686221</v>
      </c>
      <c r="FK68" s="62">
        <f t="shared" si="48"/>
        <v>260.45879589483525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projet'!$B$16,Paramètres!$A$1:$I$88,3,0)*0.475*44/12</f>
        <v>2.5884965444395132</v>
      </c>
      <c r="FR68" s="23">
        <f>EXP(-LN(2)/25)*FR67+(1-EXP(-LN(2)/25))/(LN(2)/25)*Calculateur!FM68*Calculateur!FO68*VLOOKUP('Données projet'!$B$16,Paramètres!$A$1:$I$88,3,0)*0.475*44/12</f>
        <v>0</v>
      </c>
      <c r="FS68" s="23">
        <f>EXP(-LN(2)/2)*FS67+(1-EXP(-LN(2)/2))/(LN(2)/2)*FM68*FP68*VLOOKUP('Données projet'!$B$16,Paramètres!$A$1:$I$88,3,0)*0.475*44/12</f>
        <v>0</v>
      </c>
      <c r="FT68" s="24">
        <f t="shared" ref="FT68:FT131" si="78">SUM(FQ68:FS68)</f>
        <v>2.5884965444395132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projet'!$B$9,Paramètres!$A$1:$I$88,3,0)*VLOOKUP('Données projet'!$B$9,Paramètres!$A$1:$I$88,5,0)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378.13552372917843</v>
      </c>
      <c r="T69" s="62">
        <f t="shared" ref="T69:T132" si="88">$T$3</f>
        <v>528.97123645404952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195.8434999378035</v>
      </c>
      <c r="AA69" s="23">
        <f>EXP(-LN(2)/25)*AA68+(1-EXP(-LN(2)/25))/(LN(2)/25)*Calculateur!V69*Calculateur!X69*VLOOKUP('Données projet'!$B$9,Paramètres!$A$1:$I$88,3,0)*0.475*44/12</f>
        <v>92.848251351418796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288.69175128922228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8.125</v>
      </c>
      <c r="AI69" s="14">
        <f>IF('Données projet'!$A$62&gt;35,AI68+AH69-AQ68,IF(A69&lt;'Données projet'!$A$62,$AF$205^A69,IF(A69='Données projet'!$A$62,'Données projet'!$B$62,AI68+AH69-AQ68)))</f>
        <v>211.625</v>
      </c>
      <c r="AJ69" s="14">
        <f>AI69*VLOOKUP('Données projet'!$B$10,Paramètres!$A$1:$I$88,3,0)*VLOOKUP('Données projet'!$B$10,Paramètres!$A$1:$I$88,5,0)</f>
        <v>191.47829999999999</v>
      </c>
      <c r="AK69" s="14">
        <f t="shared" ref="AK69:AK132" si="89">EXP(-1.0587+0.8836*LN(AJ69)+0.284)</f>
        <v>47.866636420920138</v>
      </c>
      <c r="AL69" s="22">
        <f t="shared" si="58"/>
        <v>416.8590975997692</v>
      </c>
      <c r="AM69" s="62">
        <f t="shared" si="59"/>
        <v>681.31215671695622</v>
      </c>
      <c r="AN69" s="62">
        <f ca="1">AVERAGE(OFFSET($AM$3,0,0,'Données projet'!$E$10+1,1))-AVERAGE(OFFSET($H$3,0,0,'Données projet'!$E$10+1,1))</f>
        <v>536.3707066106856</v>
      </c>
      <c r="AO69" s="62">
        <f t="shared" ref="AO69:AO132" si="90">$AO$3</f>
        <v>217.6280015974086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11.006485968554227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11.006485968554227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302.3</v>
      </c>
      <c r="BE69" s="14">
        <f>BD69*VLOOKUP('Données projet'!$B$11,Paramètres!$A$1:$I$88,3,0)*VLOOKUP('Données projet'!$B$11,Paramètres!$A$1:$I$88,5,0)</f>
        <v>180.77540000000005</v>
      </c>
      <c r="BF69" s="14">
        <f t="shared" ref="BF69:BF132" si="91">EXP(-1.0587+0.8836*LN(BE69)+0.284)</f>
        <v>45.494655198846154</v>
      </c>
      <c r="BG69" s="22">
        <f t="shared" si="61"/>
        <v>394.08701280465715</v>
      </c>
      <c r="BH69" s="62">
        <f t="shared" si="62"/>
        <v>658.54007192184417</v>
      </c>
      <c r="BI69" s="62">
        <f ca="1">AVERAGE(OFFSET($BH$3,0,0,'Données projet'!$E$11+1,1))-AVERAGE(OFFSET($H$3,0,0,'Données projet'!$E$11+1,1))</f>
        <v>248.66193174773525</v>
      </c>
      <c r="BJ69" s="62">
        <f t="shared" ref="BJ69:BJ132" si="92">$BJ$3</f>
        <v>249.61655682981151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18.418827612300365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0.51892162885569759</v>
      </c>
      <c r="BS69" s="24">
        <f t="shared" si="63"/>
        <v>18.937749241156062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21.2</v>
      </c>
      <c r="BY69" s="13">
        <f>IF('Données projet'!$A$114&gt;35,BY68+BX69-CG68,IF(A69&lt;'Données projet'!$A$114,$BV$205^A69,IF(A69='Données projet'!$A$114,'Données projet'!$B$114,BY68+BX69-CG68)))</f>
        <v>747.2</v>
      </c>
      <c r="BZ69" s="14">
        <f>BY69*VLOOKUP('Données projet'!$B$12,Paramètres!$A$1:$I$88,3,0)*VLOOKUP('Données projet'!$B$12,Paramètres!$A$1:$I$88,5,0)</f>
        <v>301.1216</v>
      </c>
      <c r="CA69" s="14">
        <f t="shared" ref="CA69:CA132" si="93">EXP(-1.0587+0.8836*LN(BZ69)+0.284)</f>
        <v>71.411542825733292</v>
      </c>
      <c r="CB69" s="22">
        <f t="shared" si="64"/>
        <v>648.82855708815214</v>
      </c>
      <c r="CC69" s="62">
        <f t="shared" si="65"/>
        <v>913.28161620533922</v>
      </c>
      <c r="CD69" s="62">
        <f ca="1">AVERAGE(OFFSET($CC$3,0,0,'Données projet'!$E$12+1,1))-AVERAGE(OFFSET($H$3,0,0,'Données projet'!$E$12+1,1))</f>
        <v>432.59662347701629</v>
      </c>
      <c r="CE69" s="62">
        <f t="shared" ref="CE69:CE132" si="94">$CE$3</f>
        <v>348.67401091099748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47.77752942759399</v>
      </c>
      <c r="CL69" s="23">
        <f>EXP(-LN(2)/25)*CL68+(1-EXP(-LN(2)/25))/(LN(2)/25)*Calculateur!CG69*Calculateur!CI69*VLOOKUP('Données projet'!$B$12,Paramètres!$A$1:$I$88,3,0)*0.475*44/12</f>
        <v>79.200631748068574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126.97816117566256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19.399999999999999</v>
      </c>
      <c r="CT69" s="13">
        <f>IF('Données projet'!$A$140&gt;35,CT68+CS69-DB68,IF(A69&lt;'Données projet'!$A$140,$CQ$205^A69,IF(A69='Données projet'!$A$140,'Données projet'!$B$140,CT68+CS69-DB68)))</f>
        <v>998.40000000000009</v>
      </c>
      <c r="CU69" s="18">
        <f>CT69*VLOOKUP('Données projet'!$B$13,Paramètres!$A$1:$I$88,3,0)*VLOOKUP('Données projet'!$B$13,Paramètres!$A$1:$I$88,5,0)</f>
        <v>441.29280000000011</v>
      </c>
      <c r="CV69" s="14">
        <f t="shared" ref="CV69:CV132" si="95">EXP(-1.0587+0.8836*LN(CU69)+0.284)</f>
        <v>100.09968301051076</v>
      </c>
      <c r="CW69" s="22">
        <f t="shared" si="67"/>
        <v>942.92524124330646</v>
      </c>
      <c r="CX69" s="62">
        <f t="shared" si="68"/>
        <v>1207.3783003604935</v>
      </c>
      <c r="CY69" s="62">
        <f ca="1">AVERAGE(OFFSET($CX$3,0,0,'Données projet'!$E$13+1,1))-AVERAGE(OFFSET($H$3,0,0,'Données projet'!$E$13+1,1))</f>
        <v>582.26951914082088</v>
      </c>
      <c r="CZ69" s="62">
        <f t="shared" ref="CZ69:CZ132" si="96">$CZ$3</f>
        <v>434.80429932654715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53.942854399148572</v>
      </c>
      <c r="DG69" s="23">
        <f>EXP(-LN(2)/25)*DG68+(1-EXP(-LN(2)/25))/(LN(2)/25)*Calculateur!DB69*Calculateur!DD69*VLOOKUP('Données projet'!$B$13,Paramètres!$A$1:$I$88,3,0)*0.475*44/12</f>
        <v>75.050797806996215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128.99365220614479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498.99999999999955</v>
      </c>
      <c r="DP69" s="18">
        <f>DO69*VLOOKUP('Données projet'!$B$14,Paramètres!$A$1:$I$88,3,0)*VLOOKUP('Données projet'!$B$14,Paramètres!$A$1:$I$88,5,0)</f>
        <v>240.01899999999978</v>
      </c>
      <c r="DQ69" s="14">
        <f t="shared" ref="DQ69:DQ132" si="97">EXP(-1.0587+0.8836*LN(DP69)+0.284)</f>
        <v>58.443618405936313</v>
      </c>
      <c r="DR69" s="22">
        <f t="shared" si="70"/>
        <v>519.82239372367201</v>
      </c>
      <c r="DS69" s="62">
        <f t="shared" si="71"/>
        <v>784.27545284085909</v>
      </c>
      <c r="DT69" s="62">
        <f ca="1">AVERAGE(OFFSET($DS$3,0,0,'Données projet'!$E$14+1,1))-AVERAGE(OFFSET($H$3,0,0,'Données projet'!$E$14+1,1))</f>
        <v>273.24375559399846</v>
      </c>
      <c r="DU69" s="62">
        <f t="shared" ref="DU69:DU132" si="98">$DU$3</f>
        <v>270.77718895097848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projet'!$B$14,Paramètres!$A$1:$I$88,3,0)*0.475*44/12</f>
        <v>42.692975078927361</v>
      </c>
      <c r="EB69" s="23">
        <f>EXP(-LN(2)/25)*EB68+(1-EXP(-LN(2)/25))/(LN(2)/25)*Calculateur!DW69*Calculateur!DY69*VLOOKUP('Données projet'!$B$14,Paramètres!$A$1:$I$88,3,0)*0.475*44/12</f>
        <v>44.925774337171568</v>
      </c>
      <c r="EC69" s="23">
        <f>EXP(-LN(2)/2)*EC68+(1-EXP(-LN(2)/2))/(LN(2)/2)*DW69*DZ69*VLOOKUP('Données projet'!$B$14,Paramètres!$A$1:$I$88,3,0)*0.475*44/12</f>
        <v>0</v>
      </c>
      <c r="ED69" s="24">
        <f t="shared" si="72"/>
        <v>87.618749416098922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498.99999999999955</v>
      </c>
      <c r="EK69" s="18">
        <f>EJ69*VLOOKUP('Données projet'!$B$15,Paramètres!$A$1:$I$88,3,0)*VLOOKUP('Données projet'!$B$15,Paramètres!$A$1:$I$88,5,0)</f>
        <v>233.53199999999975</v>
      </c>
      <c r="EL69" s="14">
        <f t="shared" ref="EL69:EL132" si="99">EXP(-1.0587+0.8836*LN(EK69)+0.284)</f>
        <v>57.04570382109803</v>
      </c>
      <c r="EM69" s="22">
        <f t="shared" si="73"/>
        <v>506.08950082174533</v>
      </c>
      <c r="EN69" s="62">
        <f t="shared" si="74"/>
        <v>770.54255993893241</v>
      </c>
      <c r="EO69" s="62">
        <f ca="1">AVERAGE(OFFSET($EN$3,0,0,'Données projet'!$E$15+1,1))-AVERAGE(OFFSET($H$3,0,0,'Données projet'!$E$15+1,1))</f>
        <v>267.26203506406682</v>
      </c>
      <c r="EP69" s="62">
        <f t="shared" ref="EP69:EP132" si="100">$EP$3</f>
        <v>265.10857635664843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projet'!$B$15,Paramètres!$A$1:$I$88,3,0)*0.475*44/12</f>
        <v>41.539110887604984</v>
      </c>
      <c r="EW69" s="23">
        <f>EXP(-LN(2)/25)*EW68+(1-EXP(-LN(2)/25))/(LN(2)/25)*Calculateur!ER69*Calculateur!ET69*VLOOKUP('Données projet'!$B$15,Paramètres!$A$1:$I$88,3,0)*0.475*44/12</f>
        <v>43.711564219950723</v>
      </c>
      <c r="EX69" s="23">
        <f>EXP(-LN(2)/2)*EX68+(1-EXP(-LN(2)/2))/(LN(2)/2)*ER69*EU69*VLOOKUP('Données projet'!$B$15,Paramètres!$A$1:$I$88,3,0)*0.475*44/12</f>
        <v>0</v>
      </c>
      <c r="EY69" s="24">
        <f t="shared" si="75"/>
        <v>85.250675107555708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231</v>
      </c>
      <c r="FF69" s="18">
        <f>FE69*VLOOKUP('Données projet'!$B$16,Paramètres!$A$1:$I$88,3,0)*VLOOKUP('Données projet'!$B$16,Paramètres!$A$1:$I$88,5,0)</f>
        <v>169.36920000000001</v>
      </c>
      <c r="FG69" s="14">
        <f t="shared" ref="FG69:FG132" si="101">EXP(-1.0587+0.8836*LN(FF69)+0.284)</f>
        <v>42.948714817158674</v>
      </c>
      <c r="FH69" s="22">
        <f t="shared" si="76"/>
        <v>369.787034973218</v>
      </c>
      <c r="FI69" s="62">
        <f t="shared" si="77"/>
        <v>634.24009409040514</v>
      </c>
      <c r="FJ69" s="62">
        <f ca="1">AVERAGE(OFFSET($FI$3,0,0,'Données projet'!$E$16+1,1))-AVERAGE(OFFSET($H$3,0,0,'Données projet'!$E$16+1,1))</f>
        <v>207.66160354686221</v>
      </c>
      <c r="FK69" s="62">
        <f t="shared" ref="FK69:FK132" si="102">$FK$3</f>
        <v>260.45879589483525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projet'!$B$16,Paramètres!$A$1:$I$88,3,0)*0.475*44/12</f>
        <v>2.5377377060300503</v>
      </c>
      <c r="FR69" s="23">
        <f>EXP(-LN(2)/25)*FR68+(1-EXP(-LN(2)/25))/(LN(2)/25)*Calculateur!FM69*Calculateur!FO69*VLOOKUP('Données projet'!$B$16,Paramètres!$A$1:$I$88,3,0)*0.475*44/12</f>
        <v>0</v>
      </c>
      <c r="FS69" s="23">
        <f>EXP(-LN(2)/2)*FS68+(1-EXP(-LN(2)/2))/(LN(2)/2)*FM69*FP69*VLOOKUP('Données projet'!$B$16,Paramètres!$A$1:$I$88,3,0)*0.475*44/12</f>
        <v>0</v>
      </c>
      <c r="FT69" s="24">
        <f t="shared" si="78"/>
        <v>2.5377377060300503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projet'!$B$9,Paramètres!$A$1:$I$88,3,0)*VLOOKUP('Données projet'!$B$9,Paramètres!$A$1:$I$88,5,0)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378.13552372917843</v>
      </c>
      <c r="T70" s="62">
        <f t="shared" si="88"/>
        <v>528.97123645404952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192.00312835676317</v>
      </c>
      <c r="AA70" s="23">
        <f>EXP(-LN(2)/25)*AA69+(1-EXP(-LN(2)/25))/(LN(2)/25)*Calculateur!V70*Calculateur!X70*VLOOKUP('Données projet'!$B$9,Paramètres!$A$1:$I$88,3,0)*0.475*44/12</f>
        <v>90.309311035536922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282.31243939230012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8.125</v>
      </c>
      <c r="AI70" s="14">
        <f>IF('Données projet'!$A$62&gt;35,AI69+AH70-AQ69,IF(A70&lt;'Données projet'!$A$62,$AF$205^A70,IF(A70='Données projet'!$A$62,'Données projet'!$B$62,AI69+AH70-AQ69)))</f>
        <v>219.75</v>
      </c>
      <c r="AJ70" s="14">
        <f>AI70*VLOOKUP('Données projet'!$B$10,Paramètres!$A$1:$I$88,3,0)*VLOOKUP('Données projet'!$B$10,Paramètres!$A$1:$I$88,5,0)</f>
        <v>198.82980000000001</v>
      </c>
      <c r="AK70" s="14">
        <f t="shared" si="89"/>
        <v>49.486905417355814</v>
      </c>
      <c r="AL70" s="22">
        <f t="shared" si="58"/>
        <v>432.48492860189475</v>
      </c>
      <c r="AM70" s="62">
        <f t="shared" si="59"/>
        <v>697.43899591011166</v>
      </c>
      <c r="AN70" s="62">
        <f ca="1">AVERAGE(OFFSET($AM$3,0,0,'Données projet'!$E$10+1,1))-AVERAGE(OFFSET($H$3,0,0,'Données projet'!$E$10+1,1))</f>
        <v>536.3707066106856</v>
      </c>
      <c r="AO70" s="62">
        <f t="shared" si="90"/>
        <v>217.6280015974086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10.790655492004436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10.790655492004436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302.3</v>
      </c>
      <c r="BE70" s="14">
        <f>BD70*VLOOKUP('Données projet'!$B$11,Paramètres!$A$1:$I$88,3,0)*VLOOKUP('Données projet'!$B$11,Paramètres!$A$1:$I$88,5,0)</f>
        <v>180.77540000000005</v>
      </c>
      <c r="BF70" s="14">
        <f t="shared" si="91"/>
        <v>45.494655198846154</v>
      </c>
      <c r="BG70" s="22">
        <f t="shared" si="61"/>
        <v>394.08701280465715</v>
      </c>
      <c r="BH70" s="62">
        <f t="shared" si="62"/>
        <v>659.04108011287406</v>
      </c>
      <c r="BI70" s="62">
        <f ca="1">AVERAGE(OFFSET($BH$3,0,0,'Données projet'!$E$11+1,1))-AVERAGE(OFFSET($H$3,0,0,'Données projet'!$E$11+1,1))</f>
        <v>248.66193174773525</v>
      </c>
      <c r="BJ70" s="62">
        <f t="shared" si="92"/>
        <v>249.61655682981151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18.057645637198696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0.36693300266823259</v>
      </c>
      <c r="BS70" s="24">
        <f t="shared" si="63"/>
        <v>18.42457863986693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21.2</v>
      </c>
      <c r="BY70" s="13">
        <f>IF('Données projet'!$A$114&gt;35,BY69+BX70-CG69,IF(A70&lt;'Données projet'!$A$114,$BV$205^A70,IF(A70='Données projet'!$A$114,'Données projet'!$B$114,BY69+BX70-CG69)))</f>
        <v>768.40000000000009</v>
      </c>
      <c r="BZ70" s="14">
        <f>BY70*VLOOKUP('Données projet'!$B$12,Paramètres!$A$1:$I$88,3,0)*VLOOKUP('Données projet'!$B$12,Paramètres!$A$1:$I$88,5,0)</f>
        <v>309.66520000000008</v>
      </c>
      <c r="CA70" s="14">
        <f t="shared" si="93"/>
        <v>73.198906209742276</v>
      </c>
      <c r="CB70" s="22">
        <f t="shared" si="64"/>
        <v>666.82165164863466</v>
      </c>
      <c r="CC70" s="62">
        <f t="shared" si="65"/>
        <v>931.77571895685151</v>
      </c>
      <c r="CD70" s="62">
        <f ca="1">AVERAGE(OFFSET($CC$3,0,0,'Données projet'!$E$12+1,1))-AVERAGE(OFFSET($H$3,0,0,'Données projet'!$E$12+1,1))</f>
        <v>432.59662347701629</v>
      </c>
      <c r="CE70" s="62">
        <f t="shared" si="94"/>
        <v>348.67401091099748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46.840641216934344</v>
      </c>
      <c r="CL70" s="23">
        <f>EXP(-LN(2)/25)*CL69+(1-EXP(-LN(2)/25))/(LN(2)/25)*Calculateur!CG70*Calculateur!CI70*VLOOKUP('Données projet'!$B$12,Paramètres!$A$1:$I$88,3,0)*0.475*44/12</f>
        <v>77.034886307937427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123.87552752487177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19.399999999999999</v>
      </c>
      <c r="CT70" s="13">
        <f>IF('Données projet'!$A$140&gt;35,CT69+CS70-DB69,IF(A70&lt;'Données projet'!$A$140,$CQ$205^A70,IF(A70='Données projet'!$A$140,'Données projet'!$B$140,CT69+CS70-DB69)))</f>
        <v>1017.8000000000001</v>
      </c>
      <c r="CU70" s="18">
        <f>CT70*VLOOKUP('Données projet'!$B$13,Paramètres!$A$1:$I$88,3,0)*VLOOKUP('Données projet'!$B$13,Paramètres!$A$1:$I$88,5,0)</f>
        <v>449.86760000000004</v>
      </c>
      <c r="CV70" s="14">
        <f t="shared" si="95"/>
        <v>101.81639590542467</v>
      </c>
      <c r="CW70" s="22">
        <f t="shared" si="67"/>
        <v>960.84962620194801</v>
      </c>
      <c r="CX70" s="62">
        <f t="shared" si="68"/>
        <v>1225.803693510165</v>
      </c>
      <c r="CY70" s="62">
        <f ca="1">AVERAGE(OFFSET($CX$3,0,0,'Données projet'!$E$13+1,1))-AVERAGE(OFFSET($H$3,0,0,'Données projet'!$E$13+1,1))</f>
        <v>582.26951914082088</v>
      </c>
      <c r="CZ70" s="62">
        <f t="shared" si="96"/>
        <v>434.80429932654715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52.885067926273663</v>
      </c>
      <c r="DG70" s="23">
        <f>EXP(-LN(2)/25)*DG69+(1-EXP(-LN(2)/25))/(LN(2)/25)*Calculateur!DB70*Calculateur!DD70*VLOOKUP('Données projet'!$B$13,Paramètres!$A$1:$I$88,3,0)*0.475*44/12</f>
        <v>72.998529794213979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125.88359772048764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498.99999999999955</v>
      </c>
      <c r="DP70" s="18">
        <f>DO70*VLOOKUP('Données projet'!$B$14,Paramètres!$A$1:$I$88,3,0)*VLOOKUP('Données projet'!$B$14,Paramètres!$A$1:$I$88,5,0)</f>
        <v>240.01899999999978</v>
      </c>
      <c r="DQ70" s="14">
        <f t="shared" si="97"/>
        <v>58.443618405936313</v>
      </c>
      <c r="DR70" s="22">
        <f t="shared" si="70"/>
        <v>519.82239372367201</v>
      </c>
      <c r="DS70" s="62">
        <f t="shared" si="71"/>
        <v>784.77646103188886</v>
      </c>
      <c r="DT70" s="62">
        <f ca="1">AVERAGE(OFFSET($DS$3,0,0,'Données projet'!$E$14+1,1))-AVERAGE(OFFSET($H$3,0,0,'Données projet'!$E$14+1,1))</f>
        <v>273.24375559399846</v>
      </c>
      <c r="DU70" s="62">
        <f t="shared" si="98"/>
        <v>270.77718895097848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projet'!$B$14,Paramètres!$A$1:$I$88,3,0)*0.475*44/12</f>
        <v>41.855791877773143</v>
      </c>
      <c r="EB70" s="23">
        <f>EXP(-LN(2)/25)*EB69+(1-EXP(-LN(2)/25))/(LN(2)/25)*Calculateur!DW70*Calculateur!DY70*VLOOKUP('Données projet'!$B$14,Paramètres!$A$1:$I$88,3,0)*0.475*44/12</f>
        <v>43.697276675377815</v>
      </c>
      <c r="EC70" s="23">
        <f>EXP(-LN(2)/2)*EC69+(1-EXP(-LN(2)/2))/(LN(2)/2)*DW70*DZ70*VLOOKUP('Données projet'!$B$14,Paramètres!$A$1:$I$88,3,0)*0.475*44/12</f>
        <v>0</v>
      </c>
      <c r="ED70" s="24">
        <f t="shared" si="72"/>
        <v>85.55306855315095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498.99999999999955</v>
      </c>
      <c r="EK70" s="18">
        <f>EJ70*VLOOKUP('Données projet'!$B$15,Paramètres!$A$1:$I$88,3,0)*VLOOKUP('Données projet'!$B$15,Paramètres!$A$1:$I$88,5,0)</f>
        <v>233.53199999999975</v>
      </c>
      <c r="EL70" s="14">
        <f t="shared" si="99"/>
        <v>57.04570382109803</v>
      </c>
      <c r="EM70" s="22">
        <f t="shared" si="73"/>
        <v>506.08950082174533</v>
      </c>
      <c r="EN70" s="62">
        <f t="shared" si="74"/>
        <v>771.0435681299623</v>
      </c>
      <c r="EO70" s="62">
        <f ca="1">AVERAGE(OFFSET($EN$3,0,0,'Données projet'!$E$15+1,1))-AVERAGE(OFFSET($H$3,0,0,'Données projet'!$E$15+1,1))</f>
        <v>267.26203506406682</v>
      </c>
      <c r="EP70" s="62">
        <f t="shared" si="100"/>
        <v>265.10857635664843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projet'!$B$15,Paramètres!$A$1:$I$88,3,0)*0.475*44/12</f>
        <v>40.724554259454933</v>
      </c>
      <c r="EW70" s="23">
        <f>EXP(-LN(2)/25)*EW69+(1-EXP(-LN(2)/25))/(LN(2)/25)*Calculateur!ER70*Calculateur!ET70*VLOOKUP('Données projet'!$B$15,Paramètres!$A$1:$I$88,3,0)*0.475*44/12</f>
        <v>42.516269197664911</v>
      </c>
      <c r="EX70" s="23">
        <f>EXP(-LN(2)/2)*EX69+(1-EXP(-LN(2)/2))/(LN(2)/2)*ER70*EU70*VLOOKUP('Données projet'!$B$15,Paramètres!$A$1:$I$88,3,0)*0.475*44/12</f>
        <v>0</v>
      </c>
      <c r="EY70" s="24">
        <f t="shared" si="75"/>
        <v>83.240823457119845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231</v>
      </c>
      <c r="FF70" s="18">
        <f>FE70*VLOOKUP('Données projet'!$B$16,Paramètres!$A$1:$I$88,3,0)*VLOOKUP('Données projet'!$B$16,Paramètres!$A$1:$I$88,5,0)</f>
        <v>169.36920000000001</v>
      </c>
      <c r="FG70" s="14">
        <f t="shared" si="101"/>
        <v>42.948714817158674</v>
      </c>
      <c r="FH70" s="22">
        <f t="shared" si="76"/>
        <v>369.787034973218</v>
      </c>
      <c r="FI70" s="62">
        <f t="shared" si="77"/>
        <v>634.74110228143491</v>
      </c>
      <c r="FJ70" s="62">
        <f ca="1">AVERAGE(OFFSET($FI$3,0,0,'Données projet'!$E$16+1,1))-AVERAGE(OFFSET($H$3,0,0,'Données projet'!$E$16+1,1))</f>
        <v>207.66160354686221</v>
      </c>
      <c r="FK70" s="62">
        <f t="shared" si="102"/>
        <v>260.45879589483525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projet'!$B$16,Paramètres!$A$1:$I$88,3,0)*0.475*44/12</f>
        <v>2.4879742174819626</v>
      </c>
      <c r="FR70" s="23">
        <f>EXP(-LN(2)/25)*FR69+(1-EXP(-LN(2)/25))/(LN(2)/25)*Calculateur!FM70*Calculateur!FO70*VLOOKUP('Données projet'!$B$16,Paramètres!$A$1:$I$88,3,0)*0.475*44/12</f>
        <v>0</v>
      </c>
      <c r="FS70" s="23">
        <f>EXP(-LN(2)/2)*FS69+(1-EXP(-LN(2)/2))/(LN(2)/2)*FM70*FP70*VLOOKUP('Données projet'!$B$16,Paramètres!$A$1:$I$88,3,0)*0.475*44/12</f>
        <v>0</v>
      </c>
      <c r="FT70" s="24">
        <f t="shared" si="78"/>
        <v>2.4879742174819626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projet'!$B$9,Paramètres!$A$1:$I$88,3,0)*VLOOKUP('Données projet'!$B$9,Paramètres!$A$1:$I$88,5,0)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378.13552372917843</v>
      </c>
      <c r="T71" s="62">
        <f t="shared" si="88"/>
        <v>528.97123645404952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188.23806412003165</v>
      </c>
      <c r="AA71" s="23">
        <f>EXP(-LN(2)/25)*AA70+(1-EXP(-LN(2)/25))/(LN(2)/25)*Calculateur!V71*Calculateur!X71*VLOOKUP('Données projet'!$B$9,Paramètres!$A$1:$I$88,3,0)*0.475*44/12</f>
        <v>87.839798176109909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276.07786229614157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8.125</v>
      </c>
      <c r="AI71" s="14">
        <f>IF('Données projet'!$A$62&gt;35,AI70+AH71-AQ70,IF(A71&lt;'Données projet'!$A$62,$AF$205^A71,IF(A71='Données projet'!$A$62,'Données projet'!$B$62,AI70+AH71-AQ70)))</f>
        <v>227.875</v>
      </c>
      <c r="AJ71" s="14">
        <f>AI71*VLOOKUP('Données projet'!$B$10,Paramètres!$A$1:$I$88,3,0)*VLOOKUP('Données projet'!$B$10,Paramètres!$A$1:$I$88,5,0)</f>
        <v>206.18129999999999</v>
      </c>
      <c r="AK71" s="14">
        <f t="shared" si="89"/>
        <v>51.100214483218906</v>
      </c>
      <c r="AL71" s="22">
        <f t="shared" si="58"/>
        <v>448.09863772493946</v>
      </c>
      <c r="AM71" s="62">
        <f t="shared" si="59"/>
        <v>713.54502185215824</v>
      </c>
      <c r="AN71" s="62">
        <f ca="1">AVERAGE(OFFSET($AM$3,0,0,'Données projet'!$E$10+1,1))-AVERAGE(OFFSET($H$3,0,0,'Données projet'!$E$10+1,1))</f>
        <v>536.3707066106856</v>
      </c>
      <c r="AO71" s="62">
        <f t="shared" si="90"/>
        <v>217.6280015974086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10.579057319456195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10.579057319456195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302.3</v>
      </c>
      <c r="BE71" s="14">
        <f>BD71*VLOOKUP('Données projet'!$B$11,Paramètres!$A$1:$I$88,3,0)*VLOOKUP('Données projet'!$B$11,Paramètres!$A$1:$I$88,5,0)</f>
        <v>180.77540000000005</v>
      </c>
      <c r="BF71" s="14">
        <f t="shared" si="91"/>
        <v>45.494655198846154</v>
      </c>
      <c r="BG71" s="22">
        <f t="shared" si="61"/>
        <v>394.08701280465715</v>
      </c>
      <c r="BH71" s="62">
        <f t="shared" si="62"/>
        <v>659.53339693187604</v>
      </c>
      <c r="BI71" s="62">
        <f ca="1">AVERAGE(OFFSET($BH$3,0,0,'Données projet'!$E$11+1,1))-AVERAGE(OFFSET($H$3,0,0,'Données projet'!$E$11+1,1))</f>
        <v>248.66193174773525</v>
      </c>
      <c r="BJ71" s="62">
        <f t="shared" si="92"/>
        <v>249.61655682981151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17.703546220329518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0.2594608144278488</v>
      </c>
      <c r="BS71" s="24">
        <f t="shared" si="63"/>
        <v>17.963007034757368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21.2</v>
      </c>
      <c r="BY71" s="13">
        <f>IF('Données projet'!$A$114&gt;35,BY70+BX71-CG70,IF(A71&lt;'Données projet'!$A$114,$BV$205^A71,IF(A71='Données projet'!$A$114,'Données projet'!$B$114,BY70+BX71-CG70)))</f>
        <v>789.60000000000014</v>
      </c>
      <c r="BZ71" s="14">
        <f>BY71*VLOOKUP('Données projet'!$B$12,Paramètres!$A$1:$I$88,3,0)*VLOOKUP('Données projet'!$B$12,Paramètres!$A$1:$I$88,5,0)</f>
        <v>318.20880000000005</v>
      </c>
      <c r="CA71" s="14">
        <f t="shared" si="93"/>
        <v>74.980538000067853</v>
      </c>
      <c r="CB71" s="22">
        <f t="shared" si="64"/>
        <v>684.8047636834516</v>
      </c>
      <c r="CC71" s="62">
        <f t="shared" si="65"/>
        <v>950.25114781067043</v>
      </c>
      <c r="CD71" s="62">
        <f ca="1">AVERAGE(OFFSET($CC$3,0,0,'Données projet'!$E$12+1,1))-AVERAGE(OFFSET($H$3,0,0,'Données projet'!$E$12+1,1))</f>
        <v>432.59662347701629</v>
      </c>
      <c r="CE71" s="62">
        <f t="shared" si="94"/>
        <v>348.67401091099748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45.922124812640355</v>
      </c>
      <c r="CL71" s="23">
        <f>EXP(-LN(2)/25)*CL70+(1-EXP(-LN(2)/25))/(LN(2)/25)*Calculateur!CG71*Calculateur!CI71*VLOOKUP('Données projet'!$B$12,Paramètres!$A$1:$I$88,3,0)*0.475*44/12</f>
        <v>74.92836329075827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120.85048810339862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19.399999999999999</v>
      </c>
      <c r="CT71" s="13">
        <f>IF('Données projet'!$A$140&gt;35,CT70+CS71-DB70,IF(A71&lt;'Données projet'!$A$140,$CQ$205^A71,IF(A71='Données projet'!$A$140,'Données projet'!$B$140,CT70+CS71-DB70)))</f>
        <v>1037.2</v>
      </c>
      <c r="CU71" s="18">
        <f>CT71*VLOOKUP('Données projet'!$B$13,Paramètres!$A$1:$I$88,3,0)*VLOOKUP('Données projet'!$B$13,Paramètres!$A$1:$I$88,5,0)</f>
        <v>458.44240000000002</v>
      </c>
      <c r="CV71" s="14">
        <f t="shared" si="95"/>
        <v>103.52930396343859</v>
      </c>
      <c r="CW71" s="22">
        <f t="shared" si="67"/>
        <v>978.7673844029888</v>
      </c>
      <c r="CX71" s="62">
        <f t="shared" si="68"/>
        <v>1244.2137685302077</v>
      </c>
      <c r="CY71" s="62">
        <f ca="1">AVERAGE(OFFSET($CX$3,0,0,'Données projet'!$E$13+1,1))-AVERAGE(OFFSET($H$3,0,0,'Données projet'!$E$13+1,1))</f>
        <v>582.26951914082088</v>
      </c>
      <c r="CZ71" s="62">
        <f t="shared" si="96"/>
        <v>434.80429932654715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51.848024000945784</v>
      </c>
      <c r="DG71" s="23">
        <f>EXP(-LN(2)/25)*DG70+(1-EXP(-LN(2)/25))/(LN(2)/25)*Calculateur!DB71*Calculateur!DD71*VLOOKUP('Données projet'!$B$13,Paramètres!$A$1:$I$88,3,0)*0.475*44/12</f>
        <v>71.002381158165363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122.85040515911115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498.99999999999955</v>
      </c>
      <c r="DP71" s="18">
        <f>DO71*VLOOKUP('Données projet'!$B$14,Paramètres!$A$1:$I$88,3,0)*VLOOKUP('Données projet'!$B$14,Paramètres!$A$1:$I$88,5,0)</f>
        <v>240.01899999999978</v>
      </c>
      <c r="DQ71" s="14">
        <f t="shared" si="97"/>
        <v>58.443618405936313</v>
      </c>
      <c r="DR71" s="22">
        <f t="shared" si="70"/>
        <v>519.82239372367201</v>
      </c>
      <c r="DS71" s="62">
        <f t="shared" si="71"/>
        <v>785.26877785089084</v>
      </c>
      <c r="DT71" s="62">
        <f ca="1">AVERAGE(OFFSET($DS$3,0,0,'Données projet'!$E$14+1,1))-AVERAGE(OFFSET($H$3,0,0,'Données projet'!$E$14+1,1))</f>
        <v>273.24375559399846</v>
      </c>
      <c r="DU71" s="62">
        <f t="shared" si="98"/>
        <v>270.77718895097848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projet'!$B$14,Paramètres!$A$1:$I$88,3,0)*0.475*44/12</f>
        <v>41.035025328562227</v>
      </c>
      <c r="EB71" s="23">
        <f>EXP(-LN(2)/25)*EB70+(1-EXP(-LN(2)/25))/(LN(2)/25)*Calculateur!DW71*Calculateur!DY71*VLOOKUP('Données projet'!$B$14,Paramètres!$A$1:$I$88,3,0)*0.475*44/12</f>
        <v>42.502372346749702</v>
      </c>
      <c r="EC71" s="23">
        <f>EXP(-LN(2)/2)*EC70+(1-EXP(-LN(2)/2))/(LN(2)/2)*DW71*DZ71*VLOOKUP('Données projet'!$B$14,Paramètres!$A$1:$I$88,3,0)*0.475*44/12</f>
        <v>0</v>
      </c>
      <c r="ED71" s="24">
        <f t="shared" si="72"/>
        <v>83.537397675311922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498.99999999999955</v>
      </c>
      <c r="EK71" s="18">
        <f>EJ71*VLOOKUP('Données projet'!$B$15,Paramètres!$A$1:$I$88,3,0)*VLOOKUP('Données projet'!$B$15,Paramètres!$A$1:$I$88,5,0)</f>
        <v>233.53199999999975</v>
      </c>
      <c r="EL71" s="14">
        <f t="shared" si="99"/>
        <v>57.04570382109803</v>
      </c>
      <c r="EM71" s="22">
        <f t="shared" si="73"/>
        <v>506.08950082174533</v>
      </c>
      <c r="EN71" s="62">
        <f t="shared" si="74"/>
        <v>771.53588494896417</v>
      </c>
      <c r="EO71" s="62">
        <f ca="1">AVERAGE(OFFSET($EN$3,0,0,'Données projet'!$E$15+1,1))-AVERAGE(OFFSET($H$3,0,0,'Données projet'!$E$15+1,1))</f>
        <v>267.26203506406682</v>
      </c>
      <c r="EP71" s="62">
        <f t="shared" si="100"/>
        <v>265.10857635664843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projet'!$B$15,Paramètres!$A$1:$I$88,3,0)*0.475*44/12</f>
        <v>39.925970589952421</v>
      </c>
      <c r="EW71" s="23">
        <f>EXP(-LN(2)/25)*EW70+(1-EXP(-LN(2)/25))/(LN(2)/25)*Calculateur!ER71*Calculateur!ET71*VLOOKUP('Données projet'!$B$15,Paramètres!$A$1:$I$88,3,0)*0.475*44/12</f>
        <v>41.35365958062134</v>
      </c>
      <c r="EX71" s="23">
        <f>EXP(-LN(2)/2)*EX70+(1-EXP(-LN(2)/2))/(LN(2)/2)*ER71*EU71*VLOOKUP('Données projet'!$B$15,Paramètres!$A$1:$I$88,3,0)*0.475*44/12</f>
        <v>0</v>
      </c>
      <c r="EY71" s="24">
        <f t="shared" si="75"/>
        <v>81.279630170573768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231</v>
      </c>
      <c r="FF71" s="18">
        <f>FE71*VLOOKUP('Données projet'!$B$16,Paramètres!$A$1:$I$88,3,0)*VLOOKUP('Données projet'!$B$16,Paramètres!$A$1:$I$88,5,0)</f>
        <v>169.36920000000001</v>
      </c>
      <c r="FG71" s="14">
        <f t="shared" si="101"/>
        <v>42.948714817158674</v>
      </c>
      <c r="FH71" s="22">
        <f t="shared" si="76"/>
        <v>369.787034973218</v>
      </c>
      <c r="FI71" s="62">
        <f t="shared" si="77"/>
        <v>635.23341910043678</v>
      </c>
      <c r="FJ71" s="62">
        <f ca="1">AVERAGE(OFFSET($FI$3,0,0,'Données projet'!$E$16+1,1))-AVERAGE(OFFSET($H$3,0,0,'Données projet'!$E$16+1,1))</f>
        <v>207.66160354686221</v>
      </c>
      <c r="FK71" s="62">
        <f t="shared" si="102"/>
        <v>260.45879589483525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projet'!$B$16,Paramètres!$A$1:$I$88,3,0)*0.475*44/12</f>
        <v>2.4391865605915717</v>
      </c>
      <c r="FR71" s="23">
        <f>EXP(-LN(2)/25)*FR70+(1-EXP(-LN(2)/25))/(LN(2)/25)*Calculateur!FM71*Calculateur!FO71*VLOOKUP('Données projet'!$B$16,Paramètres!$A$1:$I$88,3,0)*0.475*44/12</f>
        <v>0</v>
      </c>
      <c r="FS71" s="23">
        <f>EXP(-LN(2)/2)*FS70+(1-EXP(-LN(2)/2))/(LN(2)/2)*FM71*FP71*VLOOKUP('Données projet'!$B$16,Paramètres!$A$1:$I$88,3,0)*0.475*44/12</f>
        <v>0</v>
      </c>
      <c r="FT71" s="24">
        <f t="shared" si="78"/>
        <v>2.4391865605915717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projet'!$B$9,Paramètres!$A$1:$I$88,3,0)*VLOOKUP('Données projet'!$B$9,Paramètres!$A$1:$I$88,5,0)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378.13552372917843</v>
      </c>
      <c r="T72" s="62">
        <f t="shared" si="88"/>
        <v>528.97123645404952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184.54683049652002</v>
      </c>
      <c r="AA72" s="23">
        <f>EXP(-LN(2)/25)*AA71+(1-EXP(-LN(2)/25))/(LN(2)/25)*Calculateur!V72*Calculateur!X72*VLOOKUP('Données projet'!$B$9,Paramètres!$A$1:$I$88,3,0)*0.475*44/12</f>
        <v>85.437814275689959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269.98464477221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236</v>
      </c>
      <c r="AG72" s="13">
        <f>VLOOKUP(A72,'Données projet'!$A$61:$I$81,9,0)</f>
        <v>8.125</v>
      </c>
      <c r="AH72" s="13">
        <f t="array" ref="AH72">INDEX(AG:AG,MIN(IF(ISNUMBER(AG72:AG268),ROW(AG72:AG268),"")))</f>
        <v>8.125</v>
      </c>
      <c r="AI72" s="14">
        <f>IF('Données projet'!$A$62&gt;35,AI71+AH72-AQ71,IF(A72&lt;'Données projet'!$A$62,$AF$205^A72,IF(A72='Données projet'!$A$62,'Données projet'!$B$62,AI71+AH72-AQ71)))</f>
        <v>236</v>
      </c>
      <c r="AJ72" s="14">
        <f>AI72*VLOOKUP('Données projet'!$B$10,Paramètres!$A$1:$I$88,3,0)*VLOOKUP('Données projet'!$B$10,Paramètres!$A$1:$I$88,5,0)</f>
        <v>213.53280000000001</v>
      </c>
      <c r="AK72" s="14">
        <f t="shared" si="89"/>
        <v>52.706840209271235</v>
      </c>
      <c r="AL72" s="22">
        <f t="shared" si="58"/>
        <v>463.70070669781398</v>
      </c>
      <c r="AM72" s="62">
        <f t="shared" si="59"/>
        <v>729.63086704788054</v>
      </c>
      <c r="AN72" s="62">
        <f ca="1">AVERAGE(OFFSET($AM$3,0,0,'Données projet'!$E$10+1,1))-AVERAGE(OFFSET($H$3,0,0,'Données projet'!$E$10+1,1))</f>
        <v>536.3707066106856</v>
      </c>
      <c r="AO72" s="62">
        <f t="shared" si="90"/>
        <v>217.6280015974086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43</v>
      </c>
      <c r="AR72" s="17">
        <f>IF(ISNA(VLOOKUP(A72,'Données projet'!$A$61:$I$81,5,0)),0%,VLOOKUP(A72,'Données projet'!$A$61:$I$81,5,0)*VLOOKUP('Données projet'!$B$10,Paramètres!$A$1:$I$88,7,0))</f>
        <v>0.129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15.919882045889123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15.919882045889123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302.3</v>
      </c>
      <c r="BE72" s="14">
        <f>BD72*VLOOKUP('Données projet'!$B$11,Paramètres!$A$1:$I$88,3,0)*VLOOKUP('Données projet'!$B$11,Paramètres!$A$1:$I$88,5,0)</f>
        <v>180.77540000000005</v>
      </c>
      <c r="BF72" s="14">
        <f t="shared" si="91"/>
        <v>45.494655198846154</v>
      </c>
      <c r="BG72" s="22">
        <f t="shared" si="61"/>
        <v>394.08701280465715</v>
      </c>
      <c r="BH72" s="62">
        <f t="shared" si="62"/>
        <v>660.01717315472365</v>
      </c>
      <c r="BI72" s="62">
        <f ca="1">AVERAGE(OFFSET($BH$3,0,0,'Données projet'!$E$11+1,1))-AVERAGE(OFFSET($H$3,0,0,'Données projet'!$E$11+1,1))</f>
        <v>248.66193174773525</v>
      </c>
      <c r="BJ72" s="62">
        <f t="shared" si="92"/>
        <v>249.61655682981151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17.356390477045828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0.18346650133411629</v>
      </c>
      <c r="BS72" s="24">
        <f t="shared" si="63"/>
        <v>17.539856978379945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21.2</v>
      </c>
      <c r="BY72" s="13">
        <f>IF('Données projet'!$A$114&gt;35,BY71+BX72-CG71,IF(A72&lt;'Données projet'!$A$114,$BV$205^A72,IF(A72='Données projet'!$A$114,'Données projet'!$B$114,BY71+BX72-CG71)))</f>
        <v>810.80000000000018</v>
      </c>
      <c r="BZ72" s="14">
        <f>BY72*VLOOKUP('Données projet'!$B$12,Paramètres!$A$1:$I$88,3,0)*VLOOKUP('Données projet'!$B$12,Paramètres!$A$1:$I$88,5,0)</f>
        <v>326.75240000000008</v>
      </c>
      <c r="CA72" s="14">
        <f t="shared" si="93"/>
        <v>76.756609770581321</v>
      </c>
      <c r="CB72" s="22">
        <f t="shared" si="64"/>
        <v>702.77819201709599</v>
      </c>
      <c r="CC72" s="62">
        <f t="shared" si="65"/>
        <v>968.70835236716255</v>
      </c>
      <c r="CD72" s="62">
        <f ca="1">AVERAGE(OFFSET($CC$3,0,0,'Données projet'!$E$12+1,1))-AVERAGE(OFFSET($H$3,0,0,'Données projet'!$E$12+1,1))</f>
        <v>432.59662347701629</v>
      </c>
      <c r="CE72" s="62">
        <f t="shared" si="94"/>
        <v>348.67401091099748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45.021619954794879</v>
      </c>
      <c r="CL72" s="23">
        <f>EXP(-LN(2)/25)*CL71+(1-EXP(-LN(2)/25))/(LN(2)/25)*Calculateur!CG72*Calculateur!CI72*VLOOKUP('Données projet'!$B$12,Paramètres!$A$1:$I$88,3,0)*0.475*44/12</f>
        <v>72.879443256261112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117.901063211056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19.399999999999999</v>
      </c>
      <c r="CT72" s="13">
        <f>IF('Données projet'!$A$140&gt;35,CT71+CS72-DB71,IF(A72&lt;'Données projet'!$A$140,$CQ$205^A72,IF(A72='Données projet'!$A$140,'Données projet'!$B$140,CT71+CS72-DB71)))</f>
        <v>1056.6000000000001</v>
      </c>
      <c r="CU72" s="18">
        <f>CT72*VLOOKUP('Données projet'!$B$13,Paramètres!$A$1:$I$88,3,0)*VLOOKUP('Données projet'!$B$13,Paramètres!$A$1:$I$88,5,0)</f>
        <v>467.01720000000012</v>
      </c>
      <c r="CV72" s="14">
        <f t="shared" si="95"/>
        <v>105.23848655768003</v>
      </c>
      <c r="CW72" s="22">
        <f t="shared" si="67"/>
        <v>996.67865408795967</v>
      </c>
      <c r="CX72" s="62">
        <f t="shared" si="68"/>
        <v>1262.6088144380262</v>
      </c>
      <c r="CY72" s="62">
        <f ca="1">AVERAGE(OFFSET($CX$3,0,0,'Données projet'!$E$13+1,1))-AVERAGE(OFFSET($H$3,0,0,'Données projet'!$E$13+1,1))</f>
        <v>582.26951914082088</v>
      </c>
      <c r="CZ72" s="62">
        <f t="shared" si="96"/>
        <v>434.80429932654715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50.83131587445925</v>
      </c>
      <c r="DG72" s="23">
        <f>EXP(-LN(2)/25)*DG71+(1-EXP(-LN(2)/25))/(LN(2)/25)*Calculateur!DB72*Calculateur!DD72*VLOOKUP('Données projet'!$B$13,Paramètres!$A$1:$I$88,3,0)*0.475*44/12</f>
        <v>69.06081731154238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119.89213318600163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498.99999999999955</v>
      </c>
      <c r="DP72" s="18">
        <f>DO72*VLOOKUP('Données projet'!$B$14,Paramètres!$A$1:$I$88,3,0)*VLOOKUP('Données projet'!$B$14,Paramètres!$A$1:$I$88,5,0)</f>
        <v>240.01899999999978</v>
      </c>
      <c r="DQ72" s="14">
        <f t="shared" si="97"/>
        <v>58.443618405936313</v>
      </c>
      <c r="DR72" s="22">
        <f t="shared" si="70"/>
        <v>519.82239372367201</v>
      </c>
      <c r="DS72" s="62">
        <f t="shared" si="71"/>
        <v>785.75255407373857</v>
      </c>
      <c r="DT72" s="62">
        <f ca="1">AVERAGE(OFFSET($DS$3,0,0,'Données projet'!$E$14+1,1))-AVERAGE(OFFSET($H$3,0,0,'Données projet'!$E$14+1,1))</f>
        <v>273.24375559399846</v>
      </c>
      <c r="DU72" s="62">
        <f t="shared" si="98"/>
        <v>270.77718895097848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projet'!$B$14,Paramètres!$A$1:$I$88,3,0)*0.475*44/12</f>
        <v>40.230353510763173</v>
      </c>
      <c r="EB72" s="23">
        <f>EXP(-LN(2)/25)*EB71+(1-EXP(-LN(2)/25))/(LN(2)/25)*Calculateur!DW72*Calculateur!DY72*VLOOKUP('Données projet'!$B$14,Paramètres!$A$1:$I$88,3,0)*0.475*44/12</f>
        <v>41.340142739825211</v>
      </c>
      <c r="EC72" s="23">
        <f>EXP(-LN(2)/2)*EC71+(1-EXP(-LN(2)/2))/(LN(2)/2)*DW72*DZ72*VLOOKUP('Données projet'!$B$14,Paramètres!$A$1:$I$88,3,0)*0.475*44/12</f>
        <v>0</v>
      </c>
      <c r="ED72" s="24">
        <f t="shared" si="72"/>
        <v>81.570496250588377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498.99999999999955</v>
      </c>
      <c r="EK72" s="18">
        <f>EJ72*VLOOKUP('Données projet'!$B$15,Paramètres!$A$1:$I$88,3,0)*VLOOKUP('Données projet'!$B$15,Paramètres!$A$1:$I$88,5,0)</f>
        <v>233.53199999999975</v>
      </c>
      <c r="EL72" s="14">
        <f t="shared" si="99"/>
        <v>57.04570382109803</v>
      </c>
      <c r="EM72" s="22">
        <f t="shared" si="73"/>
        <v>506.08950082174533</v>
      </c>
      <c r="EN72" s="62">
        <f t="shared" si="74"/>
        <v>772.01966117181189</v>
      </c>
      <c r="EO72" s="62">
        <f ca="1">AVERAGE(OFFSET($EN$3,0,0,'Données projet'!$E$15+1,1))-AVERAGE(OFFSET($H$3,0,0,'Données projet'!$E$15+1,1))</f>
        <v>267.26203506406682</v>
      </c>
      <c r="EP72" s="62">
        <f t="shared" si="100"/>
        <v>265.10857635664843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projet'!$B$15,Paramètres!$A$1:$I$88,3,0)*0.475*44/12</f>
        <v>39.143046659120913</v>
      </c>
      <c r="EW72" s="23">
        <f>EXP(-LN(2)/25)*EW71+(1-EXP(-LN(2)/25))/(LN(2)/25)*Calculateur!ER72*Calculateur!ET72*VLOOKUP('Données projet'!$B$15,Paramètres!$A$1:$I$88,3,0)*0.475*44/12</f>
        <v>40.222841584694805</v>
      </c>
      <c r="EX72" s="23">
        <f>EXP(-LN(2)/2)*EX71+(1-EXP(-LN(2)/2))/(LN(2)/2)*ER72*EU72*VLOOKUP('Données projet'!$B$15,Paramètres!$A$1:$I$88,3,0)*0.475*44/12</f>
        <v>0</v>
      </c>
      <c r="EY72" s="24">
        <f t="shared" si="75"/>
        <v>79.365888243815718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231</v>
      </c>
      <c r="FF72" s="18">
        <f>FE72*VLOOKUP('Données projet'!$B$16,Paramètres!$A$1:$I$88,3,0)*VLOOKUP('Données projet'!$B$16,Paramètres!$A$1:$I$88,5,0)</f>
        <v>169.36920000000001</v>
      </c>
      <c r="FG72" s="14">
        <f t="shared" si="101"/>
        <v>42.948714817158674</v>
      </c>
      <c r="FH72" s="22">
        <f t="shared" si="76"/>
        <v>369.787034973218</v>
      </c>
      <c r="FI72" s="62">
        <f t="shared" si="77"/>
        <v>635.71719532328461</v>
      </c>
      <c r="FJ72" s="62">
        <f ca="1">AVERAGE(OFFSET($FI$3,0,0,'Données projet'!$E$16+1,1))-AVERAGE(OFFSET($H$3,0,0,'Données projet'!$E$16+1,1))</f>
        <v>207.66160354686221</v>
      </c>
      <c r="FK72" s="62">
        <f t="shared" si="102"/>
        <v>260.45879589483525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projet'!$B$16,Paramètres!$A$1:$I$88,3,0)*0.475*44/12</f>
        <v>2.3913555998952689</v>
      </c>
      <c r="FR72" s="23">
        <f>EXP(-LN(2)/25)*FR71+(1-EXP(-LN(2)/25))/(LN(2)/25)*Calculateur!FM72*Calculateur!FO72*VLOOKUP('Données projet'!$B$16,Paramètres!$A$1:$I$88,3,0)*0.475*44/12</f>
        <v>0</v>
      </c>
      <c r="FS72" s="23">
        <f>EXP(-LN(2)/2)*FS71+(1-EXP(-LN(2)/2))/(LN(2)/2)*FM72*FP72*VLOOKUP('Données projet'!$B$16,Paramètres!$A$1:$I$88,3,0)*0.475*44/12</f>
        <v>0</v>
      </c>
      <c r="FT72" s="24">
        <f t="shared" si="78"/>
        <v>2.3913555998952689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projet'!$B$9,Paramètres!$A$1:$I$88,3,0)*VLOOKUP('Données projet'!$B$9,Paramètres!$A$1:$I$88,5,0)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378.13552372917843</v>
      </c>
      <c r="T73" s="62">
        <f t="shared" si="88"/>
        <v>528.97123645404952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180.92797971293524</v>
      </c>
      <c r="AA73" s="23">
        <f>EXP(-LN(2)/25)*AA72+(1-EXP(-LN(2)/25))/(LN(2)/25)*Calculateur!V73*Calculateur!X73*VLOOKUP('Données projet'!$B$9,Paramètres!$A$1:$I$88,3,0)*0.475*44/12</f>
        <v>83.101512751341829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264.02949246427704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7.75</v>
      </c>
      <c r="AI73" s="14">
        <f>IF('Données projet'!$A$62&gt;35,AI72+AH73-AQ72,IF(A73&lt;'Données projet'!$A$62,$AF$205^A73,IF(A73='Données projet'!$A$62,'Données projet'!$B$62,AI72+AH73-AQ72)))</f>
        <v>200.75</v>
      </c>
      <c r="AJ73" s="14">
        <f>AI73*VLOOKUP('Données projet'!$B$10,Paramètres!$A$1:$I$88,3,0)*VLOOKUP('Données projet'!$B$10,Paramètres!$A$1:$I$88,5,0)</f>
        <v>181.6386</v>
      </c>
      <c r="AK73" s="14">
        <f t="shared" si="89"/>
        <v>45.686551980238647</v>
      </c>
      <c r="AL73" s="22">
        <f t="shared" si="58"/>
        <v>395.92463969891566</v>
      </c>
      <c r="AM73" s="62">
        <f t="shared" si="59"/>
        <v>662.33018383592514</v>
      </c>
      <c r="AN73" s="62">
        <f ca="1">AVERAGE(OFFSET($AM$3,0,0,'Données projet'!$E$10+1,1))-AVERAGE(OFFSET($H$3,0,0,'Données projet'!$E$10+1,1))</f>
        <v>536.3707066106856</v>
      </c>
      <c r="AO73" s="62">
        <f t="shared" si="90"/>
        <v>217.6280015974086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15.607702869138485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15.607702869138485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302.3</v>
      </c>
      <c r="BE73" s="14">
        <f>BD73*VLOOKUP('Données projet'!$B$11,Paramètres!$A$1:$I$88,3,0)*VLOOKUP('Données projet'!$B$11,Paramètres!$A$1:$I$88,5,0)</f>
        <v>180.77540000000005</v>
      </c>
      <c r="BF73" s="14">
        <f t="shared" si="91"/>
        <v>45.494655198846154</v>
      </c>
      <c r="BG73" s="22">
        <f t="shared" si="61"/>
        <v>394.08701280465715</v>
      </c>
      <c r="BH73" s="62">
        <f t="shared" si="62"/>
        <v>660.49255694166663</v>
      </c>
      <c r="BI73" s="62">
        <f ca="1">AVERAGE(OFFSET($BH$3,0,0,'Données projet'!$E$11+1,1))-AVERAGE(OFFSET($H$3,0,0,'Données projet'!$E$11+1,1))</f>
        <v>248.66193174773525</v>
      </c>
      <c r="BJ73" s="62">
        <f t="shared" si="92"/>
        <v>249.61655682981151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17.016042246143833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0.1297304072139244</v>
      </c>
      <c r="BS73" s="24">
        <f t="shared" si="63"/>
        <v>17.145772653357756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832</v>
      </c>
      <c r="BW73" s="13">
        <f>VLOOKUP(A73,'Données projet'!$A$113:$I$133,9,0)</f>
        <v>21.2</v>
      </c>
      <c r="BX73" s="13">
        <f t="array" ref="BX73">INDEX(BW:BW,MIN(IF(ISNUMBER(BW73:BW269),ROW(BW73:BW269),"")))</f>
        <v>21.2</v>
      </c>
      <c r="BY73" s="13">
        <f>IF('Données projet'!$A$114&gt;35,BY72+BX73-CG72,IF(A73&lt;'Données projet'!$A$114,$BV$205^A73,IF(A73='Données projet'!$A$114,'Données projet'!$B$114,BY72+BX73-CG72)))</f>
        <v>832.00000000000023</v>
      </c>
      <c r="BZ73" s="14">
        <f>BY73*VLOOKUP('Données projet'!$B$12,Paramètres!$A$1:$I$88,3,0)*VLOOKUP('Données projet'!$B$12,Paramètres!$A$1:$I$88,5,0)</f>
        <v>335.29600000000011</v>
      </c>
      <c r="CA73" s="14">
        <f t="shared" si="93"/>
        <v>78.527283611849413</v>
      </c>
      <c r="CB73" s="22">
        <f t="shared" si="64"/>
        <v>720.74221895730454</v>
      </c>
      <c r="CC73" s="62">
        <f t="shared" si="65"/>
        <v>987.14776309431409</v>
      </c>
      <c r="CD73" s="62">
        <f ca="1">AVERAGE(OFFSET($CC$3,0,0,'Données projet'!$E$12+1,1))-AVERAGE(OFFSET($H$3,0,0,'Données projet'!$E$12+1,1))</f>
        <v>432.59662347701629</v>
      </c>
      <c r="CE73" s="62">
        <f t="shared" si="94"/>
        <v>348.67401091099748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56</v>
      </c>
      <c r="CH73" s="17">
        <f>IF(ISNA(VLOOKUP(A73,'Données projet'!$A$113:$I$133,5,0)),0%,VLOOKUP(A73,'Données projet'!$A$113:$I$133,5,0)*VLOOKUP('Données projet'!$B$12,Paramètres!$A$1:$I$88,7,0))</f>
        <v>0.33</v>
      </c>
      <c r="CI73" s="17">
        <f>IF(ISNA(VLOOKUP(A73,'Données projet'!$A$113:$I$133,6,0)),0%,VLOOKUP(A73,'Données projet'!$A$113:$I$133,6,0)*VLOOKUP('Données projet'!$B$12,Paramètres!$A$1:$I$88,7,0))</f>
        <v>0.22000000000000003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54.018282635976675</v>
      </c>
      <c r="CL73" s="23">
        <f>EXP(-LN(2)/25)*CL72+(1-EXP(-LN(2)/25))/(LN(2)/25)*Calculateur!CG73*Calculateur!CI73*VLOOKUP('Données projet'!$B$12,Paramètres!$A$1:$I$88,3,0)*0.475*44/12</f>
        <v>77.44695757849351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131.46524021447019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1076</v>
      </c>
      <c r="CR73" s="13">
        <f>VLOOKUP(A73,'Données projet'!$A$139:$I$159,9,0)</f>
        <v>19.399999999999999</v>
      </c>
      <c r="CS73" s="13">
        <f t="array" ref="CS73">INDEX(CR:CR,MIN(IF(ISNUMBER(CR73:CR269),ROW(CR73:CR269),"")))</f>
        <v>19.399999999999999</v>
      </c>
      <c r="CT73" s="13">
        <f>IF('Données projet'!$A$140&gt;35,CT72+CS73-DB72,IF(A73&lt;'Données projet'!$A$140,$CQ$205^A73,IF(A73='Données projet'!$A$140,'Données projet'!$B$140,CT72+CS73-DB72)))</f>
        <v>1076.0000000000002</v>
      </c>
      <c r="CU73" s="18">
        <f>CT73*VLOOKUP('Données projet'!$B$13,Paramètres!$A$1:$I$88,3,0)*VLOOKUP('Données projet'!$B$13,Paramètres!$A$1:$I$88,5,0)</f>
        <v>475.59200000000016</v>
      </c>
      <c r="CV73" s="14">
        <f t="shared" si="95"/>
        <v>106.94401997971089</v>
      </c>
      <c r="CW73" s="22">
        <f t="shared" si="67"/>
        <v>1014.58356813133</v>
      </c>
      <c r="CX73" s="62">
        <f t="shared" si="68"/>
        <v>1280.9891122683396</v>
      </c>
      <c r="CY73" s="62">
        <f ca="1">AVERAGE(OFFSET($CX$3,0,0,'Données projet'!$E$13+1,1))-AVERAGE(OFFSET($H$3,0,0,'Données projet'!$E$13+1,1))</f>
        <v>582.26951914082088</v>
      </c>
      <c r="CZ73" s="62">
        <f t="shared" si="96"/>
        <v>434.80429932654715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44</v>
      </c>
      <c r="DC73" s="17">
        <f>IF(ISNA(VLOOKUP(A73,'Données projet'!$A$139:$I$159,5,0)),0%,VLOOKUP(A73,'Données projet'!$A$139:$I$159,5,0)*VLOOKUP('Données projet'!$B$13,Paramètres!$A$1:$I$88,7,0))</f>
        <v>0.33</v>
      </c>
      <c r="DD73" s="17">
        <f>IF(ISNA(VLOOKUP(A73,'Données projet'!$A$139:$I$159,6,0)),0%,VLOOKUP(A73,'Données projet'!$A$139:$I$159,6,0)*VLOOKUP('Données projet'!$B$13,Paramètres!$A$1:$I$88,7,0))</f>
        <v>0.22000000000000003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58.348223198900492</v>
      </c>
      <c r="DG73" s="23">
        <f>EXP(-LN(2)/25)*DG72+(1-EXP(-LN(2)/25))/(LN(2)/25)*Calculateur!DB73*Calculateur!DD73*VLOOKUP('Données projet'!$B$13,Paramètres!$A$1:$I$88,3,0)*0.475*44/12</f>
        <v>72.825783516257218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131.1740067151577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498.99999999999955</v>
      </c>
      <c r="DP73" s="18">
        <f>DO73*VLOOKUP('Données projet'!$B$14,Paramètres!$A$1:$I$88,3,0)*VLOOKUP('Données projet'!$B$14,Paramètres!$A$1:$I$88,5,0)</f>
        <v>240.01899999999978</v>
      </c>
      <c r="DQ73" s="14">
        <f t="shared" si="97"/>
        <v>58.443618405936313</v>
      </c>
      <c r="DR73" s="22">
        <f t="shared" si="70"/>
        <v>519.82239372367201</v>
      </c>
      <c r="DS73" s="62">
        <f t="shared" si="71"/>
        <v>786.22793786068155</v>
      </c>
      <c r="DT73" s="62">
        <f ca="1">AVERAGE(OFFSET($DS$3,0,0,'Données projet'!$E$14+1,1))-AVERAGE(OFFSET($H$3,0,0,'Données projet'!$E$14+1,1))</f>
        <v>273.24375559399846</v>
      </c>
      <c r="DU73" s="62">
        <f t="shared" si="98"/>
        <v>270.77718895097848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projet'!$B$14,Paramètres!$A$1:$I$88,3,0)*0.475*44/12</f>
        <v>39.44146081650981</v>
      </c>
      <c r="EB73" s="23">
        <f>EXP(-LN(2)/25)*EB72+(1-EXP(-LN(2)/25))/(LN(2)/25)*Calculateur!DW73*Calculateur!DY73*VLOOKUP('Données projet'!$B$14,Paramètres!$A$1:$I$88,3,0)*0.475*44/12</f>
        <v>40.209694362621072</v>
      </c>
      <c r="EC73" s="23">
        <f>EXP(-LN(2)/2)*EC72+(1-EXP(-LN(2)/2))/(LN(2)/2)*DW73*DZ73*VLOOKUP('Données projet'!$B$14,Paramètres!$A$1:$I$88,3,0)*0.475*44/12</f>
        <v>0</v>
      </c>
      <c r="ED73" s="24">
        <f t="shared" si="72"/>
        <v>79.651155179130882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498.99999999999955</v>
      </c>
      <c r="EK73" s="18">
        <f>EJ73*VLOOKUP('Données projet'!$B$15,Paramètres!$A$1:$I$88,3,0)*VLOOKUP('Données projet'!$B$15,Paramètres!$A$1:$I$88,5,0)</f>
        <v>233.53199999999975</v>
      </c>
      <c r="EL73" s="14">
        <f t="shared" si="99"/>
        <v>57.04570382109803</v>
      </c>
      <c r="EM73" s="22">
        <f t="shared" si="73"/>
        <v>506.08950082174533</v>
      </c>
      <c r="EN73" s="62">
        <f t="shared" si="74"/>
        <v>772.49504495875476</v>
      </c>
      <c r="EO73" s="62">
        <f ca="1">AVERAGE(OFFSET($EN$3,0,0,'Données projet'!$E$15+1,1))-AVERAGE(OFFSET($H$3,0,0,'Données projet'!$E$15+1,1))</f>
        <v>267.26203506406682</v>
      </c>
      <c r="EP73" s="62">
        <f t="shared" si="100"/>
        <v>265.10857635664843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projet'!$B$15,Paramètres!$A$1:$I$88,3,0)*0.475*44/12</f>
        <v>38.375475389036566</v>
      </c>
      <c r="EW73" s="23">
        <f>EXP(-LN(2)/25)*EW72+(1-EXP(-LN(2)/25))/(LN(2)/25)*Calculateur!ER73*Calculateur!ET73*VLOOKUP('Données projet'!$B$15,Paramètres!$A$1:$I$88,3,0)*0.475*44/12</f>
        <v>39.122945866334014</v>
      </c>
      <c r="EX73" s="23">
        <f>EXP(-LN(2)/2)*EX72+(1-EXP(-LN(2)/2))/(LN(2)/2)*ER73*EU73*VLOOKUP('Données projet'!$B$15,Paramètres!$A$1:$I$88,3,0)*0.475*44/12</f>
        <v>0</v>
      </c>
      <c r="EY73" s="24">
        <f t="shared" si="75"/>
        <v>77.498421255370573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231</v>
      </c>
      <c r="FF73" s="18">
        <f>FE73*VLOOKUP('Données projet'!$B$16,Paramètres!$A$1:$I$88,3,0)*VLOOKUP('Données projet'!$B$16,Paramètres!$A$1:$I$88,5,0)</f>
        <v>169.36920000000001</v>
      </c>
      <c r="FG73" s="14">
        <f t="shared" si="101"/>
        <v>42.948714817158674</v>
      </c>
      <c r="FH73" s="22">
        <f t="shared" si="76"/>
        <v>369.787034973218</v>
      </c>
      <c r="FI73" s="62">
        <f t="shared" si="77"/>
        <v>636.19257911022748</v>
      </c>
      <c r="FJ73" s="62">
        <f ca="1">AVERAGE(OFFSET($FI$3,0,0,'Données projet'!$E$16+1,1))-AVERAGE(OFFSET($H$3,0,0,'Données projet'!$E$16+1,1))</f>
        <v>207.66160354686221</v>
      </c>
      <c r="FK73" s="62">
        <f t="shared" si="102"/>
        <v>260.45879589483525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projet'!$B$16,Paramètres!$A$1:$I$88,3,0)*0.475*44/12</f>
        <v>2.3444625751642154</v>
      </c>
      <c r="FR73" s="23">
        <f>EXP(-LN(2)/25)*FR72+(1-EXP(-LN(2)/25))/(LN(2)/25)*Calculateur!FM73*Calculateur!FO73*VLOOKUP('Données projet'!$B$16,Paramètres!$A$1:$I$88,3,0)*0.475*44/12</f>
        <v>0</v>
      </c>
      <c r="FS73" s="23">
        <f>EXP(-LN(2)/2)*FS72+(1-EXP(-LN(2)/2))/(LN(2)/2)*FM73*FP73*VLOOKUP('Données projet'!$B$16,Paramètres!$A$1:$I$88,3,0)*0.475*44/12</f>
        <v>0</v>
      </c>
      <c r="FT73" s="24">
        <f t="shared" si="78"/>
        <v>2.3444625751642154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projet'!$B$9,Paramètres!$A$1:$I$88,3,0)*VLOOKUP('Données projet'!$B$9,Paramètres!$A$1:$I$88,5,0)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378.13552372917843</v>
      </c>
      <c r="T74" s="62">
        <f t="shared" si="88"/>
        <v>528.97123645404952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177.38009238593554</v>
      </c>
      <c r="AA74" s="23">
        <f>EXP(-LN(2)/25)*AA73+(1-EXP(-LN(2)/25))/(LN(2)/25)*Calculateur!V74*Calculateur!X74*VLOOKUP('Données projet'!$B$9,Paramètres!$A$1:$I$88,3,0)*0.475*44/12</f>
        <v>80.829097515037759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258.20918990097329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7.75</v>
      </c>
      <c r="AI74" s="14">
        <f>IF('Données projet'!$A$62&gt;35,AI73+AH74-AQ73,IF(A74&lt;'Données projet'!$A$62,$AF$205^A74,IF(A74='Données projet'!$A$62,'Données projet'!$B$62,AI73+AH74-AQ73)))</f>
        <v>208.5</v>
      </c>
      <c r="AJ74" s="14">
        <f>AI74*VLOOKUP('Données projet'!$B$10,Paramètres!$A$1:$I$88,3,0)*VLOOKUP('Données projet'!$B$10,Paramètres!$A$1:$I$88,5,0)</f>
        <v>188.6508</v>
      </c>
      <c r="AK74" s="14">
        <f t="shared" si="89"/>
        <v>47.241540283224339</v>
      </c>
      <c r="AL74" s="22">
        <f t="shared" si="58"/>
        <v>410.8458259932824</v>
      </c>
      <c r="AM74" s="62">
        <f t="shared" si="59"/>
        <v>677.71850707133035</v>
      </c>
      <c r="AN74" s="62">
        <f ca="1">AVERAGE(OFFSET($AM$3,0,0,'Données projet'!$E$10+1,1))-AVERAGE(OFFSET($H$3,0,0,'Données projet'!$E$10+1,1))</f>
        <v>536.3707066106856</v>
      </c>
      <c r="AO74" s="62">
        <f t="shared" si="90"/>
        <v>217.6280015974086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15.301645335633431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15.301645335633431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302.3</v>
      </c>
      <c r="BE74" s="14">
        <f>BD74*VLOOKUP('Données projet'!$B$11,Paramètres!$A$1:$I$88,3,0)*VLOOKUP('Données projet'!$B$11,Paramètres!$A$1:$I$88,5,0)</f>
        <v>180.77540000000005</v>
      </c>
      <c r="BF74" s="14">
        <f t="shared" si="91"/>
        <v>45.494655198846154</v>
      </c>
      <c r="BG74" s="22">
        <f t="shared" si="61"/>
        <v>394.08701280465715</v>
      </c>
      <c r="BH74" s="62">
        <f t="shared" si="62"/>
        <v>660.9596938827051</v>
      </c>
      <c r="BI74" s="62">
        <f ca="1">AVERAGE(OFFSET($BH$3,0,0,'Données projet'!$E$11+1,1))-AVERAGE(OFFSET($H$3,0,0,'Données projet'!$E$11+1,1))</f>
        <v>248.66193174773525</v>
      </c>
      <c r="BJ74" s="62">
        <f t="shared" si="92"/>
        <v>249.61655682981151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16.682368036457905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9.1733250667058147E-2</v>
      </c>
      <c r="BS74" s="24">
        <f t="shared" si="63"/>
        <v>16.774101287124964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19.8</v>
      </c>
      <c r="BY74" s="13">
        <f>IF('Données projet'!$A$114&gt;35,BY73+BX74-CG73,IF(A74&lt;'Données projet'!$A$114,$BV$205^A74,IF(A74='Données projet'!$A$114,'Données projet'!$B$114,BY73+BX74-CG73)))</f>
        <v>795.80000000000018</v>
      </c>
      <c r="BZ74" s="14">
        <f>BY74*VLOOKUP('Données projet'!$B$12,Paramètres!$A$1:$I$88,3,0)*VLOOKUP('Données projet'!$B$12,Paramètres!$A$1:$I$88,5,0)</f>
        <v>320.70740000000012</v>
      </c>
      <c r="CA74" s="14">
        <f t="shared" si="93"/>
        <v>75.500523068753139</v>
      </c>
      <c r="CB74" s="22">
        <f t="shared" si="64"/>
        <v>690.06213267807846</v>
      </c>
      <c r="CC74" s="62">
        <f t="shared" si="65"/>
        <v>956.93481375612646</v>
      </c>
      <c r="CD74" s="62">
        <f ca="1">AVERAGE(OFFSET($CC$3,0,0,'Données projet'!$E$12+1,1))-AVERAGE(OFFSET($H$3,0,0,'Données projet'!$E$12+1,1))</f>
        <v>432.59662347701629</v>
      </c>
      <c r="CE74" s="62">
        <f t="shared" si="94"/>
        <v>348.67401091099748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52.959017061384245</v>
      </c>
      <c r="CL74" s="23">
        <f>EXP(-LN(2)/25)*CL73+(1-EXP(-LN(2)/25))/(LN(2)/25)*Calculateur!CG74*Calculateur!CI74*VLOOKUP('Données projet'!$B$12,Paramètres!$A$1:$I$88,3,0)*0.475*44/12</f>
        <v>75.329166450751117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128.28818351213536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15.8</v>
      </c>
      <c r="CT74" s="13">
        <f>IF('Données projet'!$A$140&gt;35,CT73+CS74-DB73,IF(A74&lt;'Données projet'!$A$140,$CQ$205^A74,IF(A74='Données projet'!$A$140,'Données projet'!$B$140,CT73+CS74-DB73)))</f>
        <v>1047.8000000000002</v>
      </c>
      <c r="CU74" s="18">
        <f>CT74*VLOOKUP('Données projet'!$B$13,Paramètres!$A$1:$I$88,3,0)*VLOOKUP('Données projet'!$B$13,Paramètres!$A$1:$I$88,5,0)</f>
        <v>463.12760000000009</v>
      </c>
      <c r="CV74" s="14">
        <f t="shared" si="95"/>
        <v>104.46364396779043</v>
      </c>
      <c r="CW74" s="22">
        <f t="shared" si="67"/>
        <v>988.5547499105686</v>
      </c>
      <c r="CX74" s="62">
        <f t="shared" si="68"/>
        <v>1255.4274309886166</v>
      </c>
      <c r="CY74" s="62">
        <f ca="1">AVERAGE(OFFSET($CX$3,0,0,'Données projet'!$E$13+1,1))-AVERAGE(OFFSET($H$3,0,0,'Données projet'!$E$13+1,1))</f>
        <v>582.26951914082088</v>
      </c>
      <c r="CZ74" s="62">
        <f t="shared" si="96"/>
        <v>434.80429932654715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57.204050130872091</v>
      </c>
      <c r="DG74" s="23">
        <f>EXP(-LN(2)/25)*DG73+(1-EXP(-LN(2)/25))/(LN(2)/25)*Calculateur!DB74*Calculateur!DD74*VLOOKUP('Données projet'!$B$13,Paramètres!$A$1:$I$88,3,0)*0.475*44/12</f>
        <v>70.834358636263659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128.03840876713576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498.99999999999955</v>
      </c>
      <c r="DP74" s="18">
        <f>DO74*VLOOKUP('Données projet'!$B$14,Paramètres!$A$1:$I$88,3,0)*VLOOKUP('Données projet'!$B$14,Paramètres!$A$1:$I$88,5,0)</f>
        <v>240.01899999999978</v>
      </c>
      <c r="DQ74" s="14">
        <f t="shared" si="97"/>
        <v>58.443618405936313</v>
      </c>
      <c r="DR74" s="22">
        <f t="shared" si="70"/>
        <v>519.82239372367201</v>
      </c>
      <c r="DS74" s="62">
        <f t="shared" si="71"/>
        <v>786.69507480172001</v>
      </c>
      <c r="DT74" s="62">
        <f ca="1">AVERAGE(OFFSET($DS$3,0,0,'Données projet'!$E$14+1,1))-AVERAGE(OFFSET($H$3,0,0,'Données projet'!$E$14+1,1))</f>
        <v>273.24375559399846</v>
      </c>
      <c r="DU74" s="62">
        <f t="shared" si="98"/>
        <v>270.77718895097848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projet'!$B$14,Paramètres!$A$1:$I$88,3,0)*0.475*44/12</f>
        <v>38.66803782681373</v>
      </c>
      <c r="EB74" s="23">
        <f>EXP(-LN(2)/25)*EB73+(1-EXP(-LN(2)/25))/(LN(2)/25)*Calculateur!DW74*Calculateur!DY74*VLOOKUP('Données projet'!$B$14,Paramètres!$A$1:$I$88,3,0)*0.475*44/12</f>
        <v>39.110158155739271</v>
      </c>
      <c r="EC74" s="23">
        <f>EXP(-LN(2)/2)*EC73+(1-EXP(-LN(2)/2))/(LN(2)/2)*DW74*DZ74*VLOOKUP('Données projet'!$B$14,Paramètres!$A$1:$I$88,3,0)*0.475*44/12</f>
        <v>0</v>
      </c>
      <c r="ED74" s="24">
        <f t="shared" si="72"/>
        <v>77.778195982553001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498.99999999999955</v>
      </c>
      <c r="EK74" s="18">
        <f>EJ74*VLOOKUP('Données projet'!$B$15,Paramètres!$A$1:$I$88,3,0)*VLOOKUP('Données projet'!$B$15,Paramètres!$A$1:$I$88,5,0)</f>
        <v>233.53199999999975</v>
      </c>
      <c r="EL74" s="14">
        <f t="shared" si="99"/>
        <v>57.04570382109803</v>
      </c>
      <c r="EM74" s="22">
        <f t="shared" si="73"/>
        <v>506.08950082174533</v>
      </c>
      <c r="EN74" s="62">
        <f t="shared" si="74"/>
        <v>772.96218189979322</v>
      </c>
      <c r="EO74" s="62">
        <f ca="1">AVERAGE(OFFSET($EN$3,0,0,'Données projet'!$E$15+1,1))-AVERAGE(OFFSET($H$3,0,0,'Données projet'!$E$15+1,1))</f>
        <v>267.26203506406682</v>
      </c>
      <c r="EP74" s="62">
        <f t="shared" si="100"/>
        <v>265.10857635664843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projet'!$B$15,Paramètres!$A$1:$I$88,3,0)*0.475*44/12</f>
        <v>37.622955723386326</v>
      </c>
      <c r="EW74" s="23">
        <f>EXP(-LN(2)/25)*EW73+(1-EXP(-LN(2)/25))/(LN(2)/25)*Calculateur!ER74*Calculateur!ET74*VLOOKUP('Données projet'!$B$15,Paramètres!$A$1:$I$88,3,0)*0.475*44/12</f>
        <v>38.053126854232801</v>
      </c>
      <c r="EX74" s="23">
        <f>EXP(-LN(2)/2)*EX73+(1-EXP(-LN(2)/2))/(LN(2)/2)*ER74*EU74*VLOOKUP('Données projet'!$B$15,Paramètres!$A$1:$I$88,3,0)*0.475*44/12</f>
        <v>0</v>
      </c>
      <c r="EY74" s="24">
        <f t="shared" si="75"/>
        <v>75.676082577619127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231</v>
      </c>
      <c r="FF74" s="18">
        <f>FE74*VLOOKUP('Données projet'!$B$16,Paramètres!$A$1:$I$88,3,0)*VLOOKUP('Données projet'!$B$16,Paramètres!$A$1:$I$88,5,0)</f>
        <v>169.36920000000001</v>
      </c>
      <c r="FG74" s="14">
        <f t="shared" si="101"/>
        <v>42.948714817158674</v>
      </c>
      <c r="FH74" s="22">
        <f t="shared" si="76"/>
        <v>369.787034973218</v>
      </c>
      <c r="FI74" s="62">
        <f t="shared" si="77"/>
        <v>636.65971605126595</v>
      </c>
      <c r="FJ74" s="62">
        <f ca="1">AVERAGE(OFFSET($FI$3,0,0,'Données projet'!$E$16+1,1))-AVERAGE(OFFSET($H$3,0,0,'Données projet'!$E$16+1,1))</f>
        <v>207.66160354686221</v>
      </c>
      <c r="FK74" s="62">
        <f t="shared" si="102"/>
        <v>260.45879589483525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projet'!$B$16,Paramètres!$A$1:$I$88,3,0)*0.475*44/12</f>
        <v>2.298489094046217</v>
      </c>
      <c r="FR74" s="23">
        <f>EXP(-LN(2)/25)*FR73+(1-EXP(-LN(2)/25))/(LN(2)/25)*Calculateur!FM74*Calculateur!FO74*VLOOKUP('Données projet'!$B$16,Paramètres!$A$1:$I$88,3,0)*0.475*44/12</f>
        <v>0</v>
      </c>
      <c r="FS74" s="23">
        <f>EXP(-LN(2)/2)*FS73+(1-EXP(-LN(2)/2))/(LN(2)/2)*FM74*FP74*VLOOKUP('Données projet'!$B$16,Paramètres!$A$1:$I$88,3,0)*0.475*44/12</f>
        <v>0</v>
      </c>
      <c r="FT74" s="24">
        <f t="shared" si="78"/>
        <v>2.298489094046217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projet'!$B$9,Paramètres!$A$1:$I$88,3,0)*VLOOKUP('Données projet'!$B$9,Paramètres!$A$1:$I$88,5,0)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378.13552372917843</v>
      </c>
      <c r="T75" s="62">
        <f t="shared" si="88"/>
        <v>528.97123645404952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173.90177696542071</v>
      </c>
      <c r="AA75" s="23">
        <f>EXP(-LN(2)/25)*AA74+(1-EXP(-LN(2)/25))/(LN(2)/25)*Calculateur!V75*Calculateur!X75*VLOOKUP('Données projet'!$B$9,Paramètres!$A$1:$I$88,3,0)*0.475*44/12</f>
        <v>78.618821592871555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252.52059855829225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7.75</v>
      </c>
      <c r="AI75" s="14">
        <f>IF('Données projet'!$A$62&gt;35,AI74+AH75-AQ74,IF(A75&lt;'Données projet'!$A$62,$AF$205^A75,IF(A75='Données projet'!$A$62,'Données projet'!$B$62,AI74+AH75-AQ74)))</f>
        <v>216.25</v>
      </c>
      <c r="AJ75" s="14">
        <f>AI75*VLOOKUP('Données projet'!$B$10,Paramètres!$A$1:$I$88,3,0)*VLOOKUP('Données projet'!$B$10,Paramètres!$A$1:$I$88,5,0)</f>
        <v>195.66300000000001</v>
      </c>
      <c r="AK75" s="14">
        <f t="shared" si="89"/>
        <v>48.789813644905614</v>
      </c>
      <c r="AL75" s="22">
        <f t="shared" si="58"/>
        <v>425.75531709821058</v>
      </c>
      <c r="AM75" s="62">
        <f t="shared" si="59"/>
        <v>693.08703133573169</v>
      </c>
      <c r="AN75" s="62">
        <f ca="1">AVERAGE(OFFSET($AM$3,0,0,'Données projet'!$E$10+1,1))-AVERAGE(OFFSET($H$3,0,0,'Données projet'!$E$10+1,1))</f>
        <v>536.3707066106856</v>
      </c>
      <c r="AO75" s="62">
        <f t="shared" si="90"/>
        <v>217.6280015974086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15.001589403683749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15.001589403683749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302.3</v>
      </c>
      <c r="BE75" s="14">
        <f>BD75*VLOOKUP('Données projet'!$B$11,Paramètres!$A$1:$I$88,3,0)*VLOOKUP('Données projet'!$B$11,Paramètres!$A$1:$I$88,5,0)</f>
        <v>180.77540000000005</v>
      </c>
      <c r="BF75" s="14">
        <f t="shared" si="91"/>
        <v>45.494655198846154</v>
      </c>
      <c r="BG75" s="22">
        <f t="shared" si="61"/>
        <v>394.08701280465715</v>
      </c>
      <c r="BH75" s="62">
        <f t="shared" si="62"/>
        <v>661.41872704217826</v>
      </c>
      <c r="BI75" s="62">
        <f ca="1">AVERAGE(OFFSET($BH$3,0,0,'Données projet'!$E$11+1,1))-AVERAGE(OFFSET($H$3,0,0,'Données projet'!$E$11+1,1))</f>
        <v>248.66193174773525</v>
      </c>
      <c r="BJ75" s="62">
        <f t="shared" si="92"/>
        <v>249.61655682981151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16.355236974502748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6.4865203606962199E-2</v>
      </c>
      <c r="BS75" s="24">
        <f t="shared" si="63"/>
        <v>16.420102178109712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19.8</v>
      </c>
      <c r="BY75" s="13">
        <f>IF('Données projet'!$A$114&gt;35,BY74+BX75-CG74,IF(A75&lt;'Données projet'!$A$114,$BV$205^A75,IF(A75='Données projet'!$A$114,'Données projet'!$B$114,BY74+BX75-CG74)))</f>
        <v>815.60000000000014</v>
      </c>
      <c r="BZ75" s="14">
        <f>BY75*VLOOKUP('Données projet'!$B$12,Paramètres!$A$1:$I$88,3,0)*VLOOKUP('Données projet'!$B$12,Paramètres!$A$1:$I$88,5,0)</f>
        <v>328.68680000000006</v>
      </c>
      <c r="CA75" s="14">
        <f t="shared" si="93"/>
        <v>77.157984158488333</v>
      </c>
      <c r="CB75" s="22">
        <f t="shared" si="64"/>
        <v>706.84633240936728</v>
      </c>
      <c r="CC75" s="62">
        <f t="shared" si="65"/>
        <v>974.17804664688833</v>
      </c>
      <c r="CD75" s="62">
        <f ca="1">AVERAGE(OFFSET($CC$3,0,0,'Données projet'!$E$12+1,1))-AVERAGE(OFFSET($H$3,0,0,'Données projet'!$E$12+1,1))</f>
        <v>432.59662347701629</v>
      </c>
      <c r="CE75" s="62">
        <f t="shared" si="94"/>
        <v>348.67401091099748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51.920523038621369</v>
      </c>
      <c r="CL75" s="23">
        <f>EXP(-LN(2)/25)*CL74+(1-EXP(-LN(2)/25))/(LN(2)/25)*Calculateur!CG75*Calculateur!CI75*VLOOKUP('Données projet'!$B$12,Paramètres!$A$1:$I$88,3,0)*0.475*44/12</f>
        <v>73.269286432766634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125.189809471388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15.8</v>
      </c>
      <c r="CT75" s="13">
        <f>IF('Données projet'!$A$140&gt;35,CT74+CS75-DB74,IF(A75&lt;'Données projet'!$A$140,$CQ$205^A75,IF(A75='Données projet'!$A$140,'Données projet'!$B$140,CT74+CS75-DB74)))</f>
        <v>1063.6000000000001</v>
      </c>
      <c r="CU75" s="18">
        <f>CT75*VLOOKUP('Données projet'!$B$13,Paramètres!$A$1:$I$88,3,0)*VLOOKUP('Données projet'!$B$13,Paramètres!$A$1:$I$88,5,0)</f>
        <v>470.11120000000011</v>
      </c>
      <c r="CV75" s="14">
        <f t="shared" si="95"/>
        <v>105.85430212067986</v>
      </c>
      <c r="CW75" s="22">
        <f t="shared" si="67"/>
        <v>1003.1399161935175</v>
      </c>
      <c r="CX75" s="62">
        <f t="shared" si="68"/>
        <v>1270.4716304310386</v>
      </c>
      <c r="CY75" s="62">
        <f ca="1">AVERAGE(OFFSET($CX$3,0,0,'Données projet'!$E$13+1,1))-AVERAGE(OFFSET($H$3,0,0,'Données projet'!$E$13+1,1))</f>
        <v>582.26951914082088</v>
      </c>
      <c r="CZ75" s="62">
        <f t="shared" si="96"/>
        <v>434.80429932654715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56.082313598831064</v>
      </c>
      <c r="DG75" s="23">
        <f>EXP(-LN(2)/25)*DG74+(1-EXP(-LN(2)/25))/(LN(2)/25)*Calculateur!DB75*Calculateur!DD75*VLOOKUP('Données projet'!$B$13,Paramètres!$A$1:$I$88,3,0)*0.475*44/12</f>
        <v>68.897389374338005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124.97970297316907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498.99999999999955</v>
      </c>
      <c r="DP75" s="18">
        <f>DO75*VLOOKUP('Données projet'!$B$14,Paramètres!$A$1:$I$88,3,0)*VLOOKUP('Données projet'!$B$14,Paramètres!$A$1:$I$88,5,0)</f>
        <v>240.01899999999978</v>
      </c>
      <c r="DQ75" s="14">
        <f t="shared" si="97"/>
        <v>58.443618405936313</v>
      </c>
      <c r="DR75" s="22">
        <f t="shared" si="70"/>
        <v>519.82239372367201</v>
      </c>
      <c r="DS75" s="62">
        <f t="shared" si="71"/>
        <v>787.15410796119318</v>
      </c>
      <c r="DT75" s="62">
        <f ca="1">AVERAGE(OFFSET($DS$3,0,0,'Données projet'!$E$14+1,1))-AVERAGE(OFFSET($H$3,0,0,'Données projet'!$E$14+1,1))</f>
        <v>273.24375559399846</v>
      </c>
      <c r="DU75" s="62">
        <f t="shared" si="98"/>
        <v>270.77718895097848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projet'!$B$14,Paramètres!$A$1:$I$88,3,0)*0.475*44/12</f>
        <v>37.909781190204143</v>
      </c>
      <c r="EB75" s="23">
        <f>EXP(-LN(2)/25)*EB74+(1-EXP(-LN(2)/25))/(LN(2)/25)*Calculateur!DW75*Calculateur!DY75*VLOOKUP('Données projet'!$B$14,Paramètres!$A$1:$I$88,3,0)*0.475*44/12</f>
        <v>38.040688824256748</v>
      </c>
      <c r="EC75" s="23">
        <f>EXP(-LN(2)/2)*EC74+(1-EXP(-LN(2)/2))/(LN(2)/2)*DW75*DZ75*VLOOKUP('Données projet'!$B$14,Paramètres!$A$1:$I$88,3,0)*0.475*44/12</f>
        <v>0</v>
      </c>
      <c r="ED75" s="24">
        <f t="shared" si="72"/>
        <v>75.95047001446089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498.99999999999955</v>
      </c>
      <c r="EK75" s="18">
        <f>EJ75*VLOOKUP('Données projet'!$B$15,Paramètres!$A$1:$I$88,3,0)*VLOOKUP('Données projet'!$B$15,Paramètres!$A$1:$I$88,5,0)</f>
        <v>233.53199999999975</v>
      </c>
      <c r="EL75" s="14">
        <f t="shared" si="99"/>
        <v>57.04570382109803</v>
      </c>
      <c r="EM75" s="22">
        <f t="shared" si="73"/>
        <v>506.08950082174533</v>
      </c>
      <c r="EN75" s="62">
        <f t="shared" si="74"/>
        <v>773.42121505926639</v>
      </c>
      <c r="EO75" s="62">
        <f ca="1">AVERAGE(OFFSET($EN$3,0,0,'Données projet'!$E$15+1,1))-AVERAGE(OFFSET($H$3,0,0,'Données projet'!$E$15+1,1))</f>
        <v>267.26203506406682</v>
      </c>
      <c r="EP75" s="62">
        <f t="shared" si="100"/>
        <v>265.10857635664843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projet'!$B$15,Paramètres!$A$1:$I$88,3,0)*0.475*44/12</f>
        <v>36.885192509387814</v>
      </c>
      <c r="EW75" s="23">
        <f>EXP(-LN(2)/25)*EW74+(1-EXP(-LN(2)/25))/(LN(2)/25)*Calculateur!ER75*Calculateur!ET75*VLOOKUP('Données projet'!$B$15,Paramètres!$A$1:$I$88,3,0)*0.475*44/12</f>
        <v>37.012562099276835</v>
      </c>
      <c r="EX75" s="23">
        <f>EXP(-LN(2)/2)*EX74+(1-EXP(-LN(2)/2))/(LN(2)/2)*ER75*EU75*VLOOKUP('Données projet'!$B$15,Paramètres!$A$1:$I$88,3,0)*0.475*44/12</f>
        <v>0</v>
      </c>
      <c r="EY75" s="24">
        <f t="shared" si="75"/>
        <v>73.897754608664656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231</v>
      </c>
      <c r="FF75" s="18">
        <f>FE75*VLOOKUP('Données projet'!$B$16,Paramètres!$A$1:$I$88,3,0)*VLOOKUP('Données projet'!$B$16,Paramètres!$A$1:$I$88,5,0)</f>
        <v>169.36920000000001</v>
      </c>
      <c r="FG75" s="14">
        <f t="shared" si="101"/>
        <v>42.948714817158674</v>
      </c>
      <c r="FH75" s="22">
        <f t="shared" si="76"/>
        <v>369.787034973218</v>
      </c>
      <c r="FI75" s="62">
        <f t="shared" si="77"/>
        <v>637.11874921073911</v>
      </c>
      <c r="FJ75" s="62">
        <f ca="1">AVERAGE(OFFSET($FI$3,0,0,'Données projet'!$E$16+1,1))-AVERAGE(OFFSET($H$3,0,0,'Données projet'!$E$16+1,1))</f>
        <v>207.66160354686221</v>
      </c>
      <c r="FK75" s="62">
        <f t="shared" si="102"/>
        <v>260.45879589483525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projet'!$B$16,Paramètres!$A$1:$I$88,3,0)*0.475*44/12</f>
        <v>2.2534171248518882</v>
      </c>
      <c r="FR75" s="23">
        <f>EXP(-LN(2)/25)*FR74+(1-EXP(-LN(2)/25))/(LN(2)/25)*Calculateur!FM75*Calculateur!FO75*VLOOKUP('Données projet'!$B$16,Paramètres!$A$1:$I$88,3,0)*0.475*44/12</f>
        <v>0</v>
      </c>
      <c r="FS75" s="23">
        <f>EXP(-LN(2)/2)*FS74+(1-EXP(-LN(2)/2))/(LN(2)/2)*FM75*FP75*VLOOKUP('Données projet'!$B$16,Paramètres!$A$1:$I$88,3,0)*0.475*44/12</f>
        <v>0</v>
      </c>
      <c r="FT75" s="24">
        <f t="shared" si="78"/>
        <v>2.2534171248518882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projet'!$B$9,Paramètres!$A$1:$I$88,3,0)*VLOOKUP('Données projet'!$B$9,Paramètres!$A$1:$I$88,5,0)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378.13552372917843</v>
      </c>
      <c r="T76" s="62">
        <f t="shared" si="88"/>
        <v>528.97123645404952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170.49166918873925</v>
      </c>
      <c r="AA76" s="23">
        <f>EXP(-LN(2)/25)*AA75+(1-EXP(-LN(2)/25))/(LN(2)/25)*Calculateur!V76*Calculateur!X76*VLOOKUP('Données projet'!$B$9,Paramètres!$A$1:$I$88,3,0)*0.475*44/12</f>
        <v>76.468985782030344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246.96065497076961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7.75</v>
      </c>
      <c r="AI76" s="14">
        <f>IF('Données projet'!$A$62&gt;35,AI75+AH76-AQ75,IF(A76&lt;'Données projet'!$A$62,$AF$205^A76,IF(A76='Données projet'!$A$62,'Données projet'!$B$62,AI75+AH76-AQ75)))</f>
        <v>224</v>
      </c>
      <c r="AJ76" s="14">
        <f>AI76*VLOOKUP('Données projet'!$B$10,Paramètres!$A$1:$I$88,3,0)*VLOOKUP('Données projet'!$B$10,Paramètres!$A$1:$I$88,5,0)</f>
        <v>202.67519999999999</v>
      </c>
      <c r="AK76" s="14">
        <f t="shared" si="89"/>
        <v>50.33164028531364</v>
      </c>
      <c r="AL76" s="22">
        <f t="shared" si="58"/>
        <v>440.65358016358783</v>
      </c>
      <c r="AM76" s="62">
        <f t="shared" si="59"/>
        <v>708.43636436150962</v>
      </c>
      <c r="AN76" s="62">
        <f ca="1">AVERAGE(OFFSET($AM$3,0,0,'Données projet'!$E$10+1,1))-AVERAGE(OFFSET($H$3,0,0,'Données projet'!$E$10+1,1))</f>
        <v>536.3707066106856</v>
      </c>
      <c r="AO76" s="62">
        <f t="shared" si="90"/>
        <v>217.6280015974086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14.707417385543552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14.707417385543552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302.3</v>
      </c>
      <c r="BE76" s="14">
        <f>BD76*VLOOKUP('Données projet'!$B$11,Paramètres!$A$1:$I$88,3,0)*VLOOKUP('Données projet'!$B$11,Paramètres!$A$1:$I$88,5,0)</f>
        <v>180.77540000000005</v>
      </c>
      <c r="BF76" s="14">
        <f t="shared" si="91"/>
        <v>45.494655198846154</v>
      </c>
      <c r="BG76" s="22">
        <f t="shared" si="61"/>
        <v>394.08701280465715</v>
      </c>
      <c r="BH76" s="62">
        <f t="shared" si="62"/>
        <v>661.86979700257893</v>
      </c>
      <c r="BI76" s="62">
        <f ca="1">AVERAGE(OFFSET($BH$3,0,0,'Données projet'!$E$11+1,1))-AVERAGE(OFFSET($H$3,0,0,'Données projet'!$E$11+1,1))</f>
        <v>248.66193174773525</v>
      </c>
      <c r="BJ76" s="62">
        <f t="shared" si="92"/>
        <v>249.61655682981151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16.034520753142285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4.5866625333529074E-2</v>
      </c>
      <c r="BS76" s="24">
        <f t="shared" si="63"/>
        <v>16.080387378475812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19.8</v>
      </c>
      <c r="BY76" s="13">
        <f>IF('Données projet'!$A$114&gt;35,BY75+BX76-CG75,IF(A76&lt;'Données projet'!$A$114,$BV$205^A76,IF(A76='Données projet'!$A$114,'Données projet'!$B$114,BY75+BX76-CG75)))</f>
        <v>835.40000000000009</v>
      </c>
      <c r="BZ76" s="14">
        <f>BY76*VLOOKUP('Données projet'!$B$12,Paramètres!$A$1:$I$88,3,0)*VLOOKUP('Données projet'!$B$12,Paramètres!$A$1:$I$88,5,0)</f>
        <v>336.66620000000006</v>
      </c>
      <c r="CA76" s="14">
        <f t="shared" si="93"/>
        <v>78.810767725431589</v>
      </c>
      <c r="CB76" s="22">
        <f t="shared" si="64"/>
        <v>723.62238545512685</v>
      </c>
      <c r="CC76" s="62">
        <f t="shared" si="65"/>
        <v>991.40516965304869</v>
      </c>
      <c r="CD76" s="62">
        <f ca="1">AVERAGE(OFFSET($CC$3,0,0,'Données projet'!$E$12+1,1))-AVERAGE(OFFSET($H$3,0,0,'Données projet'!$E$12+1,1))</f>
        <v>432.59662347701629</v>
      </c>
      <c r="CE76" s="62">
        <f t="shared" si="94"/>
        <v>348.67401091099748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50.902393250226062</v>
      </c>
      <c r="CL76" s="23">
        <f>EXP(-LN(2)/25)*CL75+(1-EXP(-LN(2)/25))/(LN(2)/25)*Calculateur!CG76*Calculateur!CI76*VLOOKUP('Données projet'!$B$12,Paramètres!$A$1:$I$88,3,0)*0.475*44/12</f>
        <v>71.26573394219831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122.16812719242438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15.8</v>
      </c>
      <c r="CT76" s="13">
        <f>IF('Données projet'!$A$140&gt;35,CT75+CS76-DB75,IF(A76&lt;'Données projet'!$A$140,$CQ$205^A76,IF(A76='Données projet'!$A$140,'Données projet'!$B$140,CT75+CS76-DB75)))</f>
        <v>1079.4000000000001</v>
      </c>
      <c r="CU76" s="18">
        <f>CT76*VLOOKUP('Données projet'!$B$13,Paramètres!$A$1:$I$88,3,0)*VLOOKUP('Données projet'!$B$13,Paramètres!$A$1:$I$88,5,0)</f>
        <v>477.09480000000008</v>
      </c>
      <c r="CV76" s="14">
        <f t="shared" si="95"/>
        <v>107.2425576065389</v>
      </c>
      <c r="CW76" s="22">
        <f t="shared" si="67"/>
        <v>1017.7208978313887</v>
      </c>
      <c r="CX76" s="62">
        <f t="shared" si="68"/>
        <v>1285.5036820293105</v>
      </c>
      <c r="CY76" s="62">
        <f ca="1">AVERAGE(OFFSET($CX$3,0,0,'Données projet'!$E$13+1,1))-AVERAGE(OFFSET($H$3,0,0,'Données projet'!$E$13+1,1))</f>
        <v>582.26951914082088</v>
      </c>
      <c r="CZ76" s="62">
        <f t="shared" si="96"/>
        <v>434.80429932654715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54.982573635991635</v>
      </c>
      <c r="DG76" s="23">
        <f>EXP(-LN(2)/25)*DG75+(1-EXP(-LN(2)/25))/(LN(2)/25)*Calculateur!DB76*Calculateur!DD76*VLOOKUP('Données projet'!$B$13,Paramètres!$A$1:$I$88,3,0)*0.475*44/12</f>
        <v>67.013386638740485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121.99596027473211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498.99999999999955</v>
      </c>
      <c r="DP76" s="18">
        <f>DO76*VLOOKUP('Données projet'!$B$14,Paramètres!$A$1:$I$88,3,0)*VLOOKUP('Données projet'!$B$14,Paramètres!$A$1:$I$88,5,0)</f>
        <v>240.01899999999978</v>
      </c>
      <c r="DQ76" s="14">
        <f t="shared" si="97"/>
        <v>58.443618405936313</v>
      </c>
      <c r="DR76" s="22">
        <f t="shared" si="70"/>
        <v>519.82239372367201</v>
      </c>
      <c r="DS76" s="62">
        <f t="shared" si="71"/>
        <v>787.60517792159385</v>
      </c>
      <c r="DT76" s="62">
        <f ca="1">AVERAGE(OFFSET($DS$3,0,0,'Données projet'!$E$14+1,1))-AVERAGE(OFFSET($H$3,0,0,'Données projet'!$E$14+1,1))</f>
        <v>273.24375559399846</v>
      </c>
      <c r="DU76" s="62">
        <f t="shared" si="98"/>
        <v>270.77718895097848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projet'!$B$14,Paramètres!$A$1:$I$88,3,0)*0.475*44/12</f>
        <v>37.166393503747592</v>
      </c>
      <c r="EB76" s="23">
        <f>EXP(-LN(2)/25)*EB75+(1-EXP(-LN(2)/25))/(LN(2)/25)*Calculateur!DW76*Calculateur!DY76*VLOOKUP('Données projet'!$B$14,Paramètres!$A$1:$I$88,3,0)*0.475*44/12</f>
        <v>37.000464187884567</v>
      </c>
      <c r="EC76" s="23">
        <f>EXP(-LN(2)/2)*EC75+(1-EXP(-LN(2)/2))/(LN(2)/2)*DW76*DZ76*VLOOKUP('Données projet'!$B$14,Paramètres!$A$1:$I$88,3,0)*0.475*44/12</f>
        <v>0</v>
      </c>
      <c r="ED76" s="24">
        <f t="shared" si="72"/>
        <v>74.16685769163216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498.99999999999955</v>
      </c>
      <c r="EK76" s="18">
        <f>EJ76*VLOOKUP('Données projet'!$B$15,Paramètres!$A$1:$I$88,3,0)*VLOOKUP('Données projet'!$B$15,Paramètres!$A$1:$I$88,5,0)</f>
        <v>233.53199999999975</v>
      </c>
      <c r="EL76" s="14">
        <f t="shared" si="99"/>
        <v>57.04570382109803</v>
      </c>
      <c r="EM76" s="22">
        <f t="shared" si="73"/>
        <v>506.08950082174533</v>
      </c>
      <c r="EN76" s="62">
        <f t="shared" si="74"/>
        <v>773.87228501966706</v>
      </c>
      <c r="EO76" s="62">
        <f ca="1">AVERAGE(OFFSET($EN$3,0,0,'Données projet'!$E$15+1,1))-AVERAGE(OFFSET($H$3,0,0,'Données projet'!$E$15+1,1))</f>
        <v>267.26203506406682</v>
      </c>
      <c r="EP76" s="62">
        <f t="shared" si="100"/>
        <v>265.10857635664843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projet'!$B$15,Paramètres!$A$1:$I$88,3,0)*0.475*44/12</f>
        <v>36.161896382024679</v>
      </c>
      <c r="EW76" s="23">
        <f>EXP(-LN(2)/25)*EW75+(1-EXP(-LN(2)/25))/(LN(2)/25)*Calculateur!ER76*Calculateur!ET76*VLOOKUP('Données projet'!$B$15,Paramètres!$A$1:$I$88,3,0)*0.475*44/12</f>
        <v>36.000451642266064</v>
      </c>
      <c r="EX76" s="23">
        <f>EXP(-LN(2)/2)*EX75+(1-EXP(-LN(2)/2))/(LN(2)/2)*ER76*EU76*VLOOKUP('Données projet'!$B$15,Paramètres!$A$1:$I$88,3,0)*0.475*44/12</f>
        <v>0</v>
      </c>
      <c r="EY76" s="24">
        <f t="shared" si="75"/>
        <v>72.162348024290736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231</v>
      </c>
      <c r="FF76" s="18">
        <f>FE76*VLOOKUP('Données projet'!$B$16,Paramètres!$A$1:$I$88,3,0)*VLOOKUP('Données projet'!$B$16,Paramètres!$A$1:$I$88,5,0)</f>
        <v>169.36920000000001</v>
      </c>
      <c r="FG76" s="14">
        <f t="shared" si="101"/>
        <v>42.948714817158674</v>
      </c>
      <c r="FH76" s="22">
        <f t="shared" si="76"/>
        <v>369.787034973218</v>
      </c>
      <c r="FI76" s="62">
        <f t="shared" si="77"/>
        <v>637.56981917113978</v>
      </c>
      <c r="FJ76" s="62">
        <f ca="1">AVERAGE(OFFSET($FI$3,0,0,'Données projet'!$E$16+1,1))-AVERAGE(OFFSET($H$3,0,0,'Données projet'!$E$16+1,1))</f>
        <v>207.66160354686221</v>
      </c>
      <c r="FK76" s="62">
        <f t="shared" si="102"/>
        <v>260.45879589483525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projet'!$B$16,Paramètres!$A$1:$I$88,3,0)*0.475*44/12</f>
        <v>2.2092289894822734</v>
      </c>
      <c r="FR76" s="23">
        <f>EXP(-LN(2)/25)*FR75+(1-EXP(-LN(2)/25))/(LN(2)/25)*Calculateur!FM76*Calculateur!FO76*VLOOKUP('Données projet'!$B$16,Paramètres!$A$1:$I$88,3,0)*0.475*44/12</f>
        <v>0</v>
      </c>
      <c r="FS76" s="23">
        <f>EXP(-LN(2)/2)*FS75+(1-EXP(-LN(2)/2))/(LN(2)/2)*FM76*FP76*VLOOKUP('Données projet'!$B$16,Paramètres!$A$1:$I$88,3,0)*0.475*44/12</f>
        <v>0</v>
      </c>
      <c r="FT76" s="24">
        <f t="shared" si="78"/>
        <v>2.2092289894822734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projet'!$B$9,Paramètres!$A$1:$I$88,3,0)*VLOOKUP('Données projet'!$B$9,Paramètres!$A$1:$I$88,5,0)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378.13552372917843</v>
      </c>
      <c r="T77" s="62">
        <f t="shared" si="88"/>
        <v>528.97123645404952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167.14843154559816</v>
      </c>
      <c r="AA77" s="23">
        <f>EXP(-LN(2)/25)*AA76+(1-EXP(-LN(2)/25))/(LN(2)/25)*Calculateur!V77*Calculateur!X77*VLOOKUP('Données projet'!$B$9,Paramètres!$A$1:$I$88,3,0)*0.475*44/12</f>
        <v>74.377937344491528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241.52636889008969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7.75</v>
      </c>
      <c r="AI77" s="14">
        <f>IF('Données projet'!$A$62&gt;35,AI76+AH77-AQ76,IF(A77&lt;'Données projet'!$A$62,$AF$205^A77,IF(A77='Données projet'!$A$62,'Données projet'!$B$62,AI76+AH77-AQ76)))</f>
        <v>231.75</v>
      </c>
      <c r="AJ77" s="14">
        <f>AI77*VLOOKUP('Données projet'!$B$10,Paramètres!$A$1:$I$88,3,0)*VLOOKUP('Données projet'!$B$10,Paramètres!$A$1:$I$88,5,0)</f>
        <v>209.6874</v>
      </c>
      <c r="AK77" s="14">
        <f t="shared" si="89"/>
        <v>51.867268812007943</v>
      </c>
      <c r="AL77" s="22">
        <f t="shared" si="58"/>
        <v>455.54104818091383</v>
      </c>
      <c r="AM77" s="62">
        <f t="shared" si="59"/>
        <v>723.76707728386464</v>
      </c>
      <c r="AN77" s="62">
        <f ca="1">AVERAGE(OFFSET($AM$3,0,0,'Données projet'!$E$10+1,1))-AVERAGE(OFFSET($H$3,0,0,'Données projet'!$E$10+1,1))</f>
        <v>536.3707066106856</v>
      </c>
      <c r="AO77" s="62">
        <f t="shared" si="90"/>
        <v>217.6280015974086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14.419013901251871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14.419013901251871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302.3</v>
      </c>
      <c r="BE77" s="14">
        <f>BD77*VLOOKUP('Données projet'!$B$11,Paramètres!$A$1:$I$88,3,0)*VLOOKUP('Données projet'!$B$11,Paramètres!$A$1:$I$88,5,0)</f>
        <v>180.77540000000005</v>
      </c>
      <c r="BF77" s="14">
        <f t="shared" si="91"/>
        <v>45.494655198846154</v>
      </c>
      <c r="BG77" s="22">
        <f t="shared" si="61"/>
        <v>394.08701280465715</v>
      </c>
      <c r="BH77" s="62">
        <f t="shared" si="62"/>
        <v>662.31304190760807</v>
      </c>
      <c r="BI77" s="62">
        <f ca="1">AVERAGE(OFFSET($BH$3,0,0,'Données projet'!$E$11+1,1))-AVERAGE(OFFSET($H$3,0,0,'Données projet'!$E$11+1,1))</f>
        <v>248.66193174773525</v>
      </c>
      <c r="BJ77" s="62">
        <f t="shared" si="92"/>
        <v>249.61655682981151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15.72009358126512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3.24326018034811E-2</v>
      </c>
      <c r="BS77" s="24">
        <f t="shared" si="63"/>
        <v>15.752526183068602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19.8</v>
      </c>
      <c r="BY77" s="13">
        <f>IF('Données projet'!$A$114&gt;35,BY76+BX77-CG76,IF(A77&lt;'Données projet'!$A$114,$BV$205^A77,IF(A77='Données projet'!$A$114,'Données projet'!$B$114,BY76+BX77-CG76)))</f>
        <v>855.2</v>
      </c>
      <c r="BZ77" s="14">
        <f>BY77*VLOOKUP('Données projet'!$B$12,Paramètres!$A$1:$I$88,3,0)*VLOOKUP('Données projet'!$B$12,Paramètres!$A$1:$I$88,5,0)</f>
        <v>344.64560000000006</v>
      </c>
      <c r="CA77" s="14">
        <f t="shared" si="93"/>
        <v>80.458997389868088</v>
      </c>
      <c r="CB77" s="22">
        <f t="shared" si="64"/>
        <v>740.39050712068695</v>
      </c>
      <c r="CC77" s="62">
        <f t="shared" si="65"/>
        <v>1008.6165362236378</v>
      </c>
      <c r="CD77" s="62">
        <f ca="1">AVERAGE(OFFSET($CC$3,0,0,'Données projet'!$E$12+1,1))-AVERAGE(OFFSET($H$3,0,0,'Données projet'!$E$12+1,1))</f>
        <v>432.59662347701629</v>
      </c>
      <c r="CE77" s="62">
        <f t="shared" si="94"/>
        <v>348.67401091099748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49.904228365983336</v>
      </c>
      <c r="CL77" s="23">
        <f>EXP(-LN(2)/25)*CL76+(1-EXP(-LN(2)/25))/(LN(2)/25)*Calculateur!CG77*Calculateur!CI77*VLOOKUP('Données projet'!$B$12,Paramètres!$A$1:$I$88,3,0)*0.475*44/12</f>
        <v>69.316968699846825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119.22119706583015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15.8</v>
      </c>
      <c r="CT77" s="13">
        <f>IF('Données projet'!$A$140&gt;35,CT76+CS77-DB76,IF(A77&lt;'Données projet'!$A$140,$CQ$205^A77,IF(A77='Données projet'!$A$140,'Données projet'!$B$140,CT76+CS77-DB76)))</f>
        <v>1095.2</v>
      </c>
      <c r="CU77" s="18">
        <f>CT77*VLOOKUP('Données projet'!$B$13,Paramètres!$A$1:$I$88,3,0)*VLOOKUP('Données projet'!$B$13,Paramètres!$A$1:$I$88,5,0)</f>
        <v>484.0784000000001</v>
      </c>
      <c r="CV77" s="14">
        <f t="shared" si="95"/>
        <v>108.6284496581744</v>
      </c>
      <c r="CW77" s="22">
        <f t="shared" si="67"/>
        <v>1032.2977631546539</v>
      </c>
      <c r="CX77" s="62">
        <f t="shared" si="68"/>
        <v>1300.5237922576048</v>
      </c>
      <c r="CY77" s="62">
        <f ca="1">AVERAGE(OFFSET($CX$3,0,0,'Données projet'!$E$13+1,1))-AVERAGE(OFFSET($H$3,0,0,'Données projet'!$E$13+1,1))</f>
        <v>582.26951914082088</v>
      </c>
      <c r="CZ77" s="62">
        <f t="shared" si="96"/>
        <v>434.80429932654715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53.904398903048346</v>
      </c>
      <c r="DG77" s="23">
        <f>EXP(-LN(2)/25)*DG76+(1-EXP(-LN(2)/25))/(LN(2)/25)*Calculateur!DB77*Calculateur!DD77*VLOOKUP('Données projet'!$B$13,Paramètres!$A$1:$I$88,3,0)*0.475*44/12</f>
        <v>65.180902057023289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119.08530096007163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498.99999999999955</v>
      </c>
      <c r="DP77" s="18">
        <f>DO77*VLOOKUP('Données projet'!$B$14,Paramètres!$A$1:$I$88,3,0)*VLOOKUP('Données projet'!$B$14,Paramètres!$A$1:$I$88,5,0)</f>
        <v>240.01899999999978</v>
      </c>
      <c r="DQ77" s="14">
        <f t="shared" si="97"/>
        <v>58.443618405936313</v>
      </c>
      <c r="DR77" s="22">
        <f t="shared" si="70"/>
        <v>519.82239372367201</v>
      </c>
      <c r="DS77" s="62">
        <f t="shared" si="71"/>
        <v>788.04842282662287</v>
      </c>
      <c r="DT77" s="62">
        <f ca="1">AVERAGE(OFFSET($DS$3,0,0,'Données projet'!$E$14+1,1))-AVERAGE(OFFSET($H$3,0,0,'Données projet'!$E$14+1,1))</f>
        <v>273.24375559399846</v>
      </c>
      <c r="DU77" s="62">
        <f t="shared" si="98"/>
        <v>270.77718895097848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projet'!$B$14,Paramètres!$A$1:$I$88,3,0)*0.475*44/12</f>
        <v>36.437583196400738</v>
      </c>
      <c r="EB77" s="23">
        <f>EXP(-LN(2)/25)*EB76+(1-EXP(-LN(2)/25))/(LN(2)/25)*Calculateur!DW77*Calculateur!DY77*VLOOKUP('Données projet'!$B$14,Paramètres!$A$1:$I$88,3,0)*0.475*44/12</f>
        <v>35.98868454889702</v>
      </c>
      <c r="EC77" s="23">
        <f>EXP(-LN(2)/2)*EC76+(1-EXP(-LN(2)/2))/(LN(2)/2)*DW77*DZ77*VLOOKUP('Données projet'!$B$14,Paramètres!$A$1:$I$88,3,0)*0.475*44/12</f>
        <v>0</v>
      </c>
      <c r="ED77" s="24">
        <f t="shared" si="72"/>
        <v>72.426267745297764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498.99999999999955</v>
      </c>
      <c r="EK77" s="18">
        <f>EJ77*VLOOKUP('Données projet'!$B$15,Paramètres!$A$1:$I$88,3,0)*VLOOKUP('Données projet'!$B$15,Paramètres!$A$1:$I$88,5,0)</f>
        <v>233.53199999999975</v>
      </c>
      <c r="EL77" s="14">
        <f t="shared" si="99"/>
        <v>57.04570382109803</v>
      </c>
      <c r="EM77" s="22">
        <f t="shared" si="73"/>
        <v>506.08950082174533</v>
      </c>
      <c r="EN77" s="62">
        <f t="shared" si="74"/>
        <v>774.31552992469619</v>
      </c>
      <c r="EO77" s="62">
        <f ca="1">AVERAGE(OFFSET($EN$3,0,0,'Données projet'!$E$15+1,1))-AVERAGE(OFFSET($H$3,0,0,'Données projet'!$E$15+1,1))</f>
        <v>267.26203506406682</v>
      </c>
      <c r="EP77" s="62">
        <f t="shared" si="100"/>
        <v>265.10857635664843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projet'!$B$15,Paramètres!$A$1:$I$88,3,0)*0.475*44/12</f>
        <v>35.452783650552064</v>
      </c>
      <c r="EW77" s="23">
        <f>EXP(-LN(2)/25)*EW76+(1-EXP(-LN(2)/25))/(LN(2)/25)*Calculateur!ER77*Calculateur!ET77*VLOOKUP('Données projet'!$B$15,Paramètres!$A$1:$I$88,3,0)*0.475*44/12</f>
        <v>35.016017398926827</v>
      </c>
      <c r="EX77" s="23">
        <f>EXP(-LN(2)/2)*EX76+(1-EXP(-LN(2)/2))/(LN(2)/2)*ER77*EU77*VLOOKUP('Données projet'!$B$15,Paramètres!$A$1:$I$88,3,0)*0.475*44/12</f>
        <v>0</v>
      </c>
      <c r="EY77" s="24">
        <f t="shared" si="75"/>
        <v>70.468801049478884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231</v>
      </c>
      <c r="FF77" s="18">
        <f>FE77*VLOOKUP('Données projet'!$B$16,Paramètres!$A$1:$I$88,3,0)*VLOOKUP('Données projet'!$B$16,Paramètres!$A$1:$I$88,5,0)</f>
        <v>169.36920000000001</v>
      </c>
      <c r="FG77" s="14">
        <f t="shared" si="101"/>
        <v>42.948714817158674</v>
      </c>
      <c r="FH77" s="22">
        <f t="shared" si="76"/>
        <v>369.787034973218</v>
      </c>
      <c r="FI77" s="62">
        <f t="shared" si="77"/>
        <v>638.0130640761688</v>
      </c>
      <c r="FJ77" s="62">
        <f ca="1">AVERAGE(OFFSET($FI$3,0,0,'Données projet'!$E$16+1,1))-AVERAGE(OFFSET($H$3,0,0,'Données projet'!$E$16+1,1))</f>
        <v>207.66160354686221</v>
      </c>
      <c r="FK77" s="62">
        <f t="shared" si="102"/>
        <v>260.45879589483525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projet'!$B$16,Paramètres!$A$1:$I$88,3,0)*0.475*44/12</f>
        <v>2.1659073564951554</v>
      </c>
      <c r="FR77" s="23">
        <f>EXP(-LN(2)/25)*FR76+(1-EXP(-LN(2)/25))/(LN(2)/25)*Calculateur!FM77*Calculateur!FO77*VLOOKUP('Données projet'!$B$16,Paramètres!$A$1:$I$88,3,0)*0.475*44/12</f>
        <v>0</v>
      </c>
      <c r="FS77" s="23">
        <f>EXP(-LN(2)/2)*FS76+(1-EXP(-LN(2)/2))/(LN(2)/2)*FM77*FP77*VLOOKUP('Données projet'!$B$16,Paramètres!$A$1:$I$88,3,0)*0.475*44/12</f>
        <v>0</v>
      </c>
      <c r="FT77" s="24">
        <f t="shared" si="78"/>
        <v>2.1659073564951554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projet'!$B$9,Paramètres!$A$1:$I$88,3,0)*VLOOKUP('Données projet'!$B$9,Paramètres!$A$1:$I$88,5,0)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378.13552372917843</v>
      </c>
      <c r="T78" s="62">
        <f t="shared" si="88"/>
        <v>528.97123645404952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163.87075275346544</v>
      </c>
      <c r="AA78" s="23">
        <f>EXP(-LN(2)/25)*AA77+(1-EXP(-LN(2)/25))/(LN(2)/25)*Calculateur!V78*Calculateur!X78*VLOOKUP('Données projet'!$B$9,Paramètres!$A$1:$I$88,3,0)*0.475*44/12</f>
        <v>72.344068736440676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236.21482148990611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7.75</v>
      </c>
      <c r="AI78" s="14">
        <f>IF('Données projet'!$A$62&gt;35,AI77+AH78-AQ77,IF(A78&lt;'Données projet'!$A$62,$AF$205^A78,IF(A78='Données projet'!$A$62,'Données projet'!$B$62,AI77+AH78-AQ77)))</f>
        <v>239.5</v>
      </c>
      <c r="AJ78" s="14">
        <f>AI78*VLOOKUP('Données projet'!$B$10,Paramètres!$A$1:$I$88,3,0)*VLOOKUP('Données projet'!$B$10,Paramètres!$A$1:$I$88,5,0)</f>
        <v>216.6996</v>
      </c>
      <c r="AK78" s="14">
        <f t="shared" si="89"/>
        <v>53.396930261595514</v>
      </c>
      <c r="AL78" s="22">
        <f t="shared" si="58"/>
        <v>470.41812353894551</v>
      </c>
      <c r="AM78" s="62">
        <f t="shared" si="59"/>
        <v>739.07970823877031</v>
      </c>
      <c r="AN78" s="62">
        <f ca="1">AVERAGE(OFFSET($AM$3,0,0,'Données projet'!$E$10+1,1))-AVERAGE(OFFSET($H$3,0,0,'Données projet'!$E$10+1,1))</f>
        <v>536.3707066106856</v>
      </c>
      <c r="AO78" s="62">
        <f t="shared" si="90"/>
        <v>217.6280015974086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14.136265833378394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14.136265833378394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302.3</v>
      </c>
      <c r="BE78" s="14">
        <f>BD78*VLOOKUP('Données projet'!$B$11,Paramètres!$A$1:$I$88,3,0)*VLOOKUP('Données projet'!$B$11,Paramètres!$A$1:$I$88,5,0)</f>
        <v>180.77540000000005</v>
      </c>
      <c r="BF78" s="14">
        <f t="shared" si="91"/>
        <v>45.494655198846154</v>
      </c>
      <c r="BG78" s="22">
        <f t="shared" si="61"/>
        <v>394.08701280465715</v>
      </c>
      <c r="BH78" s="62">
        <f t="shared" si="62"/>
        <v>662.74859750448195</v>
      </c>
      <c r="BI78" s="62">
        <f ca="1">AVERAGE(OFFSET($BH$3,0,0,'Données projet'!$E$11+1,1))-AVERAGE(OFFSET($H$3,0,0,'Données projet'!$E$11+1,1))</f>
        <v>248.66193174773525</v>
      </c>
      <c r="BJ78" s="62">
        <f t="shared" si="92"/>
        <v>249.61655682981151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15.411832134446829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2.2933312666764537E-2</v>
      </c>
      <c r="BS78" s="24">
        <f t="shared" si="63"/>
        <v>15.434765447113593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875</v>
      </c>
      <c r="BW78" s="13">
        <f>VLOOKUP(A78,'Données projet'!$A$113:$I$133,9,0)</f>
        <v>19.8</v>
      </c>
      <c r="BX78" s="13">
        <f t="array" ref="BX78">INDEX(BW:BW,MIN(IF(ISNUMBER(BW78:BW274),ROW(BW78:BW274),"")))</f>
        <v>19.8</v>
      </c>
      <c r="BY78" s="13">
        <f>IF('Données projet'!$A$114&gt;35,BY77+BX78-CG77,IF(A78&lt;'Données projet'!$A$114,$BV$205^A78,IF(A78='Données projet'!$A$114,'Données projet'!$B$114,BY77+BX78-CG77)))</f>
        <v>875</v>
      </c>
      <c r="BZ78" s="14">
        <f>BY78*VLOOKUP('Données projet'!$B$12,Paramètres!$A$1:$I$88,3,0)*VLOOKUP('Données projet'!$B$12,Paramètres!$A$1:$I$88,5,0)</f>
        <v>352.625</v>
      </c>
      <c r="CA78" s="14">
        <f t="shared" si="93"/>
        <v>82.102790721228772</v>
      </c>
      <c r="CB78" s="22">
        <f t="shared" si="64"/>
        <v>757.1509021728067</v>
      </c>
      <c r="CC78" s="62">
        <f t="shared" si="65"/>
        <v>1025.8124868726316</v>
      </c>
      <c r="CD78" s="62">
        <f ca="1">AVERAGE(OFFSET($CC$3,0,0,'Données projet'!$E$12+1,1))-AVERAGE(OFFSET($H$3,0,0,'Données projet'!$E$12+1,1))</f>
        <v>432.59662347701629</v>
      </c>
      <c r="CE78" s="62">
        <f t="shared" si="94"/>
        <v>348.67401091099748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54</v>
      </c>
      <c r="CH78" s="17">
        <f>IF(ISNA(VLOOKUP(A78,'Données projet'!$A$113:$I$133,5,0)),0%,VLOOKUP(A78,'Données projet'!$A$113:$I$133,5,0)*VLOOKUP('Données projet'!$B$12,Paramètres!$A$1:$I$88,7,0))</f>
        <v>0.33</v>
      </c>
      <c r="CI78" s="17">
        <f>IF(ISNA(VLOOKUP(A78,'Données projet'!$A$113:$I$133,6,0)),0%,VLOOKUP(A78,'Données projet'!$A$113:$I$133,6,0)*VLOOKUP('Données projet'!$B$12,Paramètres!$A$1:$I$88,7,0))</f>
        <v>0.22000000000000003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58.452306460460989</v>
      </c>
      <c r="CL78" s="23">
        <f>EXP(-LN(2)/25)*CL77+(1-EXP(-LN(2)/25))/(LN(2)/25)*Calculateur!CG78*Calculateur!CI78*VLOOKUP('Données projet'!$B$12,Paramètres!$A$1:$I$88,3,0)*0.475*44/12</f>
        <v>73.747598842929676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132.19990530339066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1111</v>
      </c>
      <c r="CR78" s="13">
        <f>VLOOKUP(A78,'Données projet'!$A$139:$I$159,9,0)</f>
        <v>15.8</v>
      </c>
      <c r="CS78" s="13">
        <f t="array" ref="CS78">INDEX(CR:CR,MIN(IF(ISNUMBER(CR78:CR274),ROW(CR78:CR274),"")))</f>
        <v>15.8</v>
      </c>
      <c r="CT78" s="13">
        <f>IF('Données projet'!$A$140&gt;35,CT77+CS78-DB77,IF(A78&lt;'Données projet'!$A$140,$CQ$205^A78,IF(A78='Données projet'!$A$140,'Données projet'!$B$140,CT77+CS78-DB77)))</f>
        <v>1111</v>
      </c>
      <c r="CU78" s="18">
        <f>CT78*VLOOKUP('Données projet'!$B$13,Paramètres!$A$1:$I$88,3,0)*VLOOKUP('Données projet'!$B$13,Paramètres!$A$1:$I$88,5,0)</f>
        <v>491.06200000000001</v>
      </c>
      <c r="CV78" s="14">
        <f t="shared" si="95"/>
        <v>110.01201631140216</v>
      </c>
      <c r="CW78" s="22">
        <f t="shared" si="67"/>
        <v>1046.8705784090255</v>
      </c>
      <c r="CX78" s="62">
        <f t="shared" si="68"/>
        <v>1315.5321631088502</v>
      </c>
      <c r="CY78" s="62">
        <f ca="1">AVERAGE(OFFSET($CX$3,0,0,'Données projet'!$E$13+1,1))-AVERAGE(OFFSET($H$3,0,0,'Données projet'!$E$13+1,1))</f>
        <v>582.26951914082088</v>
      </c>
      <c r="CZ78" s="62">
        <f t="shared" si="96"/>
        <v>434.80429932654715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40</v>
      </c>
      <c r="DC78" s="17">
        <f>IF(ISNA(VLOOKUP(A78,'Données projet'!$A$139:$I$159,5,0)),0%,VLOOKUP(A78,'Données projet'!$A$139:$I$159,5,0)*VLOOKUP('Données projet'!$B$13,Paramètres!$A$1:$I$88,7,0))</f>
        <v>0.35750000000000004</v>
      </c>
      <c r="DD78" s="17">
        <f>IF(ISNA(VLOOKUP(A78,'Données projet'!$A$139:$I$159,6,0)),0%,VLOOKUP(A78,'Données projet'!$A$139:$I$159,6,0)*VLOOKUP('Données projet'!$B$13,Paramètres!$A$1:$I$88,7,0))</f>
        <v>0.1925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61.232049816047585</v>
      </c>
      <c r="DG78" s="23">
        <f>EXP(-LN(2)/25)*DG77+(1-EXP(-LN(2)/25))/(LN(2)/25)*Calculateur!DB78*Calculateur!DD78*VLOOKUP('Données projet'!$B$13,Paramètres!$A$1:$I$88,3,0)*0.475*44/12</f>
        <v>67.895579726303254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129.12762954235083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498.99999999999955</v>
      </c>
      <c r="DP78" s="18">
        <f>DO78*VLOOKUP('Données projet'!$B$14,Paramètres!$A$1:$I$88,3,0)*VLOOKUP('Données projet'!$B$14,Paramètres!$A$1:$I$88,5,0)</f>
        <v>240.01899999999978</v>
      </c>
      <c r="DQ78" s="14">
        <f t="shared" si="97"/>
        <v>58.443618405936313</v>
      </c>
      <c r="DR78" s="22">
        <f t="shared" si="70"/>
        <v>519.82239372367201</v>
      </c>
      <c r="DS78" s="62">
        <f t="shared" si="71"/>
        <v>788.48397842349686</v>
      </c>
      <c r="DT78" s="62">
        <f ca="1">AVERAGE(OFFSET($DS$3,0,0,'Données projet'!$E$14+1,1))-AVERAGE(OFFSET($H$3,0,0,'Données projet'!$E$14+1,1))</f>
        <v>273.24375559399846</v>
      </c>
      <c r="DU78" s="62">
        <f t="shared" si="98"/>
        <v>270.77718895097848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projet'!$B$14,Paramètres!$A$1:$I$88,3,0)*0.475*44/12</f>
        <v>35.723064414650558</v>
      </c>
      <c r="EB78" s="23">
        <f>EXP(-LN(2)/25)*EB77+(1-EXP(-LN(2)/25))/(LN(2)/25)*Calculateur!DW78*Calculateur!DY78*VLOOKUP('Données projet'!$B$14,Paramètres!$A$1:$I$88,3,0)*0.475*44/12</f>
        <v>35.004572077344761</v>
      </c>
      <c r="EC78" s="23">
        <f>EXP(-LN(2)/2)*EC77+(1-EXP(-LN(2)/2))/(LN(2)/2)*DW78*DZ78*VLOOKUP('Données projet'!$B$14,Paramètres!$A$1:$I$88,3,0)*0.475*44/12</f>
        <v>0</v>
      </c>
      <c r="ED78" s="24">
        <f t="shared" si="72"/>
        <v>70.727636491995327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498.99999999999955</v>
      </c>
      <c r="EK78" s="18">
        <f>EJ78*VLOOKUP('Données projet'!$B$15,Paramètres!$A$1:$I$88,3,0)*VLOOKUP('Données projet'!$B$15,Paramètres!$A$1:$I$88,5,0)</f>
        <v>233.53199999999975</v>
      </c>
      <c r="EL78" s="14">
        <f t="shared" si="99"/>
        <v>57.04570382109803</v>
      </c>
      <c r="EM78" s="22">
        <f t="shared" si="73"/>
        <v>506.08950082174533</v>
      </c>
      <c r="EN78" s="62">
        <f t="shared" si="74"/>
        <v>774.75108552157008</v>
      </c>
      <c r="EO78" s="62">
        <f ca="1">AVERAGE(OFFSET($EN$3,0,0,'Données projet'!$E$15+1,1))-AVERAGE(OFFSET($H$3,0,0,'Données projet'!$E$15+1,1))</f>
        <v>267.26203506406682</v>
      </c>
      <c r="EP78" s="62">
        <f t="shared" si="100"/>
        <v>265.10857635664843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projet'!$B$15,Paramètres!$A$1:$I$88,3,0)*0.475*44/12</f>
        <v>34.757576187227563</v>
      </c>
      <c r="EW78" s="23">
        <f>EXP(-LN(2)/25)*EW77+(1-EXP(-LN(2)/25))/(LN(2)/25)*Calculateur!ER78*Calculateur!ET78*VLOOKUP('Données projet'!$B$15,Paramètres!$A$1:$I$88,3,0)*0.475*44/12</f>
        <v>34.058502561740852</v>
      </c>
      <c r="EX78" s="23">
        <f>EXP(-LN(2)/2)*EX77+(1-EXP(-LN(2)/2))/(LN(2)/2)*ER78*EU78*VLOOKUP('Données projet'!$B$15,Paramètres!$A$1:$I$88,3,0)*0.475*44/12</f>
        <v>0</v>
      </c>
      <c r="EY78" s="24">
        <f t="shared" si="75"/>
        <v>68.816078748968408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231</v>
      </c>
      <c r="FF78" s="18">
        <f>FE78*VLOOKUP('Données projet'!$B$16,Paramètres!$A$1:$I$88,3,0)*VLOOKUP('Données projet'!$B$16,Paramètres!$A$1:$I$88,5,0)</f>
        <v>169.36920000000001</v>
      </c>
      <c r="FG78" s="14">
        <f t="shared" si="101"/>
        <v>42.948714817158674</v>
      </c>
      <c r="FH78" s="22">
        <f t="shared" si="76"/>
        <v>369.787034973218</v>
      </c>
      <c r="FI78" s="62">
        <f t="shared" si="77"/>
        <v>638.4486196730428</v>
      </c>
      <c r="FJ78" s="62">
        <f ca="1">AVERAGE(OFFSET($FI$3,0,0,'Données projet'!$E$16+1,1))-AVERAGE(OFFSET($H$3,0,0,'Données projet'!$E$16+1,1))</f>
        <v>207.66160354686221</v>
      </c>
      <c r="FK78" s="62">
        <f t="shared" si="102"/>
        <v>260.45879589483525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projet'!$B$16,Paramètres!$A$1:$I$88,3,0)*0.475*44/12</f>
        <v>2.1234352343073279</v>
      </c>
      <c r="FR78" s="23">
        <f>EXP(-LN(2)/25)*FR77+(1-EXP(-LN(2)/25))/(LN(2)/25)*Calculateur!FM78*Calculateur!FO78*VLOOKUP('Données projet'!$B$16,Paramètres!$A$1:$I$88,3,0)*0.475*44/12</f>
        <v>0</v>
      </c>
      <c r="FS78" s="23">
        <f>EXP(-LN(2)/2)*FS77+(1-EXP(-LN(2)/2))/(LN(2)/2)*FM78*FP78*VLOOKUP('Données projet'!$B$16,Paramètres!$A$1:$I$88,3,0)*0.475*44/12</f>
        <v>0</v>
      </c>
      <c r="FT78" s="24">
        <f t="shared" si="78"/>
        <v>2.1234352343073279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projet'!$B$9,Paramètres!$A$1:$I$88,3,0)*VLOOKUP('Données projet'!$B$9,Paramètres!$A$1:$I$88,5,0)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378.13552372917843</v>
      </c>
      <c r="T79" s="62">
        <f t="shared" si="88"/>
        <v>528.97123645404952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160.65734724325978</v>
      </c>
      <c r="AA79" s="23">
        <f>EXP(-LN(2)/25)*AA78+(1-EXP(-LN(2)/25))/(LN(2)/25)*Calculateur!V79*Calculateur!X79*VLOOKUP('Données projet'!$B$9,Paramètres!$A$1:$I$88,3,0)*0.475*44/12</f>
        <v>70.365816372433471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231.02316361569325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7.75</v>
      </c>
      <c r="AI79" s="14">
        <f>IF('Données projet'!$A$62&gt;35,AI78+AH79-AQ78,IF(A79&lt;'Données projet'!$A$62,$AF$205^A79,IF(A79='Données projet'!$A$62,'Données projet'!$B$62,AI78+AH79-AQ78)))</f>
        <v>247.25</v>
      </c>
      <c r="AJ79" s="14">
        <f>AI79*VLOOKUP('Données projet'!$B$10,Paramètres!$A$1:$I$88,3,0)*VLOOKUP('Données projet'!$B$10,Paramètres!$A$1:$I$88,5,0)</f>
        <v>223.71180000000001</v>
      </c>
      <c r="AK79" s="14">
        <f t="shared" si="89"/>
        <v>54.920839869581336</v>
      </c>
      <c r="AL79" s="22">
        <f t="shared" si="58"/>
        <v>485.28518110618751</v>
      </c>
      <c r="AM79" s="62">
        <f t="shared" si="59"/>
        <v>754.37476548703694</v>
      </c>
      <c r="AN79" s="62">
        <f ca="1">AVERAGE(OFFSET($AM$3,0,0,'Données projet'!$E$10+1,1))-AVERAGE(OFFSET($H$3,0,0,'Données projet'!$E$10+1,1))</f>
        <v>536.3707066106856</v>
      </c>
      <c r="AO79" s="62">
        <f t="shared" si="90"/>
        <v>217.6280015974086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13.859062282656623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13.859062282656623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302.3</v>
      </c>
      <c r="BE79" s="14">
        <f>BD79*VLOOKUP('Données projet'!$B$11,Paramètres!$A$1:$I$88,3,0)*VLOOKUP('Données projet'!$B$11,Paramètres!$A$1:$I$88,5,0)</f>
        <v>180.77540000000005</v>
      </c>
      <c r="BF79" s="14">
        <f t="shared" si="91"/>
        <v>45.494655198846154</v>
      </c>
      <c r="BG79" s="22">
        <f t="shared" si="61"/>
        <v>394.08701280465715</v>
      </c>
      <c r="BH79" s="62">
        <f t="shared" si="62"/>
        <v>663.17659718550658</v>
      </c>
      <c r="BI79" s="62">
        <f ca="1">AVERAGE(OFFSET($BH$3,0,0,'Données projet'!$E$11+1,1))-AVERAGE(OFFSET($H$3,0,0,'Données projet'!$E$11+1,1))</f>
        <v>248.66193174773525</v>
      </c>
      <c r="BJ79" s="62">
        <f t="shared" si="92"/>
        <v>249.61655682981151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15.109615506579727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1.621630090174055E-2</v>
      </c>
      <c r="BS79" s="24">
        <f t="shared" si="63"/>
        <v>15.125831807481468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18.2</v>
      </c>
      <c r="BY79" s="13">
        <f>IF('Données projet'!$A$114&gt;35,BY78+BX79-CG78,IF(A79&lt;'Données projet'!$A$114,$BV$205^A79,IF(A79='Données projet'!$A$114,'Données projet'!$B$114,BY78+BX79-CG78)))</f>
        <v>839.2</v>
      </c>
      <c r="BZ79" s="14">
        <f>BY79*VLOOKUP('Données projet'!$B$12,Paramètres!$A$1:$I$88,3,0)*VLOOKUP('Données projet'!$B$12,Paramètres!$A$1:$I$88,5,0)</f>
        <v>338.19760000000002</v>
      </c>
      <c r="CA79" s="14">
        <f t="shared" si="93"/>
        <v>79.127444050814148</v>
      </c>
      <c r="CB79" s="22">
        <f t="shared" si="64"/>
        <v>726.84111838850129</v>
      </c>
      <c r="CC79" s="62">
        <f t="shared" si="65"/>
        <v>995.93070276935077</v>
      </c>
      <c r="CD79" s="62">
        <f ca="1">AVERAGE(OFFSET($CC$3,0,0,'Données projet'!$E$12+1,1))-AVERAGE(OFFSET($H$3,0,0,'Données projet'!$E$12+1,1))</f>
        <v>432.59662347701629</v>
      </c>
      <c r="CE79" s="62">
        <f t="shared" si="94"/>
        <v>348.67401091099748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57.30609238315791</v>
      </c>
      <c r="CL79" s="23">
        <f>EXP(-LN(2)/25)*CL78+(1-EXP(-LN(2)/25))/(LN(2)/25)*Calculateur!CG79*Calculateur!CI79*VLOOKUP('Données projet'!$B$12,Paramètres!$A$1:$I$88,3,0)*0.475*44/12</f>
        <v>71.730966874352092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129.03705925751001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12.8</v>
      </c>
      <c r="CT79" s="13">
        <f>IF('Données projet'!$A$140&gt;35,CT78+CS79-DB78,IF(A79&lt;'Données projet'!$A$140,$CQ$205^A79,IF(A79='Données projet'!$A$140,'Données projet'!$B$140,CT78+CS79-DB78)))</f>
        <v>1083.8</v>
      </c>
      <c r="CU79" s="18">
        <f>CT79*VLOOKUP('Données projet'!$B$13,Paramètres!$A$1:$I$88,3,0)*VLOOKUP('Données projet'!$B$13,Paramètres!$A$1:$I$88,5,0)</f>
        <v>479.03960000000006</v>
      </c>
      <c r="CV79" s="14">
        <f t="shared" si="95"/>
        <v>107.62873802008407</v>
      </c>
      <c r="CW79" s="22">
        <f t="shared" si="67"/>
        <v>1021.7806887183129</v>
      </c>
      <c r="CX79" s="62">
        <f t="shared" si="68"/>
        <v>1290.8702730991624</v>
      </c>
      <c r="CY79" s="62">
        <f ca="1">AVERAGE(OFFSET($CX$3,0,0,'Données projet'!$E$13+1,1))-AVERAGE(OFFSET($H$3,0,0,'Données projet'!$E$13+1,1))</f>
        <v>582.26951914082088</v>
      </c>
      <c r="CZ79" s="62">
        <f t="shared" si="96"/>
        <v>434.80429932654715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60.031326667017481</v>
      </c>
      <c r="DG79" s="23">
        <f>EXP(-LN(2)/25)*DG78+(1-EXP(-LN(2)/25))/(LN(2)/25)*Calculateur!DB79*Calculateur!DD79*VLOOKUP('Données projet'!$B$13,Paramètres!$A$1:$I$88,3,0)*0.475*44/12</f>
        <v>66.038971528214134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126.07029819523162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498.99999999999955</v>
      </c>
      <c r="DP79" s="18">
        <f>DO79*VLOOKUP('Données projet'!$B$14,Paramètres!$A$1:$I$88,3,0)*VLOOKUP('Données projet'!$B$14,Paramètres!$A$1:$I$88,5,0)</f>
        <v>240.01899999999978</v>
      </c>
      <c r="DQ79" s="14">
        <f t="shared" si="97"/>
        <v>58.443618405936313</v>
      </c>
      <c r="DR79" s="22">
        <f t="shared" si="70"/>
        <v>519.82239372367201</v>
      </c>
      <c r="DS79" s="62">
        <f t="shared" si="71"/>
        <v>788.91197810452149</v>
      </c>
      <c r="DT79" s="62">
        <f ca="1">AVERAGE(OFFSET($DS$3,0,0,'Données projet'!$E$14+1,1))-AVERAGE(OFFSET($H$3,0,0,'Données projet'!$E$14+1,1))</f>
        <v>273.24375559399846</v>
      </c>
      <c r="DU79" s="62">
        <f t="shared" si="98"/>
        <v>270.77718895097848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projet'!$B$14,Paramètres!$A$1:$I$88,3,0)*0.475*44/12</f>
        <v>35.022556910397078</v>
      </c>
      <c r="EB79" s="23">
        <f>EXP(-LN(2)/25)*EB78+(1-EXP(-LN(2)/25))/(LN(2)/25)*Calculateur!DW79*Calculateur!DY79*VLOOKUP('Données projet'!$B$14,Paramètres!$A$1:$I$88,3,0)*0.475*44/12</f>
        <v>34.047370213079326</v>
      </c>
      <c r="EC79" s="23">
        <f>EXP(-LN(2)/2)*EC78+(1-EXP(-LN(2)/2))/(LN(2)/2)*DW79*DZ79*VLOOKUP('Données projet'!$B$14,Paramètres!$A$1:$I$88,3,0)*0.475*44/12</f>
        <v>0</v>
      </c>
      <c r="ED79" s="24">
        <f t="shared" si="72"/>
        <v>69.069927123476404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498.99999999999955</v>
      </c>
      <c r="EK79" s="18">
        <f>EJ79*VLOOKUP('Données projet'!$B$15,Paramètres!$A$1:$I$88,3,0)*VLOOKUP('Données projet'!$B$15,Paramètres!$A$1:$I$88,5,0)</f>
        <v>233.53199999999975</v>
      </c>
      <c r="EL79" s="14">
        <f t="shared" si="99"/>
        <v>57.04570382109803</v>
      </c>
      <c r="EM79" s="22">
        <f t="shared" si="73"/>
        <v>506.08950082174533</v>
      </c>
      <c r="EN79" s="62">
        <f t="shared" si="74"/>
        <v>775.17908520259471</v>
      </c>
      <c r="EO79" s="62">
        <f ca="1">AVERAGE(OFFSET($EN$3,0,0,'Données projet'!$E$15+1,1))-AVERAGE(OFFSET($H$3,0,0,'Données projet'!$E$15+1,1))</f>
        <v>267.26203506406682</v>
      </c>
      <c r="EP79" s="62">
        <f t="shared" si="100"/>
        <v>265.10857635664843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projet'!$B$15,Paramètres!$A$1:$I$88,3,0)*0.475*44/12</f>
        <v>34.076001318224179</v>
      </c>
      <c r="EW79" s="23">
        <f>EXP(-LN(2)/25)*EW78+(1-EXP(-LN(2)/25))/(LN(2)/25)*Calculateur!ER79*Calculateur!ET79*VLOOKUP('Données projet'!$B$15,Paramètres!$A$1:$I$88,3,0)*0.475*44/12</f>
        <v>33.127171018131243</v>
      </c>
      <c r="EX79" s="23">
        <f>EXP(-LN(2)/2)*EX78+(1-EXP(-LN(2)/2))/(LN(2)/2)*ER79*EU79*VLOOKUP('Données projet'!$B$15,Paramètres!$A$1:$I$88,3,0)*0.475*44/12</f>
        <v>0</v>
      </c>
      <c r="EY79" s="24">
        <f t="shared" si="75"/>
        <v>67.203172336355422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231</v>
      </c>
      <c r="FF79" s="18">
        <f>FE79*VLOOKUP('Données projet'!$B$16,Paramètres!$A$1:$I$88,3,0)*VLOOKUP('Données projet'!$B$16,Paramètres!$A$1:$I$88,5,0)</f>
        <v>169.36920000000001</v>
      </c>
      <c r="FG79" s="14">
        <f t="shared" si="101"/>
        <v>42.948714817158674</v>
      </c>
      <c r="FH79" s="22">
        <f t="shared" si="76"/>
        <v>369.787034973218</v>
      </c>
      <c r="FI79" s="62">
        <f t="shared" si="77"/>
        <v>638.87661935406743</v>
      </c>
      <c r="FJ79" s="62">
        <f ca="1">AVERAGE(OFFSET($FI$3,0,0,'Données projet'!$E$16+1,1))-AVERAGE(OFFSET($H$3,0,0,'Données projet'!$E$16+1,1))</f>
        <v>207.66160354686221</v>
      </c>
      <c r="FK79" s="62">
        <f t="shared" si="102"/>
        <v>260.45879589483525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projet'!$B$16,Paramètres!$A$1:$I$88,3,0)*0.475*44/12</f>
        <v>2.0817959645301669</v>
      </c>
      <c r="FR79" s="23">
        <f>EXP(-LN(2)/25)*FR78+(1-EXP(-LN(2)/25))/(LN(2)/25)*Calculateur!FM79*Calculateur!FO79*VLOOKUP('Données projet'!$B$16,Paramètres!$A$1:$I$88,3,0)*0.475*44/12</f>
        <v>0</v>
      </c>
      <c r="FS79" s="23">
        <f>EXP(-LN(2)/2)*FS78+(1-EXP(-LN(2)/2))/(LN(2)/2)*FM79*FP79*VLOOKUP('Données projet'!$B$16,Paramètres!$A$1:$I$88,3,0)*0.475*44/12</f>
        <v>0</v>
      </c>
      <c r="FT79" s="24">
        <f t="shared" si="78"/>
        <v>2.0817959645301669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projet'!$B$9,Paramètres!$A$1:$I$88,3,0)*VLOOKUP('Données projet'!$B$9,Paramètres!$A$1:$I$88,5,0)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378.13552372917843</v>
      </c>
      <c r="T80" s="62">
        <f t="shared" si="88"/>
        <v>528.97123645404952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157.50695465512544</v>
      </c>
      <c r="AA80" s="23">
        <f>EXP(-LN(2)/25)*AA79+(1-EXP(-LN(2)/25))/(LN(2)/25)*Calculateur!V80*Calculateur!X80*VLOOKUP('Données projet'!$B$9,Paramètres!$A$1:$I$88,3,0)*0.475*44/12</f>
        <v>68.441659423351823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225.94861407847725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>
        <f>VLOOKUP(A80,'Données projet'!$A$61:$I$81,2,0)</f>
        <v>255</v>
      </c>
      <c r="AG80" s="13">
        <f>VLOOKUP(A80,'Données projet'!$A$61:$I$81,9,0)</f>
        <v>7.75</v>
      </c>
      <c r="AH80" s="13">
        <f t="array" ref="AH80">INDEX(AG:AG,MIN(IF(ISNUMBER(AG80:AG276),ROW(AG80:AG276),"")))</f>
        <v>7.75</v>
      </c>
      <c r="AI80" s="14">
        <f>IF('Données projet'!$A$62&gt;35,AI79+AH80-AQ79,IF(A80&lt;'Données projet'!$A$62,$AF$205^A80,IF(A80='Données projet'!$A$62,'Données projet'!$B$62,AI79+AH80-AQ79)))</f>
        <v>255</v>
      </c>
      <c r="AJ80" s="14">
        <f>AI80*VLOOKUP('Données projet'!$B$10,Paramètres!$A$1:$I$88,3,0)*VLOOKUP('Données projet'!$B$10,Paramètres!$A$1:$I$88,5,0)</f>
        <v>230.72399999999996</v>
      </c>
      <c r="AK80" s="14">
        <f t="shared" si="89"/>
        <v>56.439198612082045</v>
      </c>
      <c r="AL80" s="22">
        <f t="shared" si="58"/>
        <v>500.14257091604276</v>
      </c>
      <c r="AM80" s="62">
        <f t="shared" si="59"/>
        <v>769.65273014031504</v>
      </c>
      <c r="AN80" s="62">
        <f ca="1">AVERAGE(OFFSET($AM$3,0,0,'Données projet'!$E$10+1,1))-AVERAGE(OFFSET($H$3,0,0,'Données projet'!$E$10+1,1))</f>
        <v>536.3707066106856</v>
      </c>
      <c r="AO80" s="62">
        <f t="shared" si="90"/>
        <v>217.6280015974086</v>
      </c>
      <c r="AP80" s="16">
        <f>IF(ISNA(VLOOKUP(A80,'Données projet'!$A$61:$I$81,3,0)),0,VLOOKUP(A80,'Données projet'!$A$61:$I$81,3,0))</f>
        <v>9</v>
      </c>
      <c r="AQ80" s="16">
        <f>IF(ISNA(VLOOKUP(A80,'Données projet'!$A$61:$I$81,4,0)),0,VLOOKUP(A80,'Données projet'!$A$61:$I$81,4,0))</f>
        <v>4</v>
      </c>
      <c r="AR80" s="17">
        <f>IF(ISNA(VLOOKUP(A80,'Données projet'!$A$61:$I$81,5,0)),0%,VLOOKUP(A80,'Données projet'!$A$61:$I$81,5,0)*VLOOKUP('Données projet'!$B$10,Paramètres!$A$1:$I$88,7,0))</f>
        <v>0.15049999999999999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14.189432743326686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14.189432743326686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302.3</v>
      </c>
      <c r="BE80" s="14">
        <f>BD80*VLOOKUP('Données projet'!$B$11,Paramètres!$A$1:$I$88,3,0)*VLOOKUP('Données projet'!$B$11,Paramètres!$A$1:$I$88,5,0)</f>
        <v>180.77540000000005</v>
      </c>
      <c r="BF80" s="14">
        <f t="shared" si="91"/>
        <v>45.494655198846154</v>
      </c>
      <c r="BG80" s="22">
        <f t="shared" si="61"/>
        <v>394.08701280465715</v>
      </c>
      <c r="BH80" s="62">
        <f t="shared" si="62"/>
        <v>663.59717202892944</v>
      </c>
      <c r="BI80" s="62">
        <f ca="1">AVERAGE(OFFSET($BH$3,0,0,'Données projet'!$E$11+1,1))-AVERAGE(OFFSET($H$3,0,0,'Données projet'!$E$11+1,1))</f>
        <v>248.66193174773525</v>
      </c>
      <c r="BJ80" s="62">
        <f t="shared" si="92"/>
        <v>249.61655682981151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14.813325162451157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1.1466656333382268E-2</v>
      </c>
      <c r="BS80" s="24">
        <f t="shared" si="63"/>
        <v>14.82479181878454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18.2</v>
      </c>
      <c r="BY80" s="13">
        <f>IF('Données projet'!$A$114&gt;35,BY79+BX80-CG79,IF(A80&lt;'Données projet'!$A$114,$BV$205^A80,IF(A80='Données projet'!$A$114,'Données projet'!$B$114,BY79+BX80-CG79)))</f>
        <v>857.40000000000009</v>
      </c>
      <c r="BZ80" s="14">
        <f>BY80*VLOOKUP('Données projet'!$B$12,Paramètres!$A$1:$I$88,3,0)*VLOOKUP('Données projet'!$B$12,Paramètres!$A$1:$I$88,5,0)</f>
        <v>345.53220000000005</v>
      </c>
      <c r="CA80" s="14">
        <f t="shared" si="93"/>
        <v>80.641858076968248</v>
      </c>
      <c r="CB80" s="22">
        <f t="shared" si="64"/>
        <v>742.25315115071987</v>
      </c>
      <c r="CC80" s="62">
        <f t="shared" si="65"/>
        <v>1011.7633103749922</v>
      </c>
      <c r="CD80" s="62">
        <f ca="1">AVERAGE(OFFSET($CC$3,0,0,'Données projet'!$E$12+1,1))-AVERAGE(OFFSET($H$3,0,0,'Données projet'!$E$12+1,1))</f>
        <v>432.59662347701629</v>
      </c>
      <c r="CE80" s="62">
        <f t="shared" si="94"/>
        <v>348.67401091099748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56.18235486478919</v>
      </c>
      <c r="CL80" s="23">
        <f>EXP(-LN(2)/25)*CL79+(1-EXP(-LN(2)/25))/(LN(2)/25)*Calculateur!CG80*Calculateur!CI80*VLOOKUP('Données projet'!$B$12,Paramètres!$A$1:$I$88,3,0)*0.475*44/12</f>
        <v>69.769479813005333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125.95183467779452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12.8</v>
      </c>
      <c r="CT80" s="13">
        <f>IF('Données projet'!$A$140&gt;35,CT79+CS80-DB79,IF(A80&lt;'Données projet'!$A$140,$CQ$205^A80,IF(A80='Données projet'!$A$140,'Données projet'!$B$140,CT79+CS80-DB79)))</f>
        <v>1096.5999999999999</v>
      </c>
      <c r="CU80" s="18">
        <f>CT80*VLOOKUP('Données projet'!$B$13,Paramètres!$A$1:$I$88,3,0)*VLOOKUP('Données projet'!$B$13,Paramètres!$A$1:$I$88,5,0)</f>
        <v>484.69720000000001</v>
      </c>
      <c r="CV80" s="14">
        <f t="shared" si="95"/>
        <v>108.75113751862669</v>
      </c>
      <c r="CW80" s="22">
        <f t="shared" si="67"/>
        <v>1033.5891878449413</v>
      </c>
      <c r="CX80" s="62">
        <f t="shared" si="68"/>
        <v>1303.0993470692135</v>
      </c>
      <c r="CY80" s="62">
        <f ca="1">AVERAGE(OFFSET($CX$3,0,0,'Données projet'!$E$13+1,1))-AVERAGE(OFFSET($H$3,0,0,'Données projet'!$E$13+1,1))</f>
        <v>582.26951914082088</v>
      </c>
      <c r="CZ80" s="62">
        <f t="shared" si="96"/>
        <v>434.80429932654715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58.854148966571053</v>
      </c>
      <c r="DG80" s="23">
        <f>EXP(-LN(2)/25)*DG79+(1-EXP(-LN(2)/25))/(LN(2)/25)*Calculateur!DB80*Calculateur!DD80*VLOOKUP('Données projet'!$B$13,Paramètres!$A$1:$I$88,3,0)*0.475*44/12</f>
        <v>64.233132378936546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123.08728134550759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498.99999999999955</v>
      </c>
      <c r="DP80" s="18">
        <f>DO80*VLOOKUP('Données projet'!$B$14,Paramètres!$A$1:$I$88,3,0)*VLOOKUP('Données projet'!$B$14,Paramètres!$A$1:$I$88,5,0)</f>
        <v>240.01899999999978</v>
      </c>
      <c r="DQ80" s="14">
        <f t="shared" si="97"/>
        <v>58.443618405936313</v>
      </c>
      <c r="DR80" s="22">
        <f t="shared" si="70"/>
        <v>519.82239372367201</v>
      </c>
      <c r="DS80" s="62">
        <f t="shared" si="71"/>
        <v>789.33255294794435</v>
      </c>
      <c r="DT80" s="62">
        <f ca="1">AVERAGE(OFFSET($DS$3,0,0,'Données projet'!$E$14+1,1))-AVERAGE(OFFSET($H$3,0,0,'Données projet'!$E$14+1,1))</f>
        <v>273.24375559399846</v>
      </c>
      <c r="DU80" s="62">
        <f t="shared" si="98"/>
        <v>270.77718895097848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projet'!$B$14,Paramètres!$A$1:$I$88,3,0)*0.475*44/12</f>
        <v>34.335785931034621</v>
      </c>
      <c r="EB80" s="23">
        <f>EXP(-LN(2)/25)*EB79+(1-EXP(-LN(2)/25))/(LN(2)/25)*Calculateur!DW80*Calculateur!DY80*VLOOKUP('Données projet'!$B$14,Paramètres!$A$1:$I$88,3,0)*0.475*44/12</f>
        <v>33.116343084129291</v>
      </c>
      <c r="EC80" s="23">
        <f>EXP(-LN(2)/2)*EC79+(1-EXP(-LN(2)/2))/(LN(2)/2)*DW80*DZ80*VLOOKUP('Données projet'!$B$14,Paramètres!$A$1:$I$88,3,0)*0.475*44/12</f>
        <v>0</v>
      </c>
      <c r="ED80" s="24">
        <f t="shared" si="72"/>
        <v>67.452129015163905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498.99999999999955</v>
      </c>
      <c r="EK80" s="18">
        <f>EJ80*VLOOKUP('Données projet'!$B$15,Paramètres!$A$1:$I$88,3,0)*VLOOKUP('Données projet'!$B$15,Paramètres!$A$1:$I$88,5,0)</f>
        <v>233.53199999999975</v>
      </c>
      <c r="EL80" s="14">
        <f t="shared" si="99"/>
        <v>57.04570382109803</v>
      </c>
      <c r="EM80" s="22">
        <f t="shared" si="73"/>
        <v>506.08950082174533</v>
      </c>
      <c r="EN80" s="62">
        <f t="shared" si="74"/>
        <v>775.59966004601756</v>
      </c>
      <c r="EO80" s="62">
        <f ca="1">AVERAGE(OFFSET($EN$3,0,0,'Données projet'!$E$15+1,1))-AVERAGE(OFFSET($H$3,0,0,'Données projet'!$E$15+1,1))</f>
        <v>267.26203506406682</v>
      </c>
      <c r="EP80" s="62">
        <f t="shared" si="100"/>
        <v>265.10857635664843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projet'!$B$15,Paramètres!$A$1:$I$88,3,0)*0.475*44/12</f>
        <v>33.407791716682326</v>
      </c>
      <c r="EW80" s="23">
        <f>EXP(-LN(2)/25)*EW79+(1-EXP(-LN(2)/25))/(LN(2)/25)*Calculateur!ER80*Calculateur!ET80*VLOOKUP('Données projet'!$B$15,Paramètres!$A$1:$I$88,3,0)*0.475*44/12</f>
        <v>32.22130678455823</v>
      </c>
      <c r="EX80" s="23">
        <f>EXP(-LN(2)/2)*EX79+(1-EXP(-LN(2)/2))/(LN(2)/2)*ER80*EU80*VLOOKUP('Données projet'!$B$15,Paramètres!$A$1:$I$88,3,0)*0.475*44/12</f>
        <v>0</v>
      </c>
      <c r="EY80" s="24">
        <f t="shared" si="75"/>
        <v>65.629098501240549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231</v>
      </c>
      <c r="FF80" s="18">
        <f>FE80*VLOOKUP('Données projet'!$B$16,Paramètres!$A$1:$I$88,3,0)*VLOOKUP('Données projet'!$B$16,Paramètres!$A$1:$I$88,5,0)</f>
        <v>169.36920000000001</v>
      </c>
      <c r="FG80" s="14">
        <f t="shared" si="101"/>
        <v>42.948714817158674</v>
      </c>
      <c r="FH80" s="22">
        <f t="shared" si="76"/>
        <v>369.787034973218</v>
      </c>
      <c r="FI80" s="62">
        <f t="shared" si="77"/>
        <v>639.29719419749028</v>
      </c>
      <c r="FJ80" s="62">
        <f ca="1">AVERAGE(OFFSET($FI$3,0,0,'Données projet'!$E$16+1,1))-AVERAGE(OFFSET($H$3,0,0,'Données projet'!$E$16+1,1))</f>
        <v>207.66160354686221</v>
      </c>
      <c r="FK80" s="62">
        <f t="shared" si="102"/>
        <v>260.45879589483525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projet'!$B$16,Paramètres!$A$1:$I$88,3,0)*0.475*44/12</f>
        <v>2.0409732154358893</v>
      </c>
      <c r="FR80" s="23">
        <f>EXP(-LN(2)/25)*FR79+(1-EXP(-LN(2)/25))/(LN(2)/25)*Calculateur!FM80*Calculateur!FO80*VLOOKUP('Données projet'!$B$16,Paramètres!$A$1:$I$88,3,0)*0.475*44/12</f>
        <v>0</v>
      </c>
      <c r="FS80" s="23">
        <f>EXP(-LN(2)/2)*FS79+(1-EXP(-LN(2)/2))/(LN(2)/2)*FM80*FP80*VLOOKUP('Données projet'!$B$16,Paramètres!$A$1:$I$88,3,0)*0.475*44/12</f>
        <v>0</v>
      </c>
      <c r="FT80" s="24">
        <f t="shared" si="78"/>
        <v>2.0409732154358893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projet'!$B$9,Paramètres!$A$1:$I$88,3,0)*VLOOKUP('Données projet'!$B$9,Paramètres!$A$1:$I$88,5,0)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378.13552372917843</v>
      </c>
      <c r="T81" s="62">
        <f t="shared" si="88"/>
        <v>528.97123645404952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154.41833934409468</v>
      </c>
      <c r="AA81" s="23">
        <f>EXP(-LN(2)/25)*AA80+(1-EXP(-LN(2)/25))/(LN(2)/25)*Calculateur!V81*Calculateur!X81*VLOOKUP('Données projet'!$B$9,Paramètres!$A$1:$I$88,3,0)*0.475*44/12</f>
        <v>66.570118647229819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220.98845799132448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2.125</v>
      </c>
      <c r="AI81" s="14">
        <f>IF('Données projet'!$A$62&gt;35,AI80+AH81-AQ80,IF(A81&lt;'Données projet'!$A$62,$AF$205^A81,IF(A81='Données projet'!$A$62,'Données projet'!$B$62,AI80+AH81-AQ80)))</f>
        <v>253.125</v>
      </c>
      <c r="AJ81" s="14">
        <f>AI81*VLOOKUP('Données projet'!$B$10,Paramètres!$A$1:$I$88,3,0)*VLOOKUP('Données projet'!$B$10,Paramètres!$A$1:$I$88,5,0)</f>
        <v>229.0275</v>
      </c>
      <c r="AK81" s="14">
        <f t="shared" si="89"/>
        <v>56.072352466455172</v>
      </c>
      <c r="AL81" s="22">
        <f t="shared" si="58"/>
        <v>496.54890971240934</v>
      </c>
      <c r="AM81" s="62">
        <f t="shared" si="59"/>
        <v>766.47234774683557</v>
      </c>
      <c r="AN81" s="62">
        <f ca="1">AVERAGE(OFFSET($AM$3,0,0,'Données projet'!$E$10+1,1))-AVERAGE(OFFSET($H$3,0,0,'Données projet'!$E$10+1,1))</f>
        <v>536.3707066106856</v>
      </c>
      <c r="AO81" s="62">
        <f t="shared" si="90"/>
        <v>217.6280015974086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13.911186621929442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13.911186621929442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302.3</v>
      </c>
      <c r="BE81" s="14">
        <f>BD81*VLOOKUP('Données projet'!$B$11,Paramètres!$A$1:$I$88,3,0)*VLOOKUP('Données projet'!$B$11,Paramètres!$A$1:$I$88,5,0)</f>
        <v>180.77540000000005</v>
      </c>
      <c r="BF81" s="14">
        <f t="shared" si="91"/>
        <v>45.494655198846154</v>
      </c>
      <c r="BG81" s="22">
        <f t="shared" si="61"/>
        <v>394.08701280465715</v>
      </c>
      <c r="BH81" s="62">
        <f t="shared" si="62"/>
        <v>664.01045083908343</v>
      </c>
      <c r="BI81" s="62">
        <f ca="1">AVERAGE(OFFSET($BH$3,0,0,'Données projet'!$E$11+1,1))-AVERAGE(OFFSET($H$3,0,0,'Données projet'!$E$11+1,1))</f>
        <v>248.66193174773525</v>
      </c>
      <c r="BJ81" s="62">
        <f t="shared" si="92"/>
        <v>249.61655682981151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14.522844891251683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8.1081504508702749E-3</v>
      </c>
      <c r="BS81" s="24">
        <f t="shared" si="63"/>
        <v>14.530953041702553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18.2</v>
      </c>
      <c r="BY81" s="13">
        <f>IF('Données projet'!$A$114&gt;35,BY80+BX81-CG80,IF(A81&lt;'Données projet'!$A$114,$BV$205^A81,IF(A81='Données projet'!$A$114,'Données projet'!$B$114,BY80+BX81-CG80)))</f>
        <v>875.60000000000014</v>
      </c>
      <c r="BZ81" s="14">
        <f>BY81*VLOOKUP('Données projet'!$B$12,Paramètres!$A$1:$I$88,3,0)*VLOOKUP('Données projet'!$B$12,Paramètres!$A$1:$I$88,5,0)</f>
        <v>352.86680000000007</v>
      </c>
      <c r="CA81" s="14">
        <f t="shared" si="93"/>
        <v>82.152534582768084</v>
      </c>
      <c r="CB81" s="22">
        <f t="shared" si="64"/>
        <v>757.65867439832107</v>
      </c>
      <c r="CC81" s="62">
        <f t="shared" si="65"/>
        <v>1027.5821124327472</v>
      </c>
      <c r="CD81" s="62">
        <f ca="1">AVERAGE(OFFSET($CC$3,0,0,'Données projet'!$E$12+1,1))-AVERAGE(OFFSET($H$3,0,0,'Données projet'!$E$12+1,1))</f>
        <v>432.59662347701629</v>
      </c>
      <c r="CE81" s="62">
        <f t="shared" si="94"/>
        <v>348.67401091099748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55.080653153743469</v>
      </c>
      <c r="CL81" s="23">
        <f>EXP(-LN(2)/25)*CL80+(1-EXP(-LN(2)/25))/(LN(2)/25)*Calculateur!CG81*Calculateur!CI81*VLOOKUP('Données projet'!$B$12,Paramètres!$A$1:$I$88,3,0)*0.475*44/12</f>
        <v>67.86162971850122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122.94228287224469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12.8</v>
      </c>
      <c r="CT81" s="13">
        <f>IF('Données projet'!$A$140&gt;35,CT80+CS81-DB80,IF(A81&lt;'Données projet'!$A$140,$CQ$205^A81,IF(A81='Données projet'!$A$140,'Données projet'!$B$140,CT80+CS81-DB80)))</f>
        <v>1109.3999999999999</v>
      </c>
      <c r="CU81" s="18">
        <f>CT81*VLOOKUP('Données projet'!$B$13,Paramètres!$A$1:$I$88,3,0)*VLOOKUP('Données projet'!$B$13,Paramètres!$A$1:$I$88,5,0)</f>
        <v>490.35479999999995</v>
      </c>
      <c r="CV81" s="14">
        <f t="shared" si="95"/>
        <v>109.87201304301044</v>
      </c>
      <c r="CW81" s="22">
        <f t="shared" si="67"/>
        <v>1045.3950327165765</v>
      </c>
      <c r="CX81" s="62">
        <f t="shared" si="68"/>
        <v>1315.3184707510027</v>
      </c>
      <c r="CY81" s="62">
        <f ca="1">AVERAGE(OFFSET($CX$3,0,0,'Données projet'!$E$13+1,1))-AVERAGE(OFFSET($H$3,0,0,'Données projet'!$E$13+1,1))</f>
        <v>582.26951914082088</v>
      </c>
      <c r="CZ81" s="62">
        <f t="shared" si="96"/>
        <v>434.80429932654715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57.700055002822879</v>
      </c>
      <c r="DG81" s="23">
        <f>EXP(-LN(2)/25)*DG80+(1-EXP(-LN(2)/25))/(LN(2)/25)*Calculateur!DB81*Calculateur!DD81*VLOOKUP('Données projet'!$B$13,Paramètres!$A$1:$I$88,3,0)*0.475*44/12</f>
        <v>62.476673996160898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120.17672899898378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498.99999999999955</v>
      </c>
      <c r="DP81" s="18">
        <f>DO81*VLOOKUP('Données projet'!$B$14,Paramètres!$A$1:$I$88,3,0)*VLOOKUP('Données projet'!$B$14,Paramètres!$A$1:$I$88,5,0)</f>
        <v>240.01899999999978</v>
      </c>
      <c r="DQ81" s="14">
        <f t="shared" si="97"/>
        <v>58.443618405936313</v>
      </c>
      <c r="DR81" s="22">
        <f t="shared" si="70"/>
        <v>519.82239372367201</v>
      </c>
      <c r="DS81" s="62">
        <f t="shared" si="71"/>
        <v>789.74583175809823</v>
      </c>
      <c r="DT81" s="62">
        <f ca="1">AVERAGE(OFFSET($DS$3,0,0,'Données projet'!$E$14+1,1))-AVERAGE(OFFSET($H$3,0,0,'Données projet'!$E$14+1,1))</f>
        <v>273.24375559399846</v>
      </c>
      <c r="DU81" s="62">
        <f t="shared" si="98"/>
        <v>270.77718895097848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projet'!$B$14,Paramètres!$A$1:$I$88,3,0)*0.475*44/12</f>
        <v>33.662482111688526</v>
      </c>
      <c r="EB81" s="23">
        <f>EXP(-LN(2)/25)*EB80+(1-EXP(-LN(2)/25))/(LN(2)/25)*Calculateur!DW81*Calculateur!DY81*VLOOKUP('Données projet'!$B$14,Paramètres!$A$1:$I$88,3,0)*0.475*44/12</f>
        <v>32.210774940980983</v>
      </c>
      <c r="EC81" s="23">
        <f>EXP(-LN(2)/2)*EC80+(1-EXP(-LN(2)/2))/(LN(2)/2)*DW81*DZ81*VLOOKUP('Données projet'!$B$14,Paramètres!$A$1:$I$88,3,0)*0.475*44/12</f>
        <v>0</v>
      </c>
      <c r="ED81" s="24">
        <f t="shared" si="72"/>
        <v>65.873257052669516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498.99999999999955</v>
      </c>
      <c r="EK81" s="18">
        <f>EJ81*VLOOKUP('Données projet'!$B$15,Paramètres!$A$1:$I$88,3,0)*VLOOKUP('Données projet'!$B$15,Paramètres!$A$1:$I$88,5,0)</f>
        <v>233.53199999999975</v>
      </c>
      <c r="EL81" s="14">
        <f t="shared" si="99"/>
        <v>57.04570382109803</v>
      </c>
      <c r="EM81" s="22">
        <f t="shared" si="73"/>
        <v>506.08950082174533</v>
      </c>
      <c r="EN81" s="62">
        <f t="shared" si="74"/>
        <v>776.01293885617156</v>
      </c>
      <c r="EO81" s="62">
        <f ca="1">AVERAGE(OFFSET($EN$3,0,0,'Données projet'!$E$15+1,1))-AVERAGE(OFFSET($H$3,0,0,'Données projet'!$E$15+1,1))</f>
        <v>267.26203506406682</v>
      </c>
      <c r="EP81" s="62">
        <f t="shared" si="100"/>
        <v>265.10857635664843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projet'!$B$15,Paramètres!$A$1:$I$88,3,0)*0.475*44/12</f>
        <v>32.752685297859095</v>
      </c>
      <c r="EW81" s="23">
        <f>EXP(-LN(2)/25)*EW80+(1-EXP(-LN(2)/25))/(LN(2)/25)*Calculateur!ER81*Calculateur!ET81*VLOOKUP('Données projet'!$B$15,Paramètres!$A$1:$I$88,3,0)*0.475*44/12</f>
        <v>31.340213456089604</v>
      </c>
      <c r="EX81" s="23">
        <f>EXP(-LN(2)/2)*EX80+(1-EXP(-LN(2)/2))/(LN(2)/2)*ER81*EU81*VLOOKUP('Données projet'!$B$15,Paramètres!$A$1:$I$88,3,0)*0.475*44/12</f>
        <v>0</v>
      </c>
      <c r="EY81" s="24">
        <f t="shared" si="75"/>
        <v>64.092898753948703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231</v>
      </c>
      <c r="FF81" s="18">
        <f>FE81*VLOOKUP('Données projet'!$B$16,Paramètres!$A$1:$I$88,3,0)*VLOOKUP('Données projet'!$B$16,Paramètres!$A$1:$I$88,5,0)</f>
        <v>169.36920000000001</v>
      </c>
      <c r="FG81" s="14">
        <f t="shared" si="101"/>
        <v>42.948714817158674</v>
      </c>
      <c r="FH81" s="22">
        <f t="shared" si="76"/>
        <v>369.787034973218</v>
      </c>
      <c r="FI81" s="62">
        <f t="shared" si="77"/>
        <v>639.71047300764417</v>
      </c>
      <c r="FJ81" s="62">
        <f ca="1">AVERAGE(OFFSET($FI$3,0,0,'Données projet'!$E$16+1,1))-AVERAGE(OFFSET($H$3,0,0,'Données projet'!$E$16+1,1))</f>
        <v>207.66160354686221</v>
      </c>
      <c r="FK81" s="62">
        <f t="shared" si="102"/>
        <v>260.45879589483525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projet'!$B$16,Paramètres!$A$1:$I$88,3,0)*0.475*44/12</f>
        <v>2.0009509755519321</v>
      </c>
      <c r="FR81" s="23">
        <f>EXP(-LN(2)/25)*FR80+(1-EXP(-LN(2)/25))/(LN(2)/25)*Calculateur!FM81*Calculateur!FO81*VLOOKUP('Données projet'!$B$16,Paramètres!$A$1:$I$88,3,0)*0.475*44/12</f>
        <v>0</v>
      </c>
      <c r="FS81" s="23">
        <f>EXP(-LN(2)/2)*FS80+(1-EXP(-LN(2)/2))/(LN(2)/2)*FM81*FP81*VLOOKUP('Données projet'!$B$16,Paramètres!$A$1:$I$88,3,0)*0.475*44/12</f>
        <v>0</v>
      </c>
      <c r="FT81" s="24">
        <f t="shared" si="78"/>
        <v>2.0009509755519321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projet'!$B$9,Paramètres!$A$1:$I$88,3,0)*VLOOKUP('Données projet'!$B$9,Paramètres!$A$1:$I$88,5,0)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378.13552372917843</v>
      </c>
      <c r="T82" s="62">
        <f t="shared" si="88"/>
        <v>528.97123645404952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151.39028989544389</v>
      </c>
      <c r="AA82" s="23">
        <f>EXP(-LN(2)/25)*AA81+(1-EXP(-LN(2)/25))/(LN(2)/25)*Calculateur!V82*Calculateur!X82*VLOOKUP('Données projet'!$B$9,Paramètres!$A$1:$I$88,3,0)*0.475*44/12</f>
        <v>64.749755252050932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216.14004514749482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2.125</v>
      </c>
      <c r="AI82" s="14">
        <f>IF('Données projet'!$A$62&gt;35,AI81+AH82-AQ81,IF(A82&lt;'Données projet'!$A$62,$AF$205^A82,IF(A82='Données projet'!$A$62,'Données projet'!$B$62,AI81+AH82-AQ81)))</f>
        <v>255.25</v>
      </c>
      <c r="AJ82" s="14">
        <f>AI82*VLOOKUP('Données projet'!$B$10,Paramètres!$A$1:$I$88,3,0)*VLOOKUP('Données projet'!$B$10,Paramètres!$A$1:$I$88,5,0)</f>
        <v>230.9502</v>
      </c>
      <c r="AK82" s="14">
        <f t="shared" si="89"/>
        <v>56.488087662499936</v>
      </c>
      <c r="AL82" s="22">
        <f t="shared" si="58"/>
        <v>500.62168434552069</v>
      </c>
      <c r="AM82" s="62">
        <f t="shared" si="59"/>
        <v>770.95123172669764</v>
      </c>
      <c r="AN82" s="62">
        <f ca="1">AVERAGE(OFFSET($AM$3,0,0,'Données projet'!$E$10+1,1))-AVERAGE(OFFSET($H$3,0,0,'Données projet'!$E$10+1,1))</f>
        <v>536.3707066106856</v>
      </c>
      <c r="AO82" s="62">
        <f t="shared" si="90"/>
        <v>217.6280015974086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13.638396737259422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13.638396737259422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302.3</v>
      </c>
      <c r="BE82" s="14">
        <f>BD82*VLOOKUP('Données projet'!$B$11,Paramètres!$A$1:$I$88,3,0)*VLOOKUP('Données projet'!$B$11,Paramètres!$A$1:$I$88,5,0)</f>
        <v>180.77540000000005</v>
      </c>
      <c r="BF82" s="14">
        <f t="shared" si="91"/>
        <v>45.494655198846154</v>
      </c>
      <c r="BG82" s="22">
        <f t="shared" si="61"/>
        <v>394.08701280465715</v>
      </c>
      <c r="BH82" s="62">
        <f t="shared" si="62"/>
        <v>664.4165601858341</v>
      </c>
      <c r="BI82" s="62">
        <f ca="1">AVERAGE(OFFSET($BH$3,0,0,'Données projet'!$E$11+1,1))-AVERAGE(OFFSET($H$3,0,0,'Données projet'!$E$11+1,1))</f>
        <v>248.66193174773525</v>
      </c>
      <c r="BJ82" s="62">
        <f t="shared" si="92"/>
        <v>249.61655682981151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14.23806076099496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5.7333281666911342E-3</v>
      </c>
      <c r="BS82" s="24">
        <f t="shared" si="63"/>
        <v>14.243794089161652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18.2</v>
      </c>
      <c r="BY82" s="13">
        <f>IF('Données projet'!$A$114&gt;35,BY81+BX82-CG81,IF(A82&lt;'Données projet'!$A$114,$BV$205^A82,IF(A82='Données projet'!$A$114,'Données projet'!$B$114,BY81+BX82-CG81)))</f>
        <v>893.80000000000018</v>
      </c>
      <c r="BZ82" s="14">
        <f>BY82*VLOOKUP('Données projet'!$B$12,Paramètres!$A$1:$I$88,3,0)*VLOOKUP('Données projet'!$B$12,Paramètres!$A$1:$I$88,5,0)</f>
        <v>360.20140000000004</v>
      </c>
      <c r="CA82" s="14">
        <f t="shared" si="93"/>
        <v>83.65956020591095</v>
      </c>
      <c r="CB82" s="22">
        <f t="shared" si="64"/>
        <v>773.05783902529492</v>
      </c>
      <c r="CC82" s="62">
        <f t="shared" si="65"/>
        <v>1043.3873864064719</v>
      </c>
      <c r="CD82" s="62">
        <f ca="1">AVERAGE(OFFSET($CC$3,0,0,'Données projet'!$E$12+1,1))-AVERAGE(OFFSET($H$3,0,0,'Données projet'!$E$12+1,1))</f>
        <v>432.59662347701629</v>
      </c>
      <c r="CE82" s="62">
        <f t="shared" si="94"/>
        <v>348.67401091099748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54.000555141279669</v>
      </c>
      <c r="CL82" s="23">
        <f>EXP(-LN(2)/25)*CL81+(1-EXP(-LN(2)/25))/(LN(2)/25)*Calculateur!CG82*Calculateur!CI82*VLOOKUP('Données projet'!$B$12,Paramètres!$A$1:$I$88,3,0)*0.475*44/12</f>
        <v>66.005949885160803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120.00650502644046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12.8</v>
      </c>
      <c r="CT82" s="13">
        <f>IF('Données projet'!$A$140&gt;35,CT81+CS82-DB81,IF(A82&lt;'Données projet'!$A$140,$CQ$205^A82,IF(A82='Données projet'!$A$140,'Données projet'!$B$140,CT81+CS82-DB81)))</f>
        <v>1122.1999999999998</v>
      </c>
      <c r="CU82" s="18">
        <f>CT82*VLOOKUP('Données projet'!$B$13,Paramètres!$A$1:$I$88,3,0)*VLOOKUP('Données projet'!$B$13,Paramètres!$A$1:$I$88,5,0)</f>
        <v>496.01239999999996</v>
      </c>
      <c r="CV82" s="14">
        <f t="shared" si="95"/>
        <v>110.99138421088669</v>
      </c>
      <c r="CW82" s="22">
        <f t="shared" si="67"/>
        <v>1057.1982575006275</v>
      </c>
      <c r="CX82" s="62">
        <f t="shared" si="68"/>
        <v>1327.5278048818045</v>
      </c>
      <c r="CY82" s="62">
        <f ca="1">AVERAGE(OFFSET($CX$3,0,0,'Données projet'!$E$13+1,1))-AVERAGE(OFFSET($H$3,0,0,'Données projet'!$E$13+1,1))</f>
        <v>582.26951914082088</v>
      </c>
      <c r="CZ82" s="62">
        <f t="shared" si="96"/>
        <v>434.80429932654715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56.568592117775999</v>
      </c>
      <c r="DG82" s="23">
        <f>EXP(-LN(2)/25)*DG81+(1-EXP(-LN(2)/25))/(LN(2)/25)*Calculateur!DB82*Calculateur!DD82*VLOOKUP('Données projet'!$B$13,Paramètres!$A$1:$I$88,3,0)*0.475*44/12</f>
        <v>60.768246060230382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117.33683817800639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498.99999999999955</v>
      </c>
      <c r="DP82" s="18">
        <f>DO82*VLOOKUP('Données projet'!$B$14,Paramètres!$A$1:$I$88,3,0)*VLOOKUP('Données projet'!$B$14,Paramètres!$A$1:$I$88,5,0)</f>
        <v>240.01899999999978</v>
      </c>
      <c r="DQ82" s="14">
        <f t="shared" si="97"/>
        <v>58.443618405936313</v>
      </c>
      <c r="DR82" s="22">
        <f t="shared" si="70"/>
        <v>519.82239372367201</v>
      </c>
      <c r="DS82" s="62">
        <f t="shared" si="71"/>
        <v>790.1519411048489</v>
      </c>
      <c r="DT82" s="62">
        <f ca="1">AVERAGE(OFFSET($DS$3,0,0,'Données projet'!$E$14+1,1))-AVERAGE(OFFSET($H$3,0,0,'Données projet'!$E$14+1,1))</f>
        <v>273.24375559399846</v>
      </c>
      <c r="DU82" s="62">
        <f t="shared" si="98"/>
        <v>270.77718895097848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projet'!$B$14,Paramètres!$A$1:$I$88,3,0)*0.475*44/12</f>
        <v>33.002381369565029</v>
      </c>
      <c r="EB82" s="23">
        <f>EXP(-LN(2)/25)*EB81+(1-EXP(-LN(2)/25))/(LN(2)/25)*Calculateur!DW82*Calculateur!DY82*VLOOKUP('Données projet'!$B$14,Paramètres!$A$1:$I$88,3,0)*0.475*44/12</f>
        <v>31.329969606328824</v>
      </c>
      <c r="EC82" s="23">
        <f>EXP(-LN(2)/2)*EC81+(1-EXP(-LN(2)/2))/(LN(2)/2)*DW82*DZ82*VLOOKUP('Données projet'!$B$14,Paramètres!$A$1:$I$88,3,0)*0.475*44/12</f>
        <v>0</v>
      </c>
      <c r="ED82" s="24">
        <f t="shared" si="72"/>
        <v>64.33235097589386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498.99999999999955</v>
      </c>
      <c r="EK82" s="18">
        <f>EJ82*VLOOKUP('Données projet'!$B$15,Paramètres!$A$1:$I$88,3,0)*VLOOKUP('Données projet'!$B$15,Paramètres!$A$1:$I$88,5,0)</f>
        <v>233.53199999999975</v>
      </c>
      <c r="EL82" s="14">
        <f t="shared" si="99"/>
        <v>57.04570382109803</v>
      </c>
      <c r="EM82" s="22">
        <f t="shared" si="73"/>
        <v>506.08950082174533</v>
      </c>
      <c r="EN82" s="62">
        <f t="shared" si="74"/>
        <v>776.41904820292234</v>
      </c>
      <c r="EO82" s="62">
        <f ca="1">AVERAGE(OFFSET($EN$3,0,0,'Données projet'!$E$15+1,1))-AVERAGE(OFFSET($H$3,0,0,'Données projet'!$E$15+1,1))</f>
        <v>267.26203506406682</v>
      </c>
      <c r="EP82" s="62">
        <f t="shared" si="100"/>
        <v>265.10857635664843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projet'!$B$15,Paramètres!$A$1:$I$88,3,0)*0.475*44/12</f>
        <v>32.110425116333531</v>
      </c>
      <c r="EW82" s="23">
        <f>EXP(-LN(2)/25)*EW81+(1-EXP(-LN(2)/25))/(LN(2)/25)*Calculateur!ER82*Calculateur!ET82*VLOOKUP('Données projet'!$B$15,Paramètres!$A$1:$I$88,3,0)*0.475*44/12</f>
        <v>30.483213671022636</v>
      </c>
      <c r="EX82" s="23">
        <f>EXP(-LN(2)/2)*EX81+(1-EXP(-LN(2)/2))/(LN(2)/2)*ER82*EU82*VLOOKUP('Données projet'!$B$15,Paramètres!$A$1:$I$88,3,0)*0.475*44/12</f>
        <v>0</v>
      </c>
      <c r="EY82" s="24">
        <f t="shared" si="75"/>
        <v>62.59363878735617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231</v>
      </c>
      <c r="FF82" s="18">
        <f>FE82*VLOOKUP('Données projet'!$B$16,Paramètres!$A$1:$I$88,3,0)*VLOOKUP('Données projet'!$B$16,Paramètres!$A$1:$I$88,5,0)</f>
        <v>169.36920000000001</v>
      </c>
      <c r="FG82" s="14">
        <f t="shared" si="101"/>
        <v>42.948714817158674</v>
      </c>
      <c r="FH82" s="22">
        <f t="shared" si="76"/>
        <v>369.787034973218</v>
      </c>
      <c r="FI82" s="62">
        <f t="shared" si="77"/>
        <v>640.11658235439495</v>
      </c>
      <c r="FJ82" s="62">
        <f ca="1">AVERAGE(OFFSET($FI$3,0,0,'Données projet'!$E$16+1,1))-AVERAGE(OFFSET($H$3,0,0,'Données projet'!$E$16+1,1))</f>
        <v>207.66160354686221</v>
      </c>
      <c r="FK82" s="62">
        <f t="shared" si="102"/>
        <v>260.45879589483525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projet'!$B$16,Paramètres!$A$1:$I$88,3,0)*0.475*44/12</f>
        <v>1.9617135473809435</v>
      </c>
      <c r="FR82" s="23">
        <f>EXP(-LN(2)/25)*FR81+(1-EXP(-LN(2)/25))/(LN(2)/25)*Calculateur!FM82*Calculateur!FO82*VLOOKUP('Données projet'!$B$16,Paramètres!$A$1:$I$88,3,0)*0.475*44/12</f>
        <v>0</v>
      </c>
      <c r="FS82" s="23">
        <f>EXP(-LN(2)/2)*FS81+(1-EXP(-LN(2)/2))/(LN(2)/2)*FM82*FP82*VLOOKUP('Données projet'!$B$16,Paramètres!$A$1:$I$88,3,0)*0.475*44/12</f>
        <v>0</v>
      </c>
      <c r="FT82" s="24">
        <f t="shared" si="78"/>
        <v>1.9617135473809435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projet'!$B$9,Paramètres!$A$1:$I$88,3,0)*VLOOKUP('Données projet'!$B$9,Paramètres!$A$1:$I$88,5,0)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378.13552372917843</v>
      </c>
      <c r="T83" s="62">
        <f t="shared" si="88"/>
        <v>528.97123645404952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148.42161864955335</v>
      </c>
      <c r="AA83" s="23">
        <f>EXP(-LN(2)/25)*AA82+(1-EXP(-LN(2)/25))/(LN(2)/25)*Calculateur!V83*Calculateur!X83*VLOOKUP('Données projet'!$B$9,Paramètres!$A$1:$I$88,3,0)*0.475*44/12</f>
        <v>62.979169789641958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211.40078843919531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2.125</v>
      </c>
      <c r="AI83" s="14">
        <f>IF('Données projet'!$A$62&gt;35,AI82+AH83-AQ82,IF(A83&lt;'Données projet'!$A$62,$AF$205^A83,IF(A83='Données projet'!$A$62,'Données projet'!$B$62,AI82+AH83-AQ82)))</f>
        <v>257.375</v>
      </c>
      <c r="AJ83" s="14">
        <f>AI83*VLOOKUP('Données projet'!$B$10,Paramètres!$A$1:$I$88,3,0)*VLOOKUP('Données projet'!$B$10,Paramètres!$A$1:$I$88,5,0)</f>
        <v>232.87290000000002</v>
      </c>
      <c r="AK83" s="14">
        <f t="shared" si="89"/>
        <v>56.903420180590047</v>
      </c>
      <c r="AL83" s="22">
        <f t="shared" si="58"/>
        <v>504.69375764786105</v>
      </c>
      <c r="AM83" s="62">
        <f t="shared" si="59"/>
        <v>775.42236928654711</v>
      </c>
      <c r="AN83" s="62">
        <f ca="1">AVERAGE(OFFSET($AM$3,0,0,'Données projet'!$E$10+1,1))-AVERAGE(OFFSET($H$3,0,0,'Données projet'!$E$10+1,1))</f>
        <v>536.3707066106856</v>
      </c>
      <c r="AO83" s="62">
        <f t="shared" si="90"/>
        <v>217.6280015974086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13.370956095842381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13.370956095842381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302.3</v>
      </c>
      <c r="BE83" s="14">
        <f>BD83*VLOOKUP('Données projet'!$B$11,Paramètres!$A$1:$I$88,3,0)*VLOOKUP('Données projet'!$B$11,Paramètres!$A$1:$I$88,5,0)</f>
        <v>180.77540000000005</v>
      </c>
      <c r="BF83" s="14">
        <f t="shared" si="91"/>
        <v>45.494655198846154</v>
      </c>
      <c r="BG83" s="22">
        <f t="shared" si="61"/>
        <v>394.08701280465715</v>
      </c>
      <c r="BH83" s="62">
        <f t="shared" si="62"/>
        <v>664.81562444334327</v>
      </c>
      <c r="BI83" s="62">
        <f ca="1">AVERAGE(OFFSET($BH$3,0,0,'Données projet'!$E$11+1,1))-AVERAGE(OFFSET($H$3,0,0,'Données projet'!$E$11+1,1))</f>
        <v>248.66193174773525</v>
      </c>
      <c r="BJ83" s="62">
        <f t="shared" si="92"/>
        <v>249.61655682981151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13.958861073831404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4.0540752254351374E-3</v>
      </c>
      <c r="BS83" s="24">
        <f t="shared" si="63"/>
        <v>13.962915149056839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912</v>
      </c>
      <c r="BW83" s="13">
        <f>VLOOKUP(A83,'Données projet'!$A$113:$I$133,9,0)</f>
        <v>18.2</v>
      </c>
      <c r="BX83" s="13">
        <f t="array" ref="BX83">INDEX(BW:BW,MIN(IF(ISNUMBER(BW83:BW279),ROW(BW83:BW279),"")))</f>
        <v>18.2</v>
      </c>
      <c r="BY83" s="13">
        <f>IF('Données projet'!$A$114&gt;35,BY82+BX83-CG82,IF(A83&lt;'Données projet'!$A$114,$BV$205^A83,IF(A83='Données projet'!$A$114,'Données projet'!$B$114,BY82+BX83-CG82)))</f>
        <v>912.00000000000023</v>
      </c>
      <c r="BZ83" s="14">
        <f>BY83*VLOOKUP('Données projet'!$B$12,Paramètres!$A$1:$I$88,3,0)*VLOOKUP('Données projet'!$B$12,Paramètres!$A$1:$I$88,5,0)</f>
        <v>367.53600000000012</v>
      </c>
      <c r="CA83" s="14">
        <f t="shared" si="93"/>
        <v>85.163017854073644</v>
      </c>
      <c r="CB83" s="22">
        <f t="shared" si="64"/>
        <v>788.45078942917837</v>
      </c>
      <c r="CC83" s="62">
        <f t="shared" si="65"/>
        <v>1059.1794010678645</v>
      </c>
      <c r="CD83" s="62">
        <f ca="1">AVERAGE(OFFSET($CC$3,0,0,'Données projet'!$E$12+1,1))-AVERAGE(OFFSET($H$3,0,0,'Données projet'!$E$12+1,1))</f>
        <v>432.59662347701629</v>
      </c>
      <c r="CE83" s="62">
        <f t="shared" si="94"/>
        <v>348.67401091099748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52</v>
      </c>
      <c r="CH83" s="17">
        <f>IF(ISNA(VLOOKUP(A83,'Données projet'!$A$113:$I$133,5,0)),0%,VLOOKUP(A83,'Données projet'!$A$113:$I$133,5,0)*VLOOKUP('Données projet'!$B$12,Paramètres!$A$1:$I$88,7,0))</f>
        <v>0.35750000000000004</v>
      </c>
      <c r="CI83" s="17">
        <f>IF(ISNA(VLOOKUP(A83,'Données projet'!$A$113:$I$133,6,0)),0%,VLOOKUP(A83,'Données projet'!$A$113:$I$133,6,0)*VLOOKUP('Données projet'!$B$12,Paramètres!$A$1:$I$88,7,0))</f>
        <v>0.1925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62.87995298237383</v>
      </c>
      <c r="CL83" s="23">
        <f>EXP(-LN(2)/25)*CL82+(1-EXP(-LN(2)/25))/(LN(2)/25)*Calculateur!CG83*Calculateur!CI83*VLOOKUP('Données projet'!$B$12,Paramètres!$A$1:$I$88,3,0)*0.475*44/12</f>
        <v>69.53134402059257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132.41129700296639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1135</v>
      </c>
      <c r="CR83" s="13">
        <f>VLOOKUP(A83,'Données projet'!$A$139:$I$159,9,0)</f>
        <v>12.8</v>
      </c>
      <c r="CS83" s="13">
        <f t="array" ref="CS83">INDEX(CR:CR,MIN(IF(ISNUMBER(CR83:CR279),ROW(CR83:CR279),"")))</f>
        <v>12.8</v>
      </c>
      <c r="CT83" s="13">
        <f>IF('Données projet'!$A$140&gt;35,CT82+CS83-DB82,IF(A83&lt;'Données projet'!$A$140,$CQ$205^A83,IF(A83='Données projet'!$A$140,'Données projet'!$B$140,CT82+CS83-DB82)))</f>
        <v>1134.9999999999998</v>
      </c>
      <c r="CU83" s="18">
        <f>CT83*VLOOKUP('Données projet'!$B$13,Paramètres!$A$1:$I$88,3,0)*VLOOKUP('Données projet'!$B$13,Paramètres!$A$1:$I$88,5,0)</f>
        <v>501.67</v>
      </c>
      <c r="CV83" s="14">
        <f t="shared" si="95"/>
        <v>112.10927016662033</v>
      </c>
      <c r="CW83" s="22">
        <f t="shared" si="67"/>
        <v>1068.9988955401971</v>
      </c>
      <c r="CX83" s="62">
        <f t="shared" si="68"/>
        <v>1339.7275071788831</v>
      </c>
      <c r="CY83" s="62">
        <f ca="1">AVERAGE(OFFSET($CX$3,0,0,'Données projet'!$E$13+1,1))-AVERAGE(OFFSET($H$3,0,0,'Données projet'!$E$13+1,1))</f>
        <v>582.26951914082088</v>
      </c>
      <c r="CZ83" s="62">
        <f t="shared" si="96"/>
        <v>434.80429932654715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35</v>
      </c>
      <c r="DC83" s="17">
        <f>IF(ISNA(VLOOKUP(A83,'Données projet'!$A$139:$I$159,5,0)),0%,VLOOKUP(A83,'Données projet'!$A$139:$I$159,5,0)*VLOOKUP('Données projet'!$B$13,Paramètres!$A$1:$I$88,7,0))</f>
        <v>0.38500000000000001</v>
      </c>
      <c r="DD83" s="17">
        <f>IF(ISNA(VLOOKUP(A83,'Données projet'!$A$139:$I$159,6,0)),0%,VLOOKUP(A83,'Données projet'!$A$139:$I$159,6,0)*VLOOKUP('Données projet'!$B$13,Paramètres!$A$1:$I$88,7,0))</f>
        <v>0.16500000000000001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63.3602680981558</v>
      </c>
      <c r="DG83" s="23">
        <f>EXP(-LN(2)/25)*DG82+(1-EXP(-LN(2)/25))/(LN(2)/25)*Calculateur!DB83*Calculateur!DD83*VLOOKUP('Données projet'!$B$13,Paramètres!$A$1:$I$88,3,0)*0.475*44/12</f>
        <v>62.47932482385815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125.83959292201395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498.99999999999955</v>
      </c>
      <c r="DP83" s="18">
        <f>DO83*VLOOKUP('Données projet'!$B$14,Paramètres!$A$1:$I$88,3,0)*VLOOKUP('Données projet'!$B$14,Paramètres!$A$1:$I$88,5,0)</f>
        <v>240.01899999999978</v>
      </c>
      <c r="DQ83" s="14">
        <f t="shared" si="97"/>
        <v>58.443618405936313</v>
      </c>
      <c r="DR83" s="22">
        <f t="shared" si="70"/>
        <v>519.82239372367201</v>
      </c>
      <c r="DS83" s="62">
        <f t="shared" si="71"/>
        <v>790.55100536235818</v>
      </c>
      <c r="DT83" s="62">
        <f ca="1">AVERAGE(OFFSET($DS$3,0,0,'Données projet'!$E$14+1,1))-AVERAGE(OFFSET($H$3,0,0,'Données projet'!$E$14+1,1))</f>
        <v>273.24375559399846</v>
      </c>
      <c r="DU83" s="62">
        <f t="shared" si="98"/>
        <v>270.77718895097848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projet'!$B$14,Paramètres!$A$1:$I$88,3,0)*0.475*44/12</f>
        <v>32.355224800372874</v>
      </c>
      <c r="EB83" s="23">
        <f>EXP(-LN(2)/25)*EB82+(1-EXP(-LN(2)/25))/(LN(2)/25)*Calculateur!DW83*Calculateur!DY83*VLOOKUP('Données projet'!$B$14,Paramètres!$A$1:$I$88,3,0)*0.475*44/12</f>
        <v>30.473249939872264</v>
      </c>
      <c r="EC83" s="23">
        <f>EXP(-LN(2)/2)*EC82+(1-EXP(-LN(2)/2))/(LN(2)/2)*DW83*DZ83*VLOOKUP('Données projet'!$B$14,Paramètres!$A$1:$I$88,3,0)*0.475*44/12</f>
        <v>0</v>
      </c>
      <c r="ED83" s="24">
        <f t="shared" si="72"/>
        <v>62.828474740245142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498.99999999999955</v>
      </c>
      <c r="EK83" s="18">
        <f>EJ83*VLOOKUP('Données projet'!$B$15,Paramètres!$A$1:$I$88,3,0)*VLOOKUP('Données projet'!$B$15,Paramètres!$A$1:$I$88,5,0)</f>
        <v>233.53199999999975</v>
      </c>
      <c r="EL83" s="14">
        <f t="shared" si="99"/>
        <v>57.04570382109803</v>
      </c>
      <c r="EM83" s="22">
        <f t="shared" si="73"/>
        <v>506.08950082174533</v>
      </c>
      <c r="EN83" s="62">
        <f t="shared" si="74"/>
        <v>776.81811246043139</v>
      </c>
      <c r="EO83" s="62">
        <f ca="1">AVERAGE(OFFSET($EN$3,0,0,'Données projet'!$E$15+1,1))-AVERAGE(OFFSET($H$3,0,0,'Données projet'!$E$15+1,1))</f>
        <v>267.26203506406682</v>
      </c>
      <c r="EP83" s="62">
        <f t="shared" si="100"/>
        <v>265.10857635664843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projet'!$B$15,Paramètres!$A$1:$I$88,3,0)*0.475*44/12</f>
        <v>31.48075926522765</v>
      </c>
      <c r="EW83" s="23">
        <f>EXP(-LN(2)/25)*EW82+(1-EXP(-LN(2)/25))/(LN(2)/25)*Calculateur!ER83*Calculateur!ET83*VLOOKUP('Données projet'!$B$15,Paramètres!$A$1:$I$88,3,0)*0.475*44/12</f>
        <v>29.649648590145986</v>
      </c>
      <c r="EX83" s="23">
        <f>EXP(-LN(2)/2)*EX82+(1-EXP(-LN(2)/2))/(LN(2)/2)*ER83*EU83*VLOOKUP('Données projet'!$B$15,Paramètres!$A$1:$I$88,3,0)*0.475*44/12</f>
        <v>0</v>
      </c>
      <c r="EY83" s="24">
        <f t="shared" si="75"/>
        <v>61.130407855373633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231</v>
      </c>
      <c r="FF83" s="18">
        <f>FE83*VLOOKUP('Données projet'!$B$16,Paramètres!$A$1:$I$88,3,0)*VLOOKUP('Données projet'!$B$16,Paramètres!$A$1:$I$88,5,0)</f>
        <v>169.36920000000001</v>
      </c>
      <c r="FG83" s="14">
        <f t="shared" si="101"/>
        <v>42.948714817158674</v>
      </c>
      <c r="FH83" s="22">
        <f t="shared" si="76"/>
        <v>369.787034973218</v>
      </c>
      <c r="FI83" s="62">
        <f t="shared" si="77"/>
        <v>640.51564661190412</v>
      </c>
      <c r="FJ83" s="62">
        <f ca="1">AVERAGE(OFFSET($FI$3,0,0,'Données projet'!$E$16+1,1))-AVERAGE(OFFSET($H$3,0,0,'Données projet'!$E$16+1,1))</f>
        <v>207.66160354686221</v>
      </c>
      <c r="FK83" s="62">
        <f t="shared" si="102"/>
        <v>260.45879589483525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projet'!$B$16,Paramètres!$A$1:$I$88,3,0)*0.475*44/12</f>
        <v>1.9232455412439198</v>
      </c>
      <c r="FR83" s="23">
        <f>EXP(-LN(2)/25)*FR82+(1-EXP(-LN(2)/25))/(LN(2)/25)*Calculateur!FM83*Calculateur!FO83*VLOOKUP('Données projet'!$B$16,Paramètres!$A$1:$I$88,3,0)*0.475*44/12</f>
        <v>0</v>
      </c>
      <c r="FS83" s="23">
        <f>EXP(-LN(2)/2)*FS82+(1-EXP(-LN(2)/2))/(LN(2)/2)*FM83*FP83*VLOOKUP('Données projet'!$B$16,Paramètres!$A$1:$I$88,3,0)*0.475*44/12</f>
        <v>0</v>
      </c>
      <c r="FT83" s="24">
        <f t="shared" si="78"/>
        <v>1.9232455412439198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projet'!$B$9,Paramètres!$A$1:$I$88,3,0)*VLOOKUP('Données projet'!$B$9,Paramètres!$A$1:$I$88,5,0)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378.13552372917843</v>
      </c>
      <c r="T84" s="62">
        <f t="shared" si="88"/>
        <v>528.97123645404952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145.51116123608406</v>
      </c>
      <c r="AA84" s="23">
        <f>EXP(-LN(2)/25)*AA83+(1-EXP(-LN(2)/25))/(LN(2)/25)*Calculateur!V84*Calculateur!X84*VLOOKUP('Données projet'!$B$9,Paramètres!$A$1:$I$88,3,0)*0.475*44/12</f>
        <v>61.257001079813598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206.76816231589765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2.125</v>
      </c>
      <c r="AI84" s="14">
        <f>IF('Données projet'!$A$62&gt;35,AI83+AH84-AQ83,IF(A84&lt;'Données projet'!$A$62,$AF$205^A84,IF(A84='Données projet'!$A$62,'Données projet'!$B$62,AI83+AH84-AQ83)))</f>
        <v>259.5</v>
      </c>
      <c r="AJ84" s="14">
        <f>AI84*VLOOKUP('Données projet'!$B$10,Paramètres!$A$1:$I$88,3,0)*VLOOKUP('Données projet'!$B$10,Paramètres!$A$1:$I$88,5,0)</f>
        <v>234.79560000000001</v>
      </c>
      <c r="AK84" s="14">
        <f t="shared" si="89"/>
        <v>57.318353730704921</v>
      </c>
      <c r="AL84" s="22">
        <f t="shared" si="58"/>
        <v>508.7651360809777</v>
      </c>
      <c r="AM84" s="62">
        <f t="shared" si="59"/>
        <v>779.88588910447913</v>
      </c>
      <c r="AN84" s="62">
        <f ca="1">AVERAGE(OFFSET($AM$3,0,0,'Données projet'!$E$10+1,1))-AVERAGE(OFFSET($H$3,0,0,'Données projet'!$E$10+1,1))</f>
        <v>536.3707066106856</v>
      </c>
      <c r="AO84" s="62">
        <f t="shared" si="90"/>
        <v>217.6280015974086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13.108759802280844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13.108759802280844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302.3</v>
      </c>
      <c r="BE84" s="14">
        <f>BD84*VLOOKUP('Données projet'!$B$11,Paramètres!$A$1:$I$88,3,0)*VLOOKUP('Données projet'!$B$11,Paramètres!$A$1:$I$88,5,0)</f>
        <v>180.77540000000005</v>
      </c>
      <c r="BF84" s="14">
        <f t="shared" si="91"/>
        <v>45.494655198846154</v>
      </c>
      <c r="BG84" s="22">
        <f t="shared" si="61"/>
        <v>394.08701280465715</v>
      </c>
      <c r="BH84" s="62">
        <f t="shared" si="62"/>
        <v>665.20776582815859</v>
      </c>
      <c r="BI84" s="62">
        <f ca="1">AVERAGE(OFFSET($BH$3,0,0,'Données projet'!$E$11+1,1))-AVERAGE(OFFSET($H$3,0,0,'Données projet'!$E$11+1,1))</f>
        <v>248.66193174773525</v>
      </c>
      <c r="BJ84" s="62">
        <f t="shared" si="92"/>
        <v>249.61655682981151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13.685136322238131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2.8666640833455671E-3</v>
      </c>
      <c r="BS84" s="24">
        <f t="shared" si="63"/>
        <v>13.688002986321477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860.00000000000023</v>
      </c>
      <c r="BZ84" s="14">
        <f>BY84*VLOOKUP('Données projet'!$B$12,Paramètres!$A$1:$I$88,3,0)*VLOOKUP('Données projet'!$B$12,Paramètres!$A$1:$I$88,5,0)</f>
        <v>346.5800000000001</v>
      </c>
      <c r="CA84" s="14">
        <f t="shared" si="93"/>
        <v>80.857895771535127</v>
      </c>
      <c r="CB84" s="22">
        <f t="shared" si="64"/>
        <v>744.45433513542378</v>
      </c>
      <c r="CC84" s="62">
        <f t="shared" si="65"/>
        <v>1015.5750881589252</v>
      </c>
      <c r="CD84" s="62">
        <f ca="1">AVERAGE(OFFSET($CC$3,0,0,'Données projet'!$E$12+1,1))-AVERAGE(OFFSET($H$3,0,0,'Données projet'!$E$12+1,1))</f>
        <v>432.59662347701629</v>
      </c>
      <c r="CE84" s="62">
        <f t="shared" si="94"/>
        <v>348.67401091099748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61.646915457373758</v>
      </c>
      <c r="CL84" s="23">
        <f>EXP(-LN(2)/25)*CL83+(1-EXP(-LN(2)/25))/(LN(2)/25)*Calculateur!CG84*Calculateur!CI84*VLOOKUP('Données projet'!$B$12,Paramètres!$A$1:$I$88,3,0)*0.475*44/12</f>
        <v>67.630005761855003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129.27692121922877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1099.9999999999998</v>
      </c>
      <c r="CU84" s="18">
        <f>CT84*VLOOKUP('Données projet'!$B$13,Paramètres!$A$1:$I$88,3,0)*VLOOKUP('Données projet'!$B$13,Paramètres!$A$1:$I$88,5,0)</f>
        <v>486.19999999999993</v>
      </c>
      <c r="CV84" s="14">
        <f t="shared" si="95"/>
        <v>109.0490179035375</v>
      </c>
      <c r="CW84" s="22">
        <f t="shared" si="67"/>
        <v>1036.725372848661</v>
      </c>
      <c r="CX84" s="62">
        <f t="shared" si="68"/>
        <v>1307.8461258721625</v>
      </c>
      <c r="CY84" s="62">
        <f ca="1">AVERAGE(OFFSET($CX$3,0,0,'Données projet'!$E$13+1,1))-AVERAGE(OFFSET($H$3,0,0,'Données projet'!$E$13+1,1))</f>
        <v>582.26951914082088</v>
      </c>
      <c r="CZ84" s="62">
        <f t="shared" si="96"/>
        <v>434.80429932654715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62.117811886698533</v>
      </c>
      <c r="DG84" s="23">
        <f>EXP(-LN(2)/25)*DG83+(1-EXP(-LN(2)/25))/(LN(2)/25)*Calculateur!DB84*Calculateur!DD84*VLOOKUP('Données projet'!$B$13,Paramètres!$A$1:$I$88,3,0)*0.475*44/12</f>
        <v>60.770824400904857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122.88863628760339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498.99999999999955</v>
      </c>
      <c r="DP84" s="18">
        <f>DO84*VLOOKUP('Données projet'!$B$14,Paramètres!$A$1:$I$88,3,0)*VLOOKUP('Données projet'!$B$14,Paramètres!$A$1:$I$88,5,0)</f>
        <v>240.01899999999978</v>
      </c>
      <c r="DQ84" s="14">
        <f t="shared" si="97"/>
        <v>58.443618405936313</v>
      </c>
      <c r="DR84" s="22">
        <f t="shared" si="70"/>
        <v>519.82239372367201</v>
      </c>
      <c r="DS84" s="62">
        <f t="shared" si="71"/>
        <v>790.94314674717339</v>
      </c>
      <c r="DT84" s="62">
        <f ca="1">AVERAGE(OFFSET($DS$3,0,0,'Données projet'!$E$14+1,1))-AVERAGE(OFFSET($H$3,0,0,'Données projet'!$E$14+1,1))</f>
        <v>273.24375559399846</v>
      </c>
      <c r="DU84" s="62">
        <f t="shared" si="98"/>
        <v>270.77718895097848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projet'!$B$14,Paramètres!$A$1:$I$88,3,0)*0.475*44/12</f>
        <v>31.720758576776046</v>
      </c>
      <c r="EB84" s="23">
        <f>EXP(-LN(2)/25)*EB83+(1-EXP(-LN(2)/25))/(LN(2)/25)*Calculateur!DW84*Calculateur!DY84*VLOOKUP('Données projet'!$B$14,Paramètres!$A$1:$I$88,3,0)*0.475*44/12</f>
        <v>29.639957317747889</v>
      </c>
      <c r="EC84" s="23">
        <f>EXP(-LN(2)/2)*EC83+(1-EXP(-LN(2)/2))/(LN(2)/2)*DW84*DZ84*VLOOKUP('Données projet'!$B$14,Paramètres!$A$1:$I$88,3,0)*0.475*44/12</f>
        <v>0</v>
      </c>
      <c r="ED84" s="24">
        <f t="shared" si="72"/>
        <v>61.360715894523935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498.99999999999955</v>
      </c>
      <c r="EK84" s="18">
        <f>EJ84*VLOOKUP('Données projet'!$B$15,Paramètres!$A$1:$I$88,3,0)*VLOOKUP('Données projet'!$B$15,Paramètres!$A$1:$I$88,5,0)</f>
        <v>233.53199999999975</v>
      </c>
      <c r="EL84" s="14">
        <f t="shared" si="99"/>
        <v>57.04570382109803</v>
      </c>
      <c r="EM84" s="22">
        <f t="shared" si="73"/>
        <v>506.08950082174533</v>
      </c>
      <c r="EN84" s="62">
        <f t="shared" si="74"/>
        <v>777.21025384524683</v>
      </c>
      <c r="EO84" s="62">
        <f ca="1">AVERAGE(OFFSET($EN$3,0,0,'Données projet'!$E$15+1,1))-AVERAGE(OFFSET($H$3,0,0,'Données projet'!$E$15+1,1))</f>
        <v>267.26203506406682</v>
      </c>
      <c r="EP84" s="62">
        <f t="shared" si="100"/>
        <v>265.10857635664843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projet'!$B$15,Paramètres!$A$1:$I$88,3,0)*0.475*44/12</f>
        <v>30.86344077740371</v>
      </c>
      <c r="EW84" s="23">
        <f>EXP(-LN(2)/25)*EW83+(1-EXP(-LN(2)/25))/(LN(2)/25)*Calculateur!ER84*Calculateur!ET84*VLOOKUP('Données projet'!$B$15,Paramètres!$A$1:$I$88,3,0)*0.475*44/12</f>
        <v>28.838877390241191</v>
      </c>
      <c r="EX84" s="23">
        <f>EXP(-LN(2)/2)*EX83+(1-EXP(-LN(2)/2))/(LN(2)/2)*ER84*EU84*VLOOKUP('Données projet'!$B$15,Paramètres!$A$1:$I$88,3,0)*0.475*44/12</f>
        <v>0</v>
      </c>
      <c r="EY84" s="24">
        <f t="shared" si="75"/>
        <v>59.702318167644904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231</v>
      </c>
      <c r="FF84" s="18">
        <f>FE84*VLOOKUP('Données projet'!$B$16,Paramètres!$A$1:$I$88,3,0)*VLOOKUP('Données projet'!$B$16,Paramètres!$A$1:$I$88,5,0)</f>
        <v>169.36920000000001</v>
      </c>
      <c r="FG84" s="14">
        <f t="shared" si="101"/>
        <v>42.948714817158674</v>
      </c>
      <c r="FH84" s="22">
        <f t="shared" si="76"/>
        <v>369.787034973218</v>
      </c>
      <c r="FI84" s="62">
        <f t="shared" si="77"/>
        <v>640.90778799671943</v>
      </c>
      <c r="FJ84" s="62">
        <f ca="1">AVERAGE(OFFSET($FI$3,0,0,'Données projet'!$E$16+1,1))-AVERAGE(OFFSET($H$3,0,0,'Données projet'!$E$16+1,1))</f>
        <v>207.66160354686221</v>
      </c>
      <c r="FK84" s="62">
        <f t="shared" si="102"/>
        <v>260.45879589483525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projet'!$B$16,Paramètres!$A$1:$I$88,3,0)*0.475*44/12</f>
        <v>1.8855318692440761</v>
      </c>
      <c r="FR84" s="23">
        <f>EXP(-LN(2)/25)*FR83+(1-EXP(-LN(2)/25))/(LN(2)/25)*Calculateur!FM84*Calculateur!FO84*VLOOKUP('Données projet'!$B$16,Paramètres!$A$1:$I$88,3,0)*0.475*44/12</f>
        <v>0</v>
      </c>
      <c r="FS84" s="23">
        <f>EXP(-LN(2)/2)*FS83+(1-EXP(-LN(2)/2))/(LN(2)/2)*FM84*FP84*VLOOKUP('Données projet'!$B$16,Paramètres!$A$1:$I$88,3,0)*0.475*44/12</f>
        <v>0</v>
      </c>
      <c r="FT84" s="24">
        <f t="shared" si="78"/>
        <v>1.8855318692440761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projet'!$B$9,Paramètres!$A$1:$I$88,3,0)*VLOOKUP('Données projet'!$B$9,Paramètres!$A$1:$I$88,5,0)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378.13552372917843</v>
      </c>
      <c r="T85" s="62">
        <f t="shared" si="88"/>
        <v>528.97123645404952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142.65777611728919</v>
      </c>
      <c r="AA85" s="23">
        <f>EXP(-LN(2)/25)*AA84+(1-EXP(-LN(2)/25))/(LN(2)/25)*Calculateur!V85*Calculateur!X85*VLOOKUP('Données projet'!$B$9,Paramètres!$A$1:$I$88,3,0)*0.475*44/12</f>
        <v>59.581925163920417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202.23970128120959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2.125</v>
      </c>
      <c r="AI85" s="14">
        <f>IF('Données projet'!$A$62&gt;35,AI84+AH85-AQ84,IF(A85&lt;'Données projet'!$A$62,$AF$205^A85,IF(A85='Données projet'!$A$62,'Données projet'!$B$62,AI84+AH85-AQ84)))</f>
        <v>261.625</v>
      </c>
      <c r="AJ85" s="14">
        <f>AI85*VLOOKUP('Données projet'!$B$10,Paramètres!$A$1:$I$88,3,0)*VLOOKUP('Données projet'!$B$10,Paramètres!$A$1:$I$88,5,0)</f>
        <v>236.71829999999997</v>
      </c>
      <c r="AK85" s="14">
        <f t="shared" si="89"/>
        <v>57.732891958555236</v>
      </c>
      <c r="AL85" s="22">
        <f t="shared" si="58"/>
        <v>512.83582599448357</v>
      </c>
      <c r="AM85" s="62">
        <f t="shared" si="59"/>
        <v>784.3419176264706</v>
      </c>
      <c r="AN85" s="62">
        <f ca="1">AVERAGE(OFFSET($AM$3,0,0,'Données projet'!$E$10+1,1))-AVERAGE(OFFSET($H$3,0,0,'Données projet'!$E$10+1,1))</f>
        <v>536.3707066106856</v>
      </c>
      <c r="AO85" s="62">
        <f t="shared" si="90"/>
        <v>217.6280015974086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12.851705018112101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12.851705018112101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302.3</v>
      </c>
      <c r="BE85" s="14">
        <f>BD85*VLOOKUP('Données projet'!$B$11,Paramètres!$A$1:$I$88,3,0)*VLOOKUP('Données projet'!$B$11,Paramètres!$A$1:$I$88,5,0)</f>
        <v>180.77540000000005</v>
      </c>
      <c r="BF85" s="14">
        <f t="shared" si="91"/>
        <v>45.494655198846154</v>
      </c>
      <c r="BG85" s="22">
        <f t="shared" si="61"/>
        <v>394.08701280465715</v>
      </c>
      <c r="BH85" s="62">
        <f t="shared" si="62"/>
        <v>665.59310443664413</v>
      </c>
      <c r="BI85" s="62">
        <f ca="1">AVERAGE(OFFSET($BH$3,0,0,'Données projet'!$E$11+1,1))-AVERAGE(OFFSET($H$3,0,0,'Données projet'!$E$11+1,1))</f>
        <v>248.66193174773525</v>
      </c>
      <c r="BJ85" s="62">
        <f t="shared" si="92"/>
        <v>249.61655682981151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13.41677914606799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2.0270376127175687E-3</v>
      </c>
      <c r="BS85" s="24">
        <f t="shared" si="63"/>
        <v>13.418806183680708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860.00000000000023</v>
      </c>
      <c r="BZ85" s="14">
        <f>BY85*VLOOKUP('Données projet'!$B$12,Paramètres!$A$1:$I$88,3,0)*VLOOKUP('Données projet'!$B$12,Paramètres!$A$1:$I$88,5,0)</f>
        <v>346.5800000000001</v>
      </c>
      <c r="CA85" s="14">
        <f t="shared" si="93"/>
        <v>80.857895771535127</v>
      </c>
      <c r="CB85" s="22">
        <f t="shared" si="64"/>
        <v>744.45433513542378</v>
      </c>
      <c r="CC85" s="62">
        <f t="shared" si="65"/>
        <v>1015.9604267674108</v>
      </c>
      <c r="CD85" s="62">
        <f ca="1">AVERAGE(OFFSET($CC$3,0,0,'Données projet'!$E$12+1,1))-AVERAGE(OFFSET($H$3,0,0,'Données projet'!$E$12+1,1))</f>
        <v>432.59662347701629</v>
      </c>
      <c r="CE85" s="62">
        <f t="shared" si="94"/>
        <v>348.67401091099748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60.43805704616031</v>
      </c>
      <c r="CL85" s="23">
        <f>EXP(-LN(2)/25)*CL84+(1-EXP(-LN(2)/25))/(LN(2)/25)*Calculateur!CG85*Calculateur!CI85*VLOOKUP('Données projet'!$B$12,Paramètres!$A$1:$I$88,3,0)*0.475*44/12</f>
        <v>65.780659697789645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126.21871674394995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1099.9999999999998</v>
      </c>
      <c r="CU85" s="18">
        <f>CT85*VLOOKUP('Données projet'!$B$13,Paramètres!$A$1:$I$88,3,0)*VLOOKUP('Données projet'!$B$13,Paramètres!$A$1:$I$88,5,0)</f>
        <v>486.19999999999993</v>
      </c>
      <c r="CV85" s="14">
        <f t="shared" si="95"/>
        <v>109.0490179035375</v>
      </c>
      <c r="CW85" s="22">
        <f t="shared" si="67"/>
        <v>1036.725372848661</v>
      </c>
      <c r="CX85" s="62">
        <f t="shared" si="68"/>
        <v>1308.2314644806479</v>
      </c>
      <c r="CY85" s="62">
        <f ca="1">AVERAGE(OFFSET($CX$3,0,0,'Données projet'!$E$13+1,1))-AVERAGE(OFFSET($H$3,0,0,'Données projet'!$E$13+1,1))</f>
        <v>582.26951914082088</v>
      </c>
      <c r="CZ85" s="62">
        <f t="shared" si="96"/>
        <v>434.80429932654715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60.899719483724482</v>
      </c>
      <c r="DG85" s="23">
        <f>EXP(-LN(2)/25)*DG84+(1-EXP(-LN(2)/25))/(LN(2)/25)*Calculateur!DB85*Calculateur!DD85*VLOOKUP('Données projet'!$B$13,Paramètres!$A$1:$I$88,3,0)*0.475*44/12</f>
        <v>59.109043011863349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120.00876249558783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498.99999999999955</v>
      </c>
      <c r="DP85" s="18">
        <f>DO85*VLOOKUP('Données projet'!$B$14,Paramètres!$A$1:$I$88,3,0)*VLOOKUP('Données projet'!$B$14,Paramètres!$A$1:$I$88,5,0)</f>
        <v>240.01899999999978</v>
      </c>
      <c r="DQ85" s="14">
        <f t="shared" si="97"/>
        <v>58.443618405936313</v>
      </c>
      <c r="DR85" s="22">
        <f t="shared" si="70"/>
        <v>519.82239372367201</v>
      </c>
      <c r="DS85" s="62">
        <f t="shared" si="71"/>
        <v>791.32848535565904</v>
      </c>
      <c r="DT85" s="62">
        <f ca="1">AVERAGE(OFFSET($DS$3,0,0,'Données projet'!$E$14+1,1))-AVERAGE(OFFSET($H$3,0,0,'Données projet'!$E$14+1,1))</f>
        <v>273.24375559399846</v>
      </c>
      <c r="DU85" s="62">
        <f t="shared" si="98"/>
        <v>270.77718895097848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projet'!$B$14,Paramètres!$A$1:$I$88,3,0)*0.475*44/12</f>
        <v>31.098733848837767</v>
      </c>
      <c r="EB85" s="23">
        <f>EXP(-LN(2)/25)*EB84+(1-EXP(-LN(2)/25))/(LN(2)/25)*Calculateur!DW85*Calculateur!DY85*VLOOKUP('Données projet'!$B$14,Paramètres!$A$1:$I$88,3,0)*0.475*44/12</f>
        <v>28.82945112619646</v>
      </c>
      <c r="EC85" s="23">
        <f>EXP(-LN(2)/2)*EC84+(1-EXP(-LN(2)/2))/(LN(2)/2)*DW85*DZ85*VLOOKUP('Données projet'!$B$14,Paramètres!$A$1:$I$88,3,0)*0.475*44/12</f>
        <v>0</v>
      </c>
      <c r="ED85" s="24">
        <f t="shared" si="72"/>
        <v>59.928184975034227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498.99999999999955</v>
      </c>
      <c r="EK85" s="18">
        <f>EJ85*VLOOKUP('Données projet'!$B$15,Paramètres!$A$1:$I$88,3,0)*VLOOKUP('Données projet'!$B$15,Paramètres!$A$1:$I$88,5,0)</f>
        <v>233.53199999999975</v>
      </c>
      <c r="EL85" s="14">
        <f t="shared" si="99"/>
        <v>57.04570382109803</v>
      </c>
      <c r="EM85" s="22">
        <f t="shared" si="73"/>
        <v>506.08950082174533</v>
      </c>
      <c r="EN85" s="62">
        <f t="shared" si="74"/>
        <v>777.59559245373237</v>
      </c>
      <c r="EO85" s="62">
        <f ca="1">AVERAGE(OFFSET($EN$3,0,0,'Données projet'!$E$15+1,1))-AVERAGE(OFFSET($H$3,0,0,'Données projet'!$E$15+1,1))</f>
        <v>267.26203506406682</v>
      </c>
      <c r="EP85" s="62">
        <f t="shared" si="100"/>
        <v>265.10857635664843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projet'!$B$15,Paramètres!$A$1:$I$88,3,0)*0.475*44/12</f>
        <v>30.258227528598898</v>
      </c>
      <c r="EW85" s="23">
        <f>EXP(-LN(2)/25)*EW84+(1-EXP(-LN(2)/25))/(LN(2)/25)*Calculateur!ER85*Calculateur!ET85*VLOOKUP('Données projet'!$B$15,Paramètres!$A$1:$I$88,3,0)*0.475*44/12</f>
        <v>28.050276771434394</v>
      </c>
      <c r="EX85" s="23">
        <f>EXP(-LN(2)/2)*EX84+(1-EXP(-LN(2)/2))/(LN(2)/2)*ER85*EU85*VLOOKUP('Données projet'!$B$15,Paramètres!$A$1:$I$88,3,0)*0.475*44/12</f>
        <v>0</v>
      </c>
      <c r="EY85" s="24">
        <f t="shared" si="75"/>
        <v>58.308504300033292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231</v>
      </c>
      <c r="FF85" s="18">
        <f>FE85*VLOOKUP('Données projet'!$B$16,Paramètres!$A$1:$I$88,3,0)*VLOOKUP('Données projet'!$B$16,Paramètres!$A$1:$I$88,5,0)</f>
        <v>169.36920000000001</v>
      </c>
      <c r="FG85" s="14">
        <f t="shared" si="101"/>
        <v>42.948714817158674</v>
      </c>
      <c r="FH85" s="22">
        <f t="shared" si="76"/>
        <v>369.787034973218</v>
      </c>
      <c r="FI85" s="62">
        <f t="shared" si="77"/>
        <v>641.29312660520509</v>
      </c>
      <c r="FJ85" s="62">
        <f ca="1">AVERAGE(OFFSET($FI$3,0,0,'Données projet'!$E$16+1,1))-AVERAGE(OFFSET($H$3,0,0,'Données projet'!$E$16+1,1))</f>
        <v>207.66160354686221</v>
      </c>
      <c r="FK85" s="62">
        <f t="shared" si="102"/>
        <v>260.45879589483525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projet'!$B$16,Paramètres!$A$1:$I$88,3,0)*0.475*44/12</f>
        <v>1.8485577393490809</v>
      </c>
      <c r="FR85" s="23">
        <f>EXP(-LN(2)/25)*FR84+(1-EXP(-LN(2)/25))/(LN(2)/25)*Calculateur!FM85*Calculateur!FO85*VLOOKUP('Données projet'!$B$16,Paramètres!$A$1:$I$88,3,0)*0.475*44/12</f>
        <v>0</v>
      </c>
      <c r="FS85" s="23">
        <f>EXP(-LN(2)/2)*FS84+(1-EXP(-LN(2)/2))/(LN(2)/2)*FM85*FP85*VLOOKUP('Données projet'!$B$16,Paramètres!$A$1:$I$88,3,0)*0.475*44/12</f>
        <v>0</v>
      </c>
      <c r="FT85" s="24">
        <f t="shared" si="78"/>
        <v>1.8485577393490809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projet'!$B$9,Paramètres!$A$1:$I$88,3,0)*VLOOKUP('Données projet'!$B$9,Paramètres!$A$1:$I$88,5,0)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378.13552372917843</v>
      </c>
      <c r="T86" s="62">
        <f t="shared" si="88"/>
        <v>528.97123645404952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139.8603441402808</v>
      </c>
      <c r="AA86" s="23">
        <f>EXP(-LN(2)/25)*AA85+(1-EXP(-LN(2)/25))/(LN(2)/25)*Calculateur!V86*Calculateur!X86*VLOOKUP('Données projet'!$B$9,Paramètres!$A$1:$I$88,3,0)*0.475*44/12</f>
        <v>57.952654287035742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197.81299842731653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2.125</v>
      </c>
      <c r="AI86" s="14">
        <f>IF('Données projet'!$A$62&gt;35,AI85+AH86-AQ85,IF(A86&lt;'Données projet'!$A$62,$AF$205^A86,IF(A86='Données projet'!$A$62,'Données projet'!$B$62,AI85+AH86-AQ85)))</f>
        <v>263.75</v>
      </c>
      <c r="AJ86" s="14">
        <f>AI86*VLOOKUP('Données projet'!$B$10,Paramètres!$A$1:$I$88,3,0)*VLOOKUP('Données projet'!$B$10,Paramètres!$A$1:$I$88,5,0)</f>
        <v>238.64099999999999</v>
      </c>
      <c r="AK86" s="14">
        <f t="shared" si="89"/>
        <v>58.147038447209468</v>
      </c>
      <c r="AL86" s="22">
        <f t="shared" si="58"/>
        <v>516.90583362888981</v>
      </c>
      <c r="AM86" s="62">
        <f t="shared" si="59"/>
        <v>788.79057910599329</v>
      </c>
      <c r="AN86" s="62">
        <f ca="1">AVERAGE(OFFSET($AM$3,0,0,'Données projet'!$E$10+1,1))-AVERAGE(OFFSET($H$3,0,0,'Données projet'!$E$10+1,1))</f>
        <v>536.3707066106856</v>
      </c>
      <c r="AO86" s="62">
        <f t="shared" si="90"/>
        <v>217.6280015974086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12.59969092147297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12.59969092147297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302.3</v>
      </c>
      <c r="BE86" s="14">
        <f>BD86*VLOOKUP('Données projet'!$B$11,Paramètres!$A$1:$I$88,3,0)*VLOOKUP('Données projet'!$B$11,Paramètres!$A$1:$I$88,5,0)</f>
        <v>180.77540000000005</v>
      </c>
      <c r="BF86" s="14">
        <f t="shared" si="91"/>
        <v>45.494655198846154</v>
      </c>
      <c r="BG86" s="22">
        <f t="shared" si="61"/>
        <v>394.08701280465715</v>
      </c>
      <c r="BH86" s="62">
        <f t="shared" si="62"/>
        <v>665.97175828176069</v>
      </c>
      <c r="BI86" s="62">
        <f ca="1">AVERAGE(OFFSET($BH$3,0,0,'Données projet'!$E$11+1,1))-AVERAGE(OFFSET($H$3,0,0,'Données projet'!$E$11+1,1))</f>
        <v>248.66193174773525</v>
      </c>
      <c r="BJ86" s="62">
        <f t="shared" si="92"/>
        <v>249.61655682981151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13.153684290440829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1.4333320416727835E-3</v>
      </c>
      <c r="BS86" s="24">
        <f t="shared" si="63"/>
        <v>13.155117622482502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860.00000000000023</v>
      </c>
      <c r="BZ86" s="14">
        <f>BY86*VLOOKUP('Données projet'!$B$12,Paramètres!$A$1:$I$88,3,0)*VLOOKUP('Données projet'!$B$12,Paramètres!$A$1:$I$88,5,0)</f>
        <v>346.5800000000001</v>
      </c>
      <c r="CA86" s="14">
        <f t="shared" si="93"/>
        <v>80.857895771535127</v>
      </c>
      <c r="CB86" s="22">
        <f t="shared" si="64"/>
        <v>744.45433513542378</v>
      </c>
      <c r="CC86" s="62">
        <f t="shared" si="65"/>
        <v>1016.3390806125273</v>
      </c>
      <c r="CD86" s="62">
        <f ca="1">AVERAGE(OFFSET($CC$3,0,0,'Données projet'!$E$12+1,1))-AVERAGE(OFFSET($H$3,0,0,'Données projet'!$E$12+1,1))</f>
        <v>432.59662347701629</v>
      </c>
      <c r="CE86" s="62">
        <f t="shared" si="94"/>
        <v>348.67401091099748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59.252903611059928</v>
      </c>
      <c r="CL86" s="23">
        <f>EXP(-LN(2)/25)*CL85+(1-EXP(-LN(2)/25))/(LN(2)/25)*Calculateur!CG86*Calculateur!CI86*VLOOKUP('Données projet'!$B$12,Paramètres!$A$1:$I$88,3,0)*0.475*44/12</f>
        <v>63.981884099099034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123.23478771015897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1099.9999999999998</v>
      </c>
      <c r="CU86" s="18">
        <f>CT86*VLOOKUP('Données projet'!$B$13,Paramètres!$A$1:$I$88,3,0)*VLOOKUP('Données projet'!$B$13,Paramètres!$A$1:$I$88,5,0)</f>
        <v>486.19999999999993</v>
      </c>
      <c r="CV86" s="14">
        <f t="shared" si="95"/>
        <v>109.0490179035375</v>
      </c>
      <c r="CW86" s="22">
        <f t="shared" si="67"/>
        <v>1036.725372848661</v>
      </c>
      <c r="CX86" s="62">
        <f t="shared" si="68"/>
        <v>1308.6101183257645</v>
      </c>
      <c r="CY86" s="62">
        <f ca="1">AVERAGE(OFFSET($CX$3,0,0,'Données projet'!$E$13+1,1))-AVERAGE(OFFSET($H$3,0,0,'Données projet'!$E$13+1,1))</f>
        <v>582.26951914082088</v>
      </c>
      <c r="CZ86" s="62">
        <f t="shared" si="96"/>
        <v>434.80429932654715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59.705513129809752</v>
      </c>
      <c r="DG86" s="23">
        <f>EXP(-LN(2)/25)*DG85+(1-EXP(-LN(2)/25))/(LN(2)/25)*Calculateur!DB86*Calculateur!DD86*VLOOKUP('Données projet'!$B$13,Paramètres!$A$1:$I$88,3,0)*0.475*44/12</f>
        <v>57.492703122294472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117.19821625210423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498.99999999999955</v>
      </c>
      <c r="DP86" s="18">
        <f>DO86*VLOOKUP('Données projet'!$B$14,Paramètres!$A$1:$I$88,3,0)*VLOOKUP('Données projet'!$B$14,Paramètres!$A$1:$I$88,5,0)</f>
        <v>240.01899999999978</v>
      </c>
      <c r="DQ86" s="14">
        <f t="shared" si="97"/>
        <v>58.443618405936313</v>
      </c>
      <c r="DR86" s="22">
        <f t="shared" si="70"/>
        <v>519.82239372367201</v>
      </c>
      <c r="DS86" s="62">
        <f t="shared" si="71"/>
        <v>791.70713920077549</v>
      </c>
      <c r="DT86" s="62">
        <f ca="1">AVERAGE(OFFSET($DS$3,0,0,'Données projet'!$E$14+1,1))-AVERAGE(OFFSET($H$3,0,0,'Données projet'!$E$14+1,1))</f>
        <v>273.24375559399846</v>
      </c>
      <c r="DU86" s="62">
        <f t="shared" si="98"/>
        <v>270.77718895097848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projet'!$B$14,Paramètres!$A$1:$I$88,3,0)*0.475*44/12</f>
        <v>30.488906646416737</v>
      </c>
      <c r="EB86" s="23">
        <f>EXP(-LN(2)/25)*EB85+(1-EXP(-LN(2)/25))/(LN(2)/25)*Calculateur!DW86*Calculateur!DY86*VLOOKUP('Données projet'!$B$14,Paramètres!$A$1:$I$88,3,0)*0.475*44/12</f>
        <v>28.041108269075675</v>
      </c>
      <c r="EC86" s="23">
        <f>EXP(-LN(2)/2)*EC85+(1-EXP(-LN(2)/2))/(LN(2)/2)*DW86*DZ86*VLOOKUP('Données projet'!$B$14,Paramètres!$A$1:$I$88,3,0)*0.475*44/12</f>
        <v>0</v>
      </c>
      <c r="ED86" s="24">
        <f t="shared" si="72"/>
        <v>58.530014915492416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498.99999999999955</v>
      </c>
      <c r="EK86" s="18">
        <f>EJ86*VLOOKUP('Données projet'!$B$15,Paramètres!$A$1:$I$88,3,0)*VLOOKUP('Données projet'!$B$15,Paramètres!$A$1:$I$88,5,0)</f>
        <v>233.53199999999975</v>
      </c>
      <c r="EL86" s="14">
        <f t="shared" si="99"/>
        <v>57.04570382109803</v>
      </c>
      <c r="EM86" s="22">
        <f t="shared" si="73"/>
        <v>506.08950082174533</v>
      </c>
      <c r="EN86" s="62">
        <f t="shared" si="74"/>
        <v>777.97424629884881</v>
      </c>
      <c r="EO86" s="62">
        <f ca="1">AVERAGE(OFFSET($EN$3,0,0,'Données projet'!$E$15+1,1))-AVERAGE(OFFSET($H$3,0,0,'Données projet'!$E$15+1,1))</f>
        <v>267.26203506406682</v>
      </c>
      <c r="EP86" s="62">
        <f t="shared" si="100"/>
        <v>265.10857635664843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projet'!$B$15,Paramètres!$A$1:$I$88,3,0)*0.475*44/12</f>
        <v>29.664882142459518</v>
      </c>
      <c r="EW86" s="23">
        <f>EXP(-LN(2)/25)*EW85+(1-EXP(-LN(2)/25))/(LN(2)/25)*Calculateur!ER86*Calculateur!ET86*VLOOKUP('Données projet'!$B$15,Paramètres!$A$1:$I$88,3,0)*0.475*44/12</f>
        <v>27.283240478019575</v>
      </c>
      <c r="EX86" s="23">
        <f>EXP(-LN(2)/2)*EX85+(1-EXP(-LN(2)/2))/(LN(2)/2)*ER86*EU86*VLOOKUP('Données projet'!$B$15,Paramètres!$A$1:$I$88,3,0)*0.475*44/12</f>
        <v>0</v>
      </c>
      <c r="EY86" s="24">
        <f t="shared" si="75"/>
        <v>56.948122620479097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231</v>
      </c>
      <c r="FF86" s="18">
        <f>FE86*VLOOKUP('Données projet'!$B$16,Paramètres!$A$1:$I$88,3,0)*VLOOKUP('Données projet'!$B$16,Paramètres!$A$1:$I$88,5,0)</f>
        <v>169.36920000000001</v>
      </c>
      <c r="FG86" s="14">
        <f t="shared" si="101"/>
        <v>42.948714817158674</v>
      </c>
      <c r="FH86" s="22">
        <f t="shared" si="76"/>
        <v>369.787034973218</v>
      </c>
      <c r="FI86" s="62">
        <f t="shared" si="77"/>
        <v>641.67178045032142</v>
      </c>
      <c r="FJ86" s="62">
        <f ca="1">AVERAGE(OFFSET($FI$3,0,0,'Données projet'!$E$16+1,1))-AVERAGE(OFFSET($H$3,0,0,'Données projet'!$E$16+1,1))</f>
        <v>207.66160354686221</v>
      </c>
      <c r="FK86" s="62">
        <f t="shared" si="102"/>
        <v>260.45879589483525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projet'!$B$16,Paramètres!$A$1:$I$88,3,0)*0.475*44/12</f>
        <v>1.8123086495893341</v>
      </c>
      <c r="FR86" s="23">
        <f>EXP(-LN(2)/25)*FR85+(1-EXP(-LN(2)/25))/(LN(2)/25)*Calculateur!FM86*Calculateur!FO86*VLOOKUP('Données projet'!$B$16,Paramètres!$A$1:$I$88,3,0)*0.475*44/12</f>
        <v>0</v>
      </c>
      <c r="FS86" s="23">
        <f>EXP(-LN(2)/2)*FS85+(1-EXP(-LN(2)/2))/(LN(2)/2)*FM86*FP86*VLOOKUP('Données projet'!$B$16,Paramètres!$A$1:$I$88,3,0)*0.475*44/12</f>
        <v>0</v>
      </c>
      <c r="FT86" s="24">
        <f t="shared" si="78"/>
        <v>1.8123086495893341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projet'!$B$9,Paramètres!$A$1:$I$88,3,0)*VLOOKUP('Données projet'!$B$9,Paramètres!$A$1:$I$88,5,0)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378.13552372917843</v>
      </c>
      <c r="T87" s="62">
        <f t="shared" si="88"/>
        <v>528.97123645404952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137.11776809807651</v>
      </c>
      <c r="AA87" s="23">
        <f>EXP(-LN(2)/25)*AA86+(1-EXP(-LN(2)/25))/(LN(2)/25)*Calculateur!V87*Calculateur!X87*VLOOKUP('Données projet'!$B$9,Paramètres!$A$1:$I$88,3,0)*0.475*44/12</f>
        <v>56.367935907959115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193.48570400603563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2.125</v>
      </c>
      <c r="AI87" s="14">
        <f>IF('Données projet'!$A$62&gt;35,AI86+AH87-AQ86,IF(A87&lt;'Données projet'!$A$62,$AF$205^A87,IF(A87='Données projet'!$A$62,'Données projet'!$B$62,AI86+AH87-AQ86)))</f>
        <v>265.875</v>
      </c>
      <c r="AJ87" s="14">
        <f>AI87*VLOOKUP('Données projet'!$B$10,Paramètres!$A$1:$I$88,3,0)*VLOOKUP('Données projet'!$B$10,Paramètres!$A$1:$I$88,5,0)</f>
        <v>240.56369999999998</v>
      </c>
      <c r="AK87" s="14">
        <f t="shared" si="89"/>
        <v>58.560796718665706</v>
      </c>
      <c r="AL87" s="22">
        <f t="shared" si="58"/>
        <v>520.97516511834272</v>
      </c>
      <c r="AM87" s="62">
        <f t="shared" si="59"/>
        <v>793.23199564289303</v>
      </c>
      <c r="AN87" s="62">
        <f ca="1">AVERAGE(OFFSET($AM$3,0,0,'Données projet'!$E$10+1,1))-AVERAGE(OFFSET($H$3,0,0,'Données projet'!$E$10+1,1))</f>
        <v>536.3707066106856</v>
      </c>
      <c r="AO87" s="62">
        <f t="shared" si="90"/>
        <v>217.6280015974086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12.352618667555511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12.352618667555511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302.3</v>
      </c>
      <c r="BE87" s="14">
        <f>BD87*VLOOKUP('Données projet'!$B$11,Paramètres!$A$1:$I$88,3,0)*VLOOKUP('Données projet'!$B$11,Paramètres!$A$1:$I$88,5,0)</f>
        <v>180.77540000000005</v>
      </c>
      <c r="BF87" s="14">
        <f t="shared" si="91"/>
        <v>45.494655198846154</v>
      </c>
      <c r="BG87" s="22">
        <f t="shared" si="61"/>
        <v>394.08701280465715</v>
      </c>
      <c r="BH87" s="62">
        <f t="shared" si="62"/>
        <v>666.3438433292074</v>
      </c>
      <c r="BI87" s="62">
        <f ca="1">AVERAGE(OFFSET($BH$3,0,0,'Données projet'!$E$11+1,1))-AVERAGE(OFFSET($H$3,0,0,'Données projet'!$E$11+1,1))</f>
        <v>248.66193174773525</v>
      </c>
      <c r="BJ87" s="62">
        <f t="shared" si="92"/>
        <v>249.61655682981151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12.895748564460501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1.0135188063587844E-3</v>
      </c>
      <c r="BS87" s="24">
        <f t="shared" si="63"/>
        <v>12.896762083266859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860.00000000000023</v>
      </c>
      <c r="BZ87" s="14">
        <f>BY87*VLOOKUP('Données projet'!$B$12,Paramètres!$A$1:$I$88,3,0)*VLOOKUP('Données projet'!$B$12,Paramètres!$A$1:$I$88,5,0)</f>
        <v>346.5800000000001</v>
      </c>
      <c r="CA87" s="14">
        <f t="shared" si="93"/>
        <v>80.857895771535127</v>
      </c>
      <c r="CB87" s="22">
        <f t="shared" si="64"/>
        <v>744.45433513542378</v>
      </c>
      <c r="CC87" s="62">
        <f t="shared" si="65"/>
        <v>1016.7111656599741</v>
      </c>
      <c r="CD87" s="62">
        <f ca="1">AVERAGE(OFFSET($CC$3,0,0,'Données projet'!$E$12+1,1))-AVERAGE(OFFSET($H$3,0,0,'Données projet'!$E$12+1,1))</f>
        <v>432.59662347701629</v>
      </c>
      <c r="CE87" s="62">
        <f t="shared" si="94"/>
        <v>348.67401091099748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58.090990311949646</v>
      </c>
      <c r="CL87" s="23">
        <f>EXP(-LN(2)/25)*CL86+(1-EXP(-LN(2)/25))/(LN(2)/25)*Calculateur!CG87*Calculateur!CI87*VLOOKUP('Données projet'!$B$12,Paramètres!$A$1:$I$88,3,0)*0.475*44/12</f>
        <v>62.23229611374812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120.32328642569777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1099.9999999999998</v>
      </c>
      <c r="CU87" s="18">
        <f>CT87*VLOOKUP('Données projet'!$B$13,Paramètres!$A$1:$I$88,3,0)*VLOOKUP('Données projet'!$B$13,Paramètres!$A$1:$I$88,5,0)</f>
        <v>486.19999999999993</v>
      </c>
      <c r="CV87" s="14">
        <f t="shared" si="95"/>
        <v>109.0490179035375</v>
      </c>
      <c r="CW87" s="22">
        <f t="shared" si="67"/>
        <v>1036.725372848661</v>
      </c>
      <c r="CX87" s="62">
        <f t="shared" si="68"/>
        <v>1308.9822033732112</v>
      </c>
      <c r="CY87" s="62">
        <f ca="1">AVERAGE(OFFSET($CX$3,0,0,'Données projet'!$E$13+1,1))-AVERAGE(OFFSET($H$3,0,0,'Données projet'!$E$13+1,1))</f>
        <v>582.26951914082088</v>
      </c>
      <c r="CZ87" s="62">
        <f t="shared" si="96"/>
        <v>434.80429932654715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58.534724434101335</v>
      </c>
      <c r="DG87" s="23">
        <f>EXP(-LN(2)/25)*DG86+(1-EXP(-LN(2)/25))/(LN(2)/25)*Calculateur!DB87*Calculateur!DD87*VLOOKUP('Données projet'!$B$13,Paramètres!$A$1:$I$88,3,0)*0.475*44/12</f>
        <v>55.920562132005472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114.45528656610681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498.99999999999955</v>
      </c>
      <c r="DP87" s="18">
        <f>DO87*VLOOKUP('Données projet'!$B$14,Paramètres!$A$1:$I$88,3,0)*VLOOKUP('Données projet'!$B$14,Paramètres!$A$1:$I$88,5,0)</f>
        <v>240.01899999999978</v>
      </c>
      <c r="DQ87" s="14">
        <f t="shared" si="97"/>
        <v>58.443618405936313</v>
      </c>
      <c r="DR87" s="22">
        <f t="shared" si="70"/>
        <v>519.82239372367201</v>
      </c>
      <c r="DS87" s="62">
        <f t="shared" si="71"/>
        <v>792.07922424822232</v>
      </c>
      <c r="DT87" s="62">
        <f ca="1">AVERAGE(OFFSET($DS$3,0,0,'Données projet'!$E$14+1,1))-AVERAGE(OFFSET($H$3,0,0,'Données projet'!$E$14+1,1))</f>
        <v>273.24375559399846</v>
      </c>
      <c r="DU87" s="62">
        <f t="shared" si="98"/>
        <v>270.77718895097848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projet'!$B$14,Paramètres!$A$1:$I$88,3,0)*0.475*44/12</f>
        <v>29.891037783477316</v>
      </c>
      <c r="EB87" s="23">
        <f>EXP(-LN(2)/25)*EB86+(1-EXP(-LN(2)/25))/(LN(2)/25)*Calculateur!DW87*Calculateur!DY87*VLOOKUP('Données projet'!$B$14,Paramètres!$A$1:$I$88,3,0)*0.475*44/12</f>
        <v>27.274322688840005</v>
      </c>
      <c r="EC87" s="23">
        <f>EXP(-LN(2)/2)*EC86+(1-EXP(-LN(2)/2))/(LN(2)/2)*DW87*DZ87*VLOOKUP('Données projet'!$B$14,Paramètres!$A$1:$I$88,3,0)*0.475*44/12</f>
        <v>0</v>
      </c>
      <c r="ED87" s="24">
        <f t="shared" si="72"/>
        <v>57.165360472317317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498.99999999999955</v>
      </c>
      <c r="EK87" s="18">
        <f>EJ87*VLOOKUP('Données projet'!$B$15,Paramètres!$A$1:$I$88,3,0)*VLOOKUP('Données projet'!$B$15,Paramètres!$A$1:$I$88,5,0)</f>
        <v>233.53199999999975</v>
      </c>
      <c r="EL87" s="14">
        <f t="shared" si="99"/>
        <v>57.04570382109803</v>
      </c>
      <c r="EM87" s="22">
        <f t="shared" si="73"/>
        <v>506.08950082174533</v>
      </c>
      <c r="EN87" s="62">
        <f t="shared" si="74"/>
        <v>778.34633134629564</v>
      </c>
      <c r="EO87" s="62">
        <f ca="1">AVERAGE(OFFSET($EN$3,0,0,'Données projet'!$E$15+1,1))-AVERAGE(OFFSET($H$3,0,0,'Données projet'!$E$15+1,1))</f>
        <v>267.26203506406682</v>
      </c>
      <c r="EP87" s="62">
        <f t="shared" si="100"/>
        <v>265.10857635664843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projet'!$B$15,Paramètres!$A$1:$I$88,3,0)*0.475*44/12</f>
        <v>29.083171897437381</v>
      </c>
      <c r="EW87" s="23">
        <f>EXP(-LN(2)/25)*EW86+(1-EXP(-LN(2)/25))/(LN(2)/25)*Calculateur!ER87*Calculateur!ET87*VLOOKUP('Données projet'!$B$15,Paramètres!$A$1:$I$88,3,0)*0.475*44/12</f>
        <v>26.537178832384871</v>
      </c>
      <c r="EX87" s="23">
        <f>EXP(-LN(2)/2)*EX86+(1-EXP(-LN(2)/2))/(LN(2)/2)*ER87*EU87*VLOOKUP('Données projet'!$B$15,Paramètres!$A$1:$I$88,3,0)*0.475*44/12</f>
        <v>0</v>
      </c>
      <c r="EY87" s="24">
        <f t="shared" si="75"/>
        <v>55.620350729822249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231</v>
      </c>
      <c r="FF87" s="18">
        <f>FE87*VLOOKUP('Données projet'!$B$16,Paramètres!$A$1:$I$88,3,0)*VLOOKUP('Données projet'!$B$16,Paramètres!$A$1:$I$88,5,0)</f>
        <v>169.36920000000001</v>
      </c>
      <c r="FG87" s="14">
        <f t="shared" si="101"/>
        <v>42.948714817158674</v>
      </c>
      <c r="FH87" s="22">
        <f t="shared" si="76"/>
        <v>369.787034973218</v>
      </c>
      <c r="FI87" s="62">
        <f t="shared" si="77"/>
        <v>642.04386549776837</v>
      </c>
      <c r="FJ87" s="62">
        <f ca="1">AVERAGE(OFFSET($FI$3,0,0,'Données projet'!$E$16+1,1))-AVERAGE(OFFSET($H$3,0,0,'Données projet'!$E$16+1,1))</f>
        <v>207.66160354686221</v>
      </c>
      <c r="FK87" s="62">
        <f t="shared" si="102"/>
        <v>260.45879589483525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projet'!$B$16,Paramètres!$A$1:$I$88,3,0)*0.475*44/12</f>
        <v>1.7767703823700145</v>
      </c>
      <c r="FR87" s="23">
        <f>EXP(-LN(2)/25)*FR86+(1-EXP(-LN(2)/25))/(LN(2)/25)*Calculateur!FM87*Calculateur!FO87*VLOOKUP('Données projet'!$B$16,Paramètres!$A$1:$I$88,3,0)*0.475*44/12</f>
        <v>0</v>
      </c>
      <c r="FS87" s="23">
        <f>EXP(-LN(2)/2)*FS86+(1-EXP(-LN(2)/2))/(LN(2)/2)*FM87*FP87*VLOOKUP('Données projet'!$B$16,Paramètres!$A$1:$I$88,3,0)*0.475*44/12</f>
        <v>0</v>
      </c>
      <c r="FT87" s="24">
        <f t="shared" si="78"/>
        <v>1.7767703823700145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projet'!$B$9,Paramètres!$A$1:$I$88,3,0)*VLOOKUP('Données projet'!$B$9,Paramètres!$A$1:$I$88,5,0)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378.13552372917843</v>
      </c>
      <c r="T88" s="62">
        <f t="shared" si="88"/>
        <v>528.97123645404952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134.42897229925364</v>
      </c>
      <c r="AA88" s="23">
        <f>EXP(-LN(2)/25)*AA87+(1-EXP(-LN(2)/25))/(LN(2)/25)*Calculateur!V88*Calculateur!X88*VLOOKUP('Données projet'!$B$9,Paramètres!$A$1:$I$88,3,0)*0.475*44/12</f>
        <v>54.826551736295052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189.25552403554869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268</v>
      </c>
      <c r="AG88" s="13">
        <f>VLOOKUP(A88,'Données projet'!$A$61:$I$81,9,0)</f>
        <v>2.125</v>
      </c>
      <c r="AH88" s="13">
        <f t="array" ref="AH88">INDEX(AG:AG,MIN(IF(ISNUMBER(AG88:AG284),ROW(AG88:AG284),"")))</f>
        <v>2.125</v>
      </c>
      <c r="AI88" s="14">
        <f>IF('Données projet'!$A$62&gt;35,AI87+AH88-AQ87,IF(A88&lt;'Données projet'!$A$62,$AF$205^A88,IF(A88='Données projet'!$A$62,'Données projet'!$B$62,AI87+AH88-AQ87)))</f>
        <v>268</v>
      </c>
      <c r="AJ88" s="14">
        <f>AI88*VLOOKUP('Données projet'!$B$10,Paramètres!$A$1:$I$88,3,0)*VLOOKUP('Données projet'!$B$10,Paramètres!$A$1:$I$88,5,0)</f>
        <v>242.4864</v>
      </c>
      <c r="AK88" s="14">
        <f t="shared" si="89"/>
        <v>58.974170235372419</v>
      </c>
      <c r="AL88" s="22">
        <f t="shared" si="58"/>
        <v>525.04382649327351</v>
      </c>
      <c r="AM88" s="62">
        <f t="shared" si="59"/>
        <v>797.66628722155497</v>
      </c>
      <c r="AN88" s="62">
        <f ca="1">AVERAGE(OFFSET($AM$3,0,0,'Données projet'!$E$10+1,1))-AVERAGE(OFFSET($H$3,0,0,'Données projet'!$E$10+1,1))</f>
        <v>536.3707066106856</v>
      </c>
      <c r="AO88" s="62">
        <f t="shared" si="90"/>
        <v>217.6280015974086</v>
      </c>
      <c r="AP88" s="16">
        <f>IF(ISNA(VLOOKUP(A88,'Données projet'!$A$61:$I$81,3,0)),0,VLOOKUP(A88,'Données projet'!$A$61:$I$81,3,0))</f>
        <v>10</v>
      </c>
      <c r="AQ88" s="16">
        <f>IF(ISNA(VLOOKUP(A88,'Données projet'!$A$61:$I$81,4,0)),0,VLOOKUP(A88,'Données projet'!$A$61:$I$81,4,0))</f>
        <v>41</v>
      </c>
      <c r="AR88" s="17">
        <f>IF(ISNA(VLOOKUP(A88,'Données projet'!$A$61:$I$81,5,0)),0%,VLOOKUP(A88,'Données projet'!$A$61:$I$81,5,0)*VLOOKUP('Données projet'!$B$10,Paramètres!$A$1:$I$88,7,0))</f>
        <v>0.15049999999999999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18.2823080929446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18.2823080929446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302.3</v>
      </c>
      <c r="BE88" s="14">
        <f>BD88*VLOOKUP('Données projet'!$B$11,Paramètres!$A$1:$I$88,3,0)*VLOOKUP('Données projet'!$B$11,Paramètres!$A$1:$I$88,5,0)</f>
        <v>180.77540000000005</v>
      </c>
      <c r="BF88" s="14">
        <f t="shared" si="91"/>
        <v>45.494655198846154</v>
      </c>
      <c r="BG88" s="22">
        <f t="shared" si="61"/>
        <v>394.08701280465715</v>
      </c>
      <c r="BH88" s="62">
        <f t="shared" si="62"/>
        <v>666.70947353293866</v>
      </c>
      <c r="BI88" s="62">
        <f ca="1">AVERAGE(OFFSET($BH$3,0,0,'Données projet'!$E$11+1,1))-AVERAGE(OFFSET($H$3,0,0,'Données projet'!$E$11+1,1))</f>
        <v>248.66193174773525</v>
      </c>
      <c r="BJ88" s="62">
        <f t="shared" si="92"/>
        <v>249.61655682981151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12.642870800741388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7.1666602083639177E-4</v>
      </c>
      <c r="BS88" s="24">
        <f t="shared" si="63"/>
        <v>12.643587466762224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860.00000000000023</v>
      </c>
      <c r="BZ88" s="14">
        <f>BY88*VLOOKUP('Données projet'!$B$12,Paramètres!$A$1:$I$88,3,0)*VLOOKUP('Données projet'!$B$12,Paramètres!$A$1:$I$88,5,0)</f>
        <v>346.5800000000001</v>
      </c>
      <c r="CA88" s="14">
        <f t="shared" si="93"/>
        <v>80.857895771535127</v>
      </c>
      <c r="CB88" s="22">
        <f t="shared" si="64"/>
        <v>744.45433513542378</v>
      </c>
      <c r="CC88" s="62">
        <f t="shared" si="65"/>
        <v>1017.0767958637052</v>
      </c>
      <c r="CD88" s="62">
        <f ca="1">AVERAGE(OFFSET($CC$3,0,0,'Données projet'!$E$12+1,1))-AVERAGE(OFFSET($H$3,0,0,'Données projet'!$E$12+1,1))</f>
        <v>432.59662347701629</v>
      </c>
      <c r="CE88" s="62">
        <f t="shared" si="94"/>
        <v>348.67401091099748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56.951861423937785</v>
      </c>
      <c r="CL88" s="23">
        <f>EXP(-LN(2)/25)*CL87+(1-EXP(-LN(2)/25))/(LN(2)/25)*Calculateur!CG88*Calculateur!CI88*VLOOKUP('Données projet'!$B$12,Paramètres!$A$1:$I$88,3,0)*0.475*44/12</f>
        <v>60.530550703863462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117.48241212780124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1099.9999999999998</v>
      </c>
      <c r="CU88" s="18">
        <f>CT88*VLOOKUP('Données projet'!$B$13,Paramètres!$A$1:$I$88,3,0)*VLOOKUP('Données projet'!$B$13,Paramètres!$A$1:$I$88,5,0)</f>
        <v>486.19999999999993</v>
      </c>
      <c r="CV88" s="14">
        <f t="shared" si="95"/>
        <v>109.0490179035375</v>
      </c>
      <c r="CW88" s="22">
        <f t="shared" si="67"/>
        <v>1036.725372848661</v>
      </c>
      <c r="CX88" s="62">
        <f t="shared" si="68"/>
        <v>1309.3478335769425</v>
      </c>
      <c r="CY88" s="62">
        <f ca="1">AVERAGE(OFFSET($CX$3,0,0,'Données projet'!$E$13+1,1))-AVERAGE(OFFSET($H$3,0,0,'Données projet'!$E$13+1,1))</f>
        <v>582.26951914082088</v>
      </c>
      <c r="CZ88" s="62">
        <f t="shared" si="96"/>
        <v>434.80429932654715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57.386894190605169</v>
      </c>
      <c r="DG88" s="23">
        <f>EXP(-LN(2)/25)*DG87+(1-EXP(-LN(2)/25))/(LN(2)/25)*Calculateur!DB88*Calculateur!DD88*VLOOKUP('Données projet'!$B$13,Paramètres!$A$1:$I$88,3,0)*0.475*44/12</f>
        <v>54.391411419771231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111.77830561037641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498.99999999999955</v>
      </c>
      <c r="DP88" s="18">
        <f>DO88*VLOOKUP('Données projet'!$B$14,Paramètres!$A$1:$I$88,3,0)*VLOOKUP('Données projet'!$B$14,Paramètres!$A$1:$I$88,5,0)</f>
        <v>240.01899999999978</v>
      </c>
      <c r="DQ88" s="14">
        <f t="shared" si="97"/>
        <v>58.443618405936313</v>
      </c>
      <c r="DR88" s="22">
        <f t="shared" si="70"/>
        <v>519.82239372367201</v>
      </c>
      <c r="DS88" s="62">
        <f t="shared" si="71"/>
        <v>792.44485445195346</v>
      </c>
      <c r="DT88" s="62">
        <f ca="1">AVERAGE(OFFSET($DS$3,0,0,'Données projet'!$E$14+1,1))-AVERAGE(OFFSET($H$3,0,0,'Données projet'!$E$14+1,1))</f>
        <v>273.24375559399846</v>
      </c>
      <c r="DU88" s="62">
        <f t="shared" si="98"/>
        <v>270.77718895097848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projet'!$B$14,Paramètres!$A$1:$I$88,3,0)*0.475*44/12</f>
        <v>29.30489276427614</v>
      </c>
      <c r="EB88" s="23">
        <f>EXP(-LN(2)/25)*EB87+(1-EXP(-LN(2)/25))/(LN(2)/25)*Calculateur!DW88*Calculateur!DY88*VLOOKUP('Données projet'!$B$14,Paramètres!$A$1:$I$88,3,0)*0.475*44/12</f>
        <v>26.528504900619382</v>
      </c>
      <c r="EC88" s="23">
        <f>EXP(-LN(2)/2)*EC87+(1-EXP(-LN(2)/2))/(LN(2)/2)*DW88*DZ88*VLOOKUP('Données projet'!$B$14,Paramètres!$A$1:$I$88,3,0)*0.475*44/12</f>
        <v>0</v>
      </c>
      <c r="ED88" s="24">
        <f t="shared" si="72"/>
        <v>55.833397664895521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498.99999999999955</v>
      </c>
      <c r="EK88" s="18">
        <f>EJ88*VLOOKUP('Données projet'!$B$15,Paramètres!$A$1:$I$88,3,0)*VLOOKUP('Données projet'!$B$15,Paramètres!$A$1:$I$88,5,0)</f>
        <v>233.53199999999975</v>
      </c>
      <c r="EL88" s="14">
        <f t="shared" si="99"/>
        <v>57.04570382109803</v>
      </c>
      <c r="EM88" s="22">
        <f t="shared" si="73"/>
        <v>506.08950082174533</v>
      </c>
      <c r="EN88" s="62">
        <f t="shared" si="74"/>
        <v>778.7119615500269</v>
      </c>
      <c r="EO88" s="62">
        <f ca="1">AVERAGE(OFFSET($EN$3,0,0,'Données projet'!$E$15+1,1))-AVERAGE(OFFSET($H$3,0,0,'Données projet'!$E$15+1,1))</f>
        <v>267.26203506406682</v>
      </c>
      <c r="EP88" s="62">
        <f t="shared" si="100"/>
        <v>265.10857635664843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projet'!$B$15,Paramètres!$A$1:$I$88,3,0)*0.475*44/12</f>
        <v>28.512868635511914</v>
      </c>
      <c r="EW88" s="23">
        <f>EXP(-LN(2)/25)*EW87+(1-EXP(-LN(2)/25))/(LN(2)/25)*Calculateur!ER88*Calculateur!ET88*VLOOKUP('Données projet'!$B$15,Paramètres!$A$1:$I$88,3,0)*0.475*44/12</f>
        <v>25.811518281683725</v>
      </c>
      <c r="EX88" s="23">
        <f>EXP(-LN(2)/2)*EX87+(1-EXP(-LN(2)/2))/(LN(2)/2)*ER88*EU88*VLOOKUP('Données projet'!$B$15,Paramètres!$A$1:$I$88,3,0)*0.475*44/12</f>
        <v>0</v>
      </c>
      <c r="EY88" s="24">
        <f t="shared" si="75"/>
        <v>54.324386917195639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231</v>
      </c>
      <c r="FF88" s="18">
        <f>FE88*VLOOKUP('Données projet'!$B$16,Paramètres!$A$1:$I$88,3,0)*VLOOKUP('Données projet'!$B$16,Paramètres!$A$1:$I$88,5,0)</f>
        <v>169.36920000000001</v>
      </c>
      <c r="FG88" s="14">
        <f t="shared" si="101"/>
        <v>42.948714817158674</v>
      </c>
      <c r="FH88" s="22">
        <f t="shared" si="76"/>
        <v>369.787034973218</v>
      </c>
      <c r="FI88" s="62">
        <f t="shared" si="77"/>
        <v>642.40949570149951</v>
      </c>
      <c r="FJ88" s="62">
        <f ca="1">AVERAGE(OFFSET($FI$3,0,0,'Données projet'!$E$16+1,1))-AVERAGE(OFFSET($H$3,0,0,'Données projet'!$E$16+1,1))</f>
        <v>207.66160354686221</v>
      </c>
      <c r="FK88" s="62">
        <f t="shared" si="102"/>
        <v>260.45879589483525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projet'!$B$16,Paramètres!$A$1:$I$88,3,0)*0.475*44/12</f>
        <v>1.7419289988946629</v>
      </c>
      <c r="FR88" s="23">
        <f>EXP(-LN(2)/25)*FR87+(1-EXP(-LN(2)/25))/(LN(2)/25)*Calculateur!FM88*Calculateur!FO88*VLOOKUP('Données projet'!$B$16,Paramètres!$A$1:$I$88,3,0)*0.475*44/12</f>
        <v>0</v>
      </c>
      <c r="FS88" s="23">
        <f>EXP(-LN(2)/2)*FS87+(1-EXP(-LN(2)/2))/(LN(2)/2)*FM88*FP88*VLOOKUP('Données projet'!$B$16,Paramètres!$A$1:$I$88,3,0)*0.475*44/12</f>
        <v>0</v>
      </c>
      <c r="FT88" s="24">
        <f t="shared" si="78"/>
        <v>1.7419289988946629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projet'!$B$9,Paramètres!$A$1:$I$88,3,0)*VLOOKUP('Données projet'!$B$9,Paramètres!$A$1:$I$88,5,0)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378.13552372917843</v>
      </c>
      <c r="T89" s="62">
        <f t="shared" si="88"/>
        <v>528.97123645404952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131.79290214604219</v>
      </c>
      <c r="AA89" s="23">
        <f>EXP(-LN(2)/25)*AA88+(1-EXP(-LN(2)/25))/(LN(2)/25)*Calculateur!V89*Calculateur!X89*VLOOKUP('Données projet'!$B$9,Paramètres!$A$1:$I$88,3,0)*0.475*44/12</f>
        <v>53.327316795863013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185.12021894190519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7.125</v>
      </c>
      <c r="AI89" s="14">
        <f>IF('Données projet'!$A$62&gt;35,AI88+AH89-AQ88,IF(A89&lt;'Données projet'!$A$62,$AF$205^A89,IF(A89='Données projet'!$A$62,'Données projet'!$B$62,AI88+AH89-AQ88)))</f>
        <v>234.125</v>
      </c>
      <c r="AJ89" s="14">
        <f>AI89*VLOOKUP('Données projet'!$B$10,Paramètres!$A$1:$I$88,3,0)*VLOOKUP('Données projet'!$B$10,Paramètres!$A$1:$I$88,5,0)</f>
        <v>211.83629999999999</v>
      </c>
      <c r="AK89" s="14">
        <f t="shared" si="89"/>
        <v>52.336659893168076</v>
      </c>
      <c r="AL89" s="22">
        <f t="shared" si="58"/>
        <v>460.10123848060107</v>
      </c>
      <c r="AM89" s="62">
        <f t="shared" si="59"/>
        <v>733.08298654600571</v>
      </c>
      <c r="AN89" s="62">
        <f ca="1">AVERAGE(OFFSET($AM$3,0,0,'Données projet'!$E$10+1,1))-AVERAGE(OFFSET($H$3,0,0,'Données projet'!$E$10+1,1))</f>
        <v>536.3707066106856</v>
      </c>
      <c r="AO89" s="62">
        <f t="shared" si="90"/>
        <v>217.6280015974086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17.923803182348813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17.923803182348813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302.3</v>
      </c>
      <c r="BE89" s="14">
        <f>BD89*VLOOKUP('Données projet'!$B$11,Paramètres!$A$1:$I$88,3,0)*VLOOKUP('Données projet'!$B$11,Paramètres!$A$1:$I$88,5,0)</f>
        <v>180.77540000000005</v>
      </c>
      <c r="BF89" s="14">
        <f t="shared" si="91"/>
        <v>45.494655198846154</v>
      </c>
      <c r="BG89" s="22">
        <f t="shared" si="61"/>
        <v>394.08701280465715</v>
      </c>
      <c r="BH89" s="62">
        <f t="shared" si="62"/>
        <v>667.06876087006185</v>
      </c>
      <c r="BI89" s="62">
        <f ca="1">AVERAGE(OFFSET($BH$3,0,0,'Données projet'!$E$11+1,1))-AVERAGE(OFFSET($H$3,0,0,'Données projet'!$E$11+1,1))</f>
        <v>248.66193174773525</v>
      </c>
      <c r="BJ89" s="62">
        <f t="shared" si="92"/>
        <v>249.61655682981151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12.394951815728602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5.0675940317939218E-4</v>
      </c>
      <c r="BS89" s="24">
        <f t="shared" si="63"/>
        <v>12.395458575131782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860.00000000000023</v>
      </c>
      <c r="BZ89" s="14">
        <f>BY89*VLOOKUP('Données projet'!$B$12,Paramètres!$A$1:$I$88,3,0)*VLOOKUP('Données projet'!$B$12,Paramètres!$A$1:$I$88,5,0)</f>
        <v>346.5800000000001</v>
      </c>
      <c r="CA89" s="14">
        <f t="shared" si="93"/>
        <v>80.857895771535127</v>
      </c>
      <c r="CB89" s="22">
        <f t="shared" si="64"/>
        <v>744.45433513542378</v>
      </c>
      <c r="CC89" s="62">
        <f t="shared" si="65"/>
        <v>1017.4360832008285</v>
      </c>
      <c r="CD89" s="62">
        <f ca="1">AVERAGE(OFFSET($CC$3,0,0,'Données projet'!$E$12+1,1))-AVERAGE(OFFSET($H$3,0,0,'Données projet'!$E$12+1,1))</f>
        <v>432.59662347701629</v>
      </c>
      <c r="CE89" s="62">
        <f t="shared" si="94"/>
        <v>348.67401091099748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55.835070158619821</v>
      </c>
      <c r="CL89" s="23">
        <f>EXP(-LN(2)/25)*CL88+(1-EXP(-LN(2)/25))/(LN(2)/25)*Calculateur!CG89*Calculateur!CI89*VLOOKUP('Données projet'!$B$12,Paramètres!$A$1:$I$88,3,0)*0.475*44/12</f>
        <v>58.875339611702998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114.71040977032283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1099.9999999999998</v>
      </c>
      <c r="CU89" s="18">
        <f>CT89*VLOOKUP('Données projet'!$B$13,Paramètres!$A$1:$I$88,3,0)*VLOOKUP('Données projet'!$B$13,Paramètres!$A$1:$I$88,5,0)</f>
        <v>486.19999999999993</v>
      </c>
      <c r="CV89" s="14">
        <f t="shared" si="95"/>
        <v>109.0490179035375</v>
      </c>
      <c r="CW89" s="22">
        <f t="shared" si="67"/>
        <v>1036.725372848661</v>
      </c>
      <c r="CX89" s="62">
        <f t="shared" si="68"/>
        <v>1309.7071209140656</v>
      </c>
      <c r="CY89" s="62">
        <f ca="1">AVERAGE(OFFSET($CX$3,0,0,'Données projet'!$E$13+1,1))-AVERAGE(OFFSET($H$3,0,0,'Données projet'!$E$13+1,1))</f>
        <v>582.26951914082088</v>
      </c>
      <c r="CZ89" s="62">
        <f t="shared" si="96"/>
        <v>434.80429932654715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56.261572198076642</v>
      </c>
      <c r="DG89" s="23">
        <f>EXP(-LN(2)/25)*DG88+(1-EXP(-LN(2)/25))/(LN(2)/25)*Calculateur!DB89*Calculateur!DD89*VLOOKUP('Données projet'!$B$13,Paramètres!$A$1:$I$88,3,0)*0.475*44/12</f>
        <v>52.904075414177576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109.16564761225422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498.99999999999955</v>
      </c>
      <c r="DP89" s="18">
        <f>DO89*VLOOKUP('Données projet'!$B$14,Paramètres!$A$1:$I$88,3,0)*VLOOKUP('Données projet'!$B$14,Paramètres!$A$1:$I$88,5,0)</f>
        <v>240.01899999999978</v>
      </c>
      <c r="DQ89" s="14">
        <f t="shared" si="97"/>
        <v>58.443618405936313</v>
      </c>
      <c r="DR89" s="22">
        <f t="shared" si="70"/>
        <v>519.82239372367201</v>
      </c>
      <c r="DS89" s="62">
        <f t="shared" si="71"/>
        <v>792.80414178907677</v>
      </c>
      <c r="DT89" s="62">
        <f ca="1">AVERAGE(OFFSET($DS$3,0,0,'Données projet'!$E$14+1,1))-AVERAGE(OFFSET($H$3,0,0,'Données projet'!$E$14+1,1))</f>
        <v>273.24375559399846</v>
      </c>
      <c r="DU89" s="62">
        <f t="shared" si="98"/>
        <v>270.77718895097848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projet'!$B$14,Paramètres!$A$1:$I$88,3,0)*0.475*44/12</f>
        <v>28.73024169138834</v>
      </c>
      <c r="EB89" s="23">
        <f>EXP(-LN(2)/25)*EB88+(1-EXP(-LN(2)/25))/(LN(2)/25)*Calculateur!DW89*Calculateur!DY89*VLOOKUP('Données projet'!$B$14,Paramètres!$A$1:$I$88,3,0)*0.475*44/12</f>
        <v>25.803081539038505</v>
      </c>
      <c r="EC89" s="23">
        <f>EXP(-LN(2)/2)*EC88+(1-EXP(-LN(2)/2))/(LN(2)/2)*DW89*DZ89*VLOOKUP('Données projet'!$B$14,Paramètres!$A$1:$I$88,3,0)*0.475*44/12</f>
        <v>0</v>
      </c>
      <c r="ED89" s="24">
        <f t="shared" si="72"/>
        <v>54.533323230426845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498.99999999999955</v>
      </c>
      <c r="EK89" s="18">
        <f>EJ89*VLOOKUP('Données projet'!$B$15,Paramètres!$A$1:$I$88,3,0)*VLOOKUP('Données projet'!$B$15,Paramètres!$A$1:$I$88,5,0)</f>
        <v>233.53199999999975</v>
      </c>
      <c r="EL89" s="14">
        <f t="shared" si="99"/>
        <v>57.04570382109803</v>
      </c>
      <c r="EM89" s="22">
        <f t="shared" si="73"/>
        <v>506.08950082174533</v>
      </c>
      <c r="EN89" s="62">
        <f t="shared" si="74"/>
        <v>779.07124888714998</v>
      </c>
      <c r="EO89" s="62">
        <f ca="1">AVERAGE(OFFSET($EN$3,0,0,'Données projet'!$E$15+1,1))-AVERAGE(OFFSET($H$3,0,0,'Données projet'!$E$15+1,1))</f>
        <v>267.26203506406682</v>
      </c>
      <c r="EP89" s="62">
        <f t="shared" si="100"/>
        <v>265.10857635664843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projet'!$B$15,Paramètres!$A$1:$I$88,3,0)*0.475*44/12</f>
        <v>27.953748672702162</v>
      </c>
      <c r="EW89" s="23">
        <f>EXP(-LN(2)/25)*EW88+(1-EXP(-LN(2)/25))/(LN(2)/25)*Calculateur!ER89*Calculateur!ET89*VLOOKUP('Données projet'!$B$15,Paramètres!$A$1:$I$88,3,0)*0.475*44/12</f>
        <v>25.105700956902329</v>
      </c>
      <c r="EX89" s="23">
        <f>EXP(-LN(2)/2)*EX88+(1-EXP(-LN(2)/2))/(LN(2)/2)*ER89*EU89*VLOOKUP('Données projet'!$B$15,Paramètres!$A$1:$I$88,3,0)*0.475*44/12</f>
        <v>0</v>
      </c>
      <c r="EY89" s="24">
        <f t="shared" si="75"/>
        <v>53.059449629604487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231</v>
      </c>
      <c r="FF89" s="18">
        <f>FE89*VLOOKUP('Données projet'!$B$16,Paramètres!$A$1:$I$88,3,0)*VLOOKUP('Données projet'!$B$16,Paramètres!$A$1:$I$88,5,0)</f>
        <v>169.36920000000001</v>
      </c>
      <c r="FG89" s="14">
        <f t="shared" si="101"/>
        <v>42.948714817158674</v>
      </c>
      <c r="FH89" s="22">
        <f t="shared" si="76"/>
        <v>369.787034973218</v>
      </c>
      <c r="FI89" s="62">
        <f t="shared" si="77"/>
        <v>642.7687830386227</v>
      </c>
      <c r="FJ89" s="62">
        <f ca="1">AVERAGE(OFFSET($FI$3,0,0,'Données projet'!$E$16+1,1))-AVERAGE(OFFSET($H$3,0,0,'Données projet'!$E$16+1,1))</f>
        <v>207.66160354686221</v>
      </c>
      <c r="FK89" s="62">
        <f t="shared" si="102"/>
        <v>260.45879589483525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projet'!$B$16,Paramètres!$A$1:$I$88,3,0)*0.475*44/12</f>
        <v>1.7077708336981174</v>
      </c>
      <c r="FR89" s="23">
        <f>EXP(-LN(2)/25)*FR88+(1-EXP(-LN(2)/25))/(LN(2)/25)*Calculateur!FM89*Calculateur!FO89*VLOOKUP('Données projet'!$B$16,Paramètres!$A$1:$I$88,3,0)*0.475*44/12</f>
        <v>0</v>
      </c>
      <c r="FS89" s="23">
        <f>EXP(-LN(2)/2)*FS88+(1-EXP(-LN(2)/2))/(LN(2)/2)*FM89*FP89*VLOOKUP('Données projet'!$B$16,Paramètres!$A$1:$I$88,3,0)*0.475*44/12</f>
        <v>0</v>
      </c>
      <c r="FT89" s="24">
        <f t="shared" si="78"/>
        <v>1.7077708336981174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projet'!$B$9,Paramètres!$A$1:$I$88,3,0)*VLOOKUP('Données projet'!$B$9,Paramètres!$A$1:$I$88,5,0)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378.13552372917843</v>
      </c>
      <c r="T90" s="62">
        <f t="shared" si="88"/>
        <v>528.97123645404952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129.20852372069118</v>
      </c>
      <c r="AA90" s="23">
        <f>EXP(-LN(2)/25)*AA89+(1-EXP(-LN(2)/25))/(LN(2)/25)*Calculateur!V90*Calculateur!X90*VLOOKUP('Données projet'!$B$9,Paramètres!$A$1:$I$88,3,0)*0.475*44/12</f>
        <v>51.869078513718428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181.0776022344096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7.125</v>
      </c>
      <c r="AI90" s="14">
        <f>IF('Données projet'!$A$62&gt;35,AI89+AH90-AQ89,IF(A90&lt;'Données projet'!$A$62,$AF$205^A90,IF(A90='Données projet'!$A$62,'Données projet'!$B$62,AI89+AH90-AQ89)))</f>
        <v>241.25</v>
      </c>
      <c r="AJ90" s="14">
        <f>AI90*VLOOKUP('Données projet'!$B$10,Paramètres!$A$1:$I$88,3,0)*VLOOKUP('Données projet'!$B$10,Paramètres!$A$1:$I$88,5,0)</f>
        <v>218.28299999999999</v>
      </c>
      <c r="AK90" s="14">
        <f t="shared" si="89"/>
        <v>53.741534251426721</v>
      </c>
      <c r="AL90" s="22">
        <f t="shared" si="58"/>
        <v>473.7760638212348</v>
      </c>
      <c r="AM90" s="62">
        <f t="shared" si="59"/>
        <v>747.11086639170958</v>
      </c>
      <c r="AN90" s="62">
        <f ca="1">AVERAGE(OFFSET($AM$3,0,0,'Données projet'!$E$10+1,1))-AVERAGE(OFFSET($H$3,0,0,'Données projet'!$E$10+1,1))</f>
        <v>536.3707066106856</v>
      </c>
      <c r="AO90" s="62">
        <f t="shared" si="90"/>
        <v>217.6280015974086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17.572328334383403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17.572328334383403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302.3</v>
      </c>
      <c r="BE90" s="14">
        <f>BD90*VLOOKUP('Données projet'!$B$11,Paramètres!$A$1:$I$88,3,0)*VLOOKUP('Données projet'!$B$11,Paramètres!$A$1:$I$88,5,0)</f>
        <v>180.77540000000005</v>
      </c>
      <c r="BF90" s="14">
        <f t="shared" si="91"/>
        <v>45.494655198846154</v>
      </c>
      <c r="BG90" s="22">
        <f t="shared" si="61"/>
        <v>394.08701280465715</v>
      </c>
      <c r="BH90" s="62">
        <f t="shared" si="62"/>
        <v>667.42181537513193</v>
      </c>
      <c r="BI90" s="62">
        <f ca="1">AVERAGE(OFFSET($BH$3,0,0,'Données projet'!$E$11+1,1))-AVERAGE(OFFSET($H$3,0,0,'Données projet'!$E$11+1,1))</f>
        <v>248.66193174773525</v>
      </c>
      <c r="BJ90" s="62">
        <f t="shared" si="92"/>
        <v>249.61655682981151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12.151894370796267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3.5833301041819589E-4</v>
      </c>
      <c r="BS90" s="24">
        <f t="shared" si="63"/>
        <v>12.152252703806685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860.00000000000023</v>
      </c>
      <c r="BZ90" s="14">
        <f>BY90*VLOOKUP('Données projet'!$B$12,Paramètres!$A$1:$I$88,3,0)*VLOOKUP('Données projet'!$B$12,Paramètres!$A$1:$I$88,5,0)</f>
        <v>346.5800000000001</v>
      </c>
      <c r="CA90" s="14">
        <f t="shared" si="93"/>
        <v>80.857895771535127</v>
      </c>
      <c r="CB90" s="22">
        <f t="shared" si="64"/>
        <v>744.45433513542378</v>
      </c>
      <c r="CC90" s="62">
        <f t="shared" si="65"/>
        <v>1017.7891377058986</v>
      </c>
      <c r="CD90" s="62">
        <f ca="1">AVERAGE(OFFSET($CC$3,0,0,'Données projet'!$E$12+1,1))-AVERAGE(OFFSET($H$3,0,0,'Données projet'!$E$12+1,1))</f>
        <v>432.59662347701629</v>
      </c>
      <c r="CE90" s="62">
        <f t="shared" si="94"/>
        <v>348.67401091099748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54.740178488839327</v>
      </c>
      <c r="CL90" s="23">
        <f>EXP(-LN(2)/25)*CL89+(1-EXP(-LN(2)/25))/(LN(2)/25)*Calculateur!CG90*Calculateur!CI90*VLOOKUP('Données projet'!$B$12,Paramètres!$A$1:$I$88,3,0)*0.475*44/12</f>
        <v>57.265390353901431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112.00556884274076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1099.9999999999998</v>
      </c>
      <c r="CU90" s="18">
        <f>CT90*VLOOKUP('Données projet'!$B$13,Paramètres!$A$1:$I$88,3,0)*VLOOKUP('Données projet'!$B$13,Paramètres!$A$1:$I$88,5,0)</f>
        <v>486.19999999999993</v>
      </c>
      <c r="CV90" s="14">
        <f t="shared" si="95"/>
        <v>109.0490179035375</v>
      </c>
      <c r="CW90" s="22">
        <f t="shared" si="67"/>
        <v>1036.725372848661</v>
      </c>
      <c r="CX90" s="62">
        <f t="shared" si="68"/>
        <v>1310.0601754191357</v>
      </c>
      <c r="CY90" s="62">
        <f ca="1">AVERAGE(OFFSET($CX$3,0,0,'Données projet'!$E$13+1,1))-AVERAGE(OFFSET($H$3,0,0,'Données projet'!$E$13+1,1))</f>
        <v>582.26951914082088</v>
      </c>
      <c r="CZ90" s="62">
        <f t="shared" si="96"/>
        <v>434.80429932654715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55.158317083442959</v>
      </c>
      <c r="DG90" s="23">
        <f>EXP(-LN(2)/25)*DG89+(1-EXP(-LN(2)/25))/(LN(2)/25)*Calculateur!DB90*Calculateur!DD90*VLOOKUP('Données projet'!$B$13,Paramètres!$A$1:$I$88,3,0)*0.475*44/12</f>
        <v>51.457410689872475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106.61572777331543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498.99999999999955</v>
      </c>
      <c r="DP90" s="18">
        <f>DO90*VLOOKUP('Données projet'!$B$14,Paramètres!$A$1:$I$88,3,0)*VLOOKUP('Données projet'!$B$14,Paramètres!$A$1:$I$88,5,0)</f>
        <v>240.01899999999978</v>
      </c>
      <c r="DQ90" s="14">
        <f t="shared" si="97"/>
        <v>58.443618405936313</v>
      </c>
      <c r="DR90" s="22">
        <f t="shared" si="70"/>
        <v>519.82239372367201</v>
      </c>
      <c r="DS90" s="62">
        <f t="shared" si="71"/>
        <v>793.15719629414684</v>
      </c>
      <c r="DT90" s="62">
        <f ca="1">AVERAGE(OFFSET($DS$3,0,0,'Données projet'!$E$14+1,1))-AVERAGE(OFFSET($H$3,0,0,'Données projet'!$E$14+1,1))</f>
        <v>273.24375559399846</v>
      </c>
      <c r="DU90" s="62">
        <f t="shared" si="98"/>
        <v>270.77718895097848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projet'!$B$14,Paramètres!$A$1:$I$88,3,0)*0.475*44/12</f>
        <v>28.166859175537322</v>
      </c>
      <c r="EB90" s="23">
        <f>EXP(-LN(2)/25)*EB89+(1-EXP(-LN(2)/25))/(LN(2)/25)*Calculateur!DW90*Calculateur!DY90*VLOOKUP('Données projet'!$B$14,Paramètres!$A$1:$I$88,3,0)*0.475*44/12</f>
        <v>25.097494917428413</v>
      </c>
      <c r="EC90" s="23">
        <f>EXP(-LN(2)/2)*EC89+(1-EXP(-LN(2)/2))/(LN(2)/2)*DW90*DZ90*VLOOKUP('Données projet'!$B$14,Paramètres!$A$1:$I$88,3,0)*0.475*44/12</f>
        <v>0</v>
      </c>
      <c r="ED90" s="24">
        <f t="shared" si="72"/>
        <v>53.264354092965732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498.99999999999955</v>
      </c>
      <c r="EK90" s="18">
        <f>EJ90*VLOOKUP('Données projet'!$B$15,Paramètres!$A$1:$I$88,3,0)*VLOOKUP('Données projet'!$B$15,Paramètres!$A$1:$I$88,5,0)</f>
        <v>233.53199999999975</v>
      </c>
      <c r="EL90" s="14">
        <f t="shared" si="99"/>
        <v>57.04570382109803</v>
      </c>
      <c r="EM90" s="22">
        <f t="shared" si="73"/>
        <v>506.08950082174533</v>
      </c>
      <c r="EN90" s="62">
        <f t="shared" si="74"/>
        <v>779.42430339222017</v>
      </c>
      <c r="EO90" s="62">
        <f ca="1">AVERAGE(OFFSET($EN$3,0,0,'Données projet'!$E$15+1,1))-AVERAGE(OFFSET($H$3,0,0,'Données projet'!$E$15+1,1))</f>
        <v>267.26203506406682</v>
      </c>
      <c r="EP90" s="62">
        <f t="shared" si="100"/>
        <v>265.10857635664843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projet'!$B$15,Paramètres!$A$1:$I$88,3,0)*0.475*44/12</f>
        <v>27.405592711333604</v>
      </c>
      <c r="EW90" s="23">
        <f>EXP(-LN(2)/25)*EW89+(1-EXP(-LN(2)/25))/(LN(2)/25)*Calculateur!ER90*Calculateur!ET90*VLOOKUP('Données projet'!$B$15,Paramètres!$A$1:$I$88,3,0)*0.475*44/12</f>
        <v>24.4191842439844</v>
      </c>
      <c r="EX90" s="23">
        <f>EXP(-LN(2)/2)*EX89+(1-EXP(-LN(2)/2))/(LN(2)/2)*ER90*EU90*VLOOKUP('Données projet'!$B$15,Paramètres!$A$1:$I$88,3,0)*0.475*44/12</f>
        <v>0</v>
      </c>
      <c r="EY90" s="24">
        <f t="shared" si="75"/>
        <v>51.824776955318001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231</v>
      </c>
      <c r="FF90" s="18">
        <f>FE90*VLOOKUP('Données projet'!$B$16,Paramètres!$A$1:$I$88,3,0)*VLOOKUP('Données projet'!$B$16,Paramètres!$A$1:$I$88,5,0)</f>
        <v>169.36920000000001</v>
      </c>
      <c r="FG90" s="14">
        <f t="shared" si="101"/>
        <v>42.948714817158674</v>
      </c>
      <c r="FH90" s="22">
        <f t="shared" si="76"/>
        <v>369.787034973218</v>
      </c>
      <c r="FI90" s="62">
        <f t="shared" si="77"/>
        <v>643.12183754369289</v>
      </c>
      <c r="FJ90" s="62">
        <f ca="1">AVERAGE(OFFSET($FI$3,0,0,'Données projet'!$E$16+1,1))-AVERAGE(OFFSET($H$3,0,0,'Données projet'!$E$16+1,1))</f>
        <v>207.66160354686221</v>
      </c>
      <c r="FK90" s="62">
        <f t="shared" si="102"/>
        <v>260.45879589483525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projet'!$B$16,Paramètres!$A$1:$I$88,3,0)*0.475*44/12</f>
        <v>1.6742824892866528</v>
      </c>
      <c r="FR90" s="23">
        <f>EXP(-LN(2)/25)*FR89+(1-EXP(-LN(2)/25))/(LN(2)/25)*Calculateur!FM90*Calculateur!FO90*VLOOKUP('Données projet'!$B$16,Paramètres!$A$1:$I$88,3,0)*0.475*44/12</f>
        <v>0</v>
      </c>
      <c r="FS90" s="23">
        <f>EXP(-LN(2)/2)*FS89+(1-EXP(-LN(2)/2))/(LN(2)/2)*FM90*FP90*VLOOKUP('Données projet'!$B$16,Paramètres!$A$1:$I$88,3,0)*0.475*44/12</f>
        <v>0</v>
      </c>
      <c r="FT90" s="24">
        <f t="shared" si="78"/>
        <v>1.6742824892866528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projet'!$B$9,Paramètres!$A$1:$I$88,3,0)*VLOOKUP('Données projet'!$B$9,Paramètres!$A$1:$I$88,5,0)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378.13552372917843</v>
      </c>
      <c r="T91" s="62">
        <f t="shared" si="88"/>
        <v>528.97123645404952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126.6748233799461</v>
      </c>
      <c r="AA91" s="23">
        <f>EXP(-LN(2)/25)*AA90+(1-EXP(-LN(2)/25))/(LN(2)/25)*Calculateur!V91*Calculateur!X91*VLOOKUP('Données projet'!$B$9,Paramètres!$A$1:$I$88,3,0)*0.475*44/12</f>
        <v>50.450715834084505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177.1255392140306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7.125</v>
      </c>
      <c r="AI91" s="14">
        <f>IF('Données projet'!$A$62&gt;35,AI90+AH91-AQ90,IF(A91&lt;'Données projet'!$A$62,$AF$205^A91,IF(A91='Données projet'!$A$62,'Données projet'!$B$62,AI90+AH91-AQ90)))</f>
        <v>248.375</v>
      </c>
      <c r="AJ91" s="14">
        <f>AI91*VLOOKUP('Données projet'!$B$10,Paramètres!$A$1:$I$88,3,0)*VLOOKUP('Données projet'!$B$10,Paramètres!$A$1:$I$88,5,0)</f>
        <v>224.72969999999998</v>
      </c>
      <c r="AK91" s="14">
        <f t="shared" si="89"/>
        <v>55.141586595886729</v>
      </c>
      <c r="AL91" s="22">
        <f t="shared" si="58"/>
        <v>487.44249082116932</v>
      </c>
      <c r="AM91" s="62">
        <f t="shared" si="59"/>
        <v>761.12422319036295</v>
      </c>
      <c r="AN91" s="62">
        <f ca="1">AVERAGE(OFFSET($AM$3,0,0,'Données projet'!$E$10+1,1))-AVERAGE(OFFSET($H$3,0,0,'Données projet'!$E$10+1,1))</f>
        <v>536.3707066106856</v>
      </c>
      <c r="AO91" s="62">
        <f t="shared" si="90"/>
        <v>217.6280015974086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17.227745693808107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17.227745693808107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302.3</v>
      </c>
      <c r="BE91" s="14">
        <f>BD91*VLOOKUP('Données projet'!$B$11,Paramètres!$A$1:$I$88,3,0)*VLOOKUP('Données projet'!$B$11,Paramètres!$A$1:$I$88,5,0)</f>
        <v>180.77540000000005</v>
      </c>
      <c r="BF91" s="14">
        <f t="shared" si="91"/>
        <v>45.494655198846154</v>
      </c>
      <c r="BG91" s="22">
        <f t="shared" si="61"/>
        <v>394.08701280465715</v>
      </c>
      <c r="BH91" s="62">
        <f t="shared" si="62"/>
        <v>667.7687451738509</v>
      </c>
      <c r="BI91" s="62">
        <f ca="1">AVERAGE(OFFSET($BH$3,0,0,'Données projet'!$E$11+1,1))-AVERAGE(OFFSET($H$3,0,0,'Données projet'!$E$11+1,1))</f>
        <v>248.66193174773525</v>
      </c>
      <c r="BJ91" s="62">
        <f t="shared" si="92"/>
        <v>249.61655682981151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11.913603134108651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2.5337970158969609E-4</v>
      </c>
      <c r="BS91" s="24">
        <f t="shared" si="63"/>
        <v>11.913856513810241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860.00000000000023</v>
      </c>
      <c r="BZ91" s="14">
        <f>BY91*VLOOKUP('Données projet'!$B$12,Paramètres!$A$1:$I$88,3,0)*VLOOKUP('Données projet'!$B$12,Paramètres!$A$1:$I$88,5,0)</f>
        <v>346.5800000000001</v>
      </c>
      <c r="CA91" s="14">
        <f t="shared" si="93"/>
        <v>80.857895771535127</v>
      </c>
      <c r="CB91" s="22">
        <f t="shared" si="64"/>
        <v>744.45433513542378</v>
      </c>
      <c r="CC91" s="62">
        <f t="shared" si="65"/>
        <v>1018.1360675046175</v>
      </c>
      <c r="CD91" s="62">
        <f ca="1">AVERAGE(OFFSET($CC$3,0,0,'Données projet'!$E$12+1,1))-AVERAGE(OFFSET($H$3,0,0,'Données projet'!$E$12+1,1))</f>
        <v>432.59662347701629</v>
      </c>
      <c r="CE91" s="62">
        <f t="shared" si="94"/>
        <v>348.67401091099748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53.666756976885253</v>
      </c>
      <c r="CL91" s="23">
        <f>EXP(-LN(2)/25)*CL90+(1-EXP(-LN(2)/25))/(LN(2)/25)*Calculateur!CG91*Calculateur!CI91*VLOOKUP('Données projet'!$B$12,Paramètres!$A$1:$I$88,3,0)*0.475*44/12</f>
        <v>55.699465243218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109.36622222010325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1099.9999999999998</v>
      </c>
      <c r="CU91" s="18">
        <f>CT91*VLOOKUP('Données projet'!$B$13,Paramètres!$A$1:$I$88,3,0)*VLOOKUP('Données projet'!$B$13,Paramètres!$A$1:$I$88,5,0)</f>
        <v>486.19999999999993</v>
      </c>
      <c r="CV91" s="14">
        <f t="shared" si="95"/>
        <v>109.0490179035375</v>
      </c>
      <c r="CW91" s="22">
        <f t="shared" si="67"/>
        <v>1036.725372848661</v>
      </c>
      <c r="CX91" s="62">
        <f t="shared" si="68"/>
        <v>1310.4071052178547</v>
      </c>
      <c r="CY91" s="62">
        <f ca="1">AVERAGE(OFFSET($CX$3,0,0,'Données projet'!$E$13+1,1))-AVERAGE(OFFSET($H$3,0,0,'Données projet'!$E$13+1,1))</f>
        <v>582.26951914082088</v>
      </c>
      <c r="CZ91" s="62">
        <f t="shared" si="96"/>
        <v>434.80429932654715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54.07669612868807</v>
      </c>
      <c r="DG91" s="23">
        <f>EXP(-LN(2)/25)*DG90+(1-EXP(-LN(2)/25))/(LN(2)/25)*Calculateur!DB91*Calculateur!DD91*VLOOKUP('Données projet'!$B$13,Paramètres!$A$1:$I$88,3,0)*0.475*44/12</f>
        <v>50.050305088530294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104.12700121721836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498.99999999999955</v>
      </c>
      <c r="DP91" s="18">
        <f>DO91*VLOOKUP('Données projet'!$B$14,Paramètres!$A$1:$I$88,3,0)*VLOOKUP('Données projet'!$B$14,Paramètres!$A$1:$I$88,5,0)</f>
        <v>240.01899999999978</v>
      </c>
      <c r="DQ91" s="14">
        <f t="shared" si="97"/>
        <v>58.443618405936313</v>
      </c>
      <c r="DR91" s="22">
        <f t="shared" si="70"/>
        <v>519.82239372367201</v>
      </c>
      <c r="DS91" s="62">
        <f t="shared" si="71"/>
        <v>793.5041260928657</v>
      </c>
      <c r="DT91" s="62">
        <f ca="1">AVERAGE(OFFSET($DS$3,0,0,'Données projet'!$E$14+1,1))-AVERAGE(OFFSET($H$3,0,0,'Données projet'!$E$14+1,1))</f>
        <v>273.24375559399846</v>
      </c>
      <c r="DU91" s="62">
        <f t="shared" si="98"/>
        <v>270.77718895097848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projet'!$B$14,Paramètres!$A$1:$I$88,3,0)*0.475*44/12</f>
        <v>27.61452424719274</v>
      </c>
      <c r="EB91" s="23">
        <f>EXP(-LN(2)/25)*EB90+(1-EXP(-LN(2)/25))/(LN(2)/25)*Calculateur!DW91*Calculateur!DY91*VLOOKUP('Données projet'!$B$14,Paramètres!$A$1:$I$88,3,0)*0.475*44/12</f>
        <v>24.411202599091435</v>
      </c>
      <c r="EC91" s="23">
        <f>EXP(-LN(2)/2)*EC90+(1-EXP(-LN(2)/2))/(LN(2)/2)*DW91*DZ91*VLOOKUP('Données projet'!$B$14,Paramètres!$A$1:$I$88,3,0)*0.475*44/12</f>
        <v>0</v>
      </c>
      <c r="ED91" s="24">
        <f t="shared" si="72"/>
        <v>52.025726846284172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498.99999999999955</v>
      </c>
      <c r="EK91" s="18">
        <f>EJ91*VLOOKUP('Données projet'!$B$15,Paramètres!$A$1:$I$88,3,0)*VLOOKUP('Données projet'!$B$15,Paramètres!$A$1:$I$88,5,0)</f>
        <v>233.53199999999975</v>
      </c>
      <c r="EL91" s="14">
        <f t="shared" si="99"/>
        <v>57.04570382109803</v>
      </c>
      <c r="EM91" s="22">
        <f t="shared" si="73"/>
        <v>506.08950082174533</v>
      </c>
      <c r="EN91" s="62">
        <f t="shared" si="74"/>
        <v>779.77123319093903</v>
      </c>
      <c r="EO91" s="62">
        <f ca="1">AVERAGE(OFFSET($EN$3,0,0,'Données projet'!$E$15+1,1))-AVERAGE(OFFSET($H$3,0,0,'Données projet'!$E$15+1,1))</f>
        <v>267.26203506406682</v>
      </c>
      <c r="EP91" s="62">
        <f t="shared" si="100"/>
        <v>265.10857635664843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projet'!$B$15,Paramètres!$A$1:$I$88,3,0)*0.475*44/12</f>
        <v>26.868185754025362</v>
      </c>
      <c r="EW91" s="23">
        <f>EXP(-LN(2)/25)*EW90+(1-EXP(-LN(2)/25))/(LN(2)/25)*Calculateur!ER91*Calculateur!ET91*VLOOKUP('Données projet'!$B$15,Paramètres!$A$1:$I$88,3,0)*0.475*44/12</f>
        <v>23.751440366683557</v>
      </c>
      <c r="EX91" s="23">
        <f>EXP(-LN(2)/2)*EX90+(1-EXP(-LN(2)/2))/(LN(2)/2)*ER91*EU91*VLOOKUP('Données projet'!$B$15,Paramètres!$A$1:$I$88,3,0)*0.475*44/12</f>
        <v>0</v>
      </c>
      <c r="EY91" s="24">
        <f t="shared" si="75"/>
        <v>50.619626120708915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231</v>
      </c>
      <c r="FF91" s="18">
        <f>FE91*VLOOKUP('Données projet'!$B$16,Paramètres!$A$1:$I$88,3,0)*VLOOKUP('Données projet'!$B$16,Paramètres!$A$1:$I$88,5,0)</f>
        <v>169.36920000000001</v>
      </c>
      <c r="FG91" s="14">
        <f t="shared" si="101"/>
        <v>42.948714817158674</v>
      </c>
      <c r="FH91" s="22">
        <f t="shared" si="76"/>
        <v>369.787034973218</v>
      </c>
      <c r="FI91" s="62">
        <f t="shared" si="77"/>
        <v>643.46876734241164</v>
      </c>
      <c r="FJ91" s="62">
        <f ca="1">AVERAGE(OFFSET($FI$3,0,0,'Données projet'!$E$16+1,1))-AVERAGE(OFFSET($H$3,0,0,'Données projet'!$E$16+1,1))</f>
        <v>207.66160354686221</v>
      </c>
      <c r="FK91" s="62">
        <f t="shared" si="102"/>
        <v>260.45879589483525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projet'!$B$16,Paramètres!$A$1:$I$88,3,0)*0.475*44/12</f>
        <v>1.6414508308832236</v>
      </c>
      <c r="FR91" s="23">
        <f>EXP(-LN(2)/25)*FR90+(1-EXP(-LN(2)/25))/(LN(2)/25)*Calculateur!FM91*Calculateur!FO91*VLOOKUP('Données projet'!$B$16,Paramètres!$A$1:$I$88,3,0)*0.475*44/12</f>
        <v>0</v>
      </c>
      <c r="FS91" s="23">
        <f>EXP(-LN(2)/2)*FS90+(1-EXP(-LN(2)/2))/(LN(2)/2)*FM91*FP91*VLOOKUP('Données projet'!$B$16,Paramètres!$A$1:$I$88,3,0)*0.475*44/12</f>
        <v>0</v>
      </c>
      <c r="FT91" s="24">
        <f t="shared" si="78"/>
        <v>1.6414508308832236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projet'!$B$9,Paramètres!$A$1:$I$88,3,0)*VLOOKUP('Données projet'!$B$9,Paramètres!$A$1:$I$88,5,0)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378.13552372917843</v>
      </c>
      <c r="T92" s="62">
        <f t="shared" si="88"/>
        <v>528.97123645404952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124.19080735747843</v>
      </c>
      <c r="AA92" s="23">
        <f>EXP(-LN(2)/25)*AA91+(1-EXP(-LN(2)/25))/(LN(2)/25)*Calculateur!V92*Calculateur!X92*VLOOKUP('Données projet'!$B$9,Paramètres!$A$1:$I$88,3,0)*0.475*44/12</f>
        <v>49.071138356513629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173.26194571399208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7.125</v>
      </c>
      <c r="AI92" s="14">
        <f>IF('Données projet'!$A$62&gt;35,AI91+AH92-AQ91,IF(A92&lt;'Données projet'!$A$62,$AF$205^A92,IF(A92='Données projet'!$A$62,'Données projet'!$B$62,AI91+AH92-AQ91)))</f>
        <v>255.5</v>
      </c>
      <c r="AJ92" s="14">
        <f>AI92*VLOOKUP('Données projet'!$B$10,Paramètres!$A$1:$I$88,3,0)*VLOOKUP('Données projet'!$B$10,Paramètres!$A$1:$I$88,5,0)</f>
        <v>231.1764</v>
      </c>
      <c r="AK92" s="14">
        <f t="shared" si="89"/>
        <v>56.536971139595458</v>
      </c>
      <c r="AL92" s="22">
        <f t="shared" si="58"/>
        <v>501.10078806812868</v>
      </c>
      <c r="AM92" s="62">
        <f t="shared" si="59"/>
        <v>775.12343177965226</v>
      </c>
      <c r="AN92" s="62">
        <f ca="1">AVERAGE(OFFSET($AM$3,0,0,'Données projet'!$E$10+1,1))-AVERAGE(OFFSET($H$3,0,0,'Données projet'!$E$10+1,1))</f>
        <v>536.3707066106856</v>
      </c>
      <c r="AO92" s="62">
        <f t="shared" si="90"/>
        <v>217.6280015974086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16.889920108639835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16.889920108639835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302.3</v>
      </c>
      <c r="BE92" s="14">
        <f>BD92*VLOOKUP('Données projet'!$B$11,Paramètres!$A$1:$I$88,3,0)*VLOOKUP('Données projet'!$B$11,Paramètres!$A$1:$I$88,5,0)</f>
        <v>180.77540000000005</v>
      </c>
      <c r="BF92" s="14">
        <f t="shared" si="91"/>
        <v>45.494655198846154</v>
      </c>
      <c r="BG92" s="22">
        <f t="shared" si="61"/>
        <v>394.08701280465715</v>
      </c>
      <c r="BH92" s="62">
        <f t="shared" si="62"/>
        <v>668.10965651618073</v>
      </c>
      <c r="BI92" s="62">
        <f ca="1">AVERAGE(OFFSET($BH$3,0,0,'Données projet'!$E$11+1,1))-AVERAGE(OFFSET($H$3,0,0,'Données projet'!$E$11+1,1))</f>
        <v>248.66193174773525</v>
      </c>
      <c r="BJ92" s="62">
        <f t="shared" si="92"/>
        <v>249.61655682981151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11.679984643229178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1.7916650520909794E-4</v>
      </c>
      <c r="BS92" s="24">
        <f t="shared" si="63"/>
        <v>11.680163809734387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860.00000000000023</v>
      </c>
      <c r="BZ92" s="14">
        <f>BY92*VLOOKUP('Données projet'!$B$12,Paramètres!$A$1:$I$88,3,0)*VLOOKUP('Données projet'!$B$12,Paramètres!$A$1:$I$88,5,0)</f>
        <v>346.5800000000001</v>
      </c>
      <c r="CA92" s="14">
        <f t="shared" si="93"/>
        <v>80.857895771535127</v>
      </c>
      <c r="CB92" s="22">
        <f t="shared" si="64"/>
        <v>744.45433513542378</v>
      </c>
      <c r="CC92" s="62">
        <f t="shared" si="65"/>
        <v>1018.4769788469473</v>
      </c>
      <c r="CD92" s="62">
        <f ca="1">AVERAGE(OFFSET($CC$3,0,0,'Données projet'!$E$12+1,1))-AVERAGE(OFFSET($H$3,0,0,'Données projet'!$E$12+1,1))</f>
        <v>432.59662347701629</v>
      </c>
      <c r="CE92" s="62">
        <f t="shared" si="94"/>
        <v>348.67401091099748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52.614384606058124</v>
      </c>
      <c r="CL92" s="23">
        <f>EXP(-LN(2)/25)*CL91+(1-EXP(-LN(2)/25))/(LN(2)/25)*Calculateur!CG92*Calculateur!CI92*VLOOKUP('Données projet'!$B$12,Paramètres!$A$1:$I$88,3,0)*0.475*44/12</f>
        <v>54.176360437034631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106.79074504309276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1099.9999999999998</v>
      </c>
      <c r="CU92" s="18">
        <f>CT92*VLOOKUP('Données projet'!$B$13,Paramètres!$A$1:$I$88,3,0)*VLOOKUP('Données projet'!$B$13,Paramètres!$A$1:$I$88,5,0)</f>
        <v>486.19999999999993</v>
      </c>
      <c r="CV92" s="14">
        <f t="shared" si="95"/>
        <v>109.0490179035375</v>
      </c>
      <c r="CW92" s="22">
        <f t="shared" si="67"/>
        <v>1036.725372848661</v>
      </c>
      <c r="CX92" s="62">
        <f t="shared" si="68"/>
        <v>1310.7480165601846</v>
      </c>
      <c r="CY92" s="62">
        <f ca="1">AVERAGE(OFFSET($CX$3,0,0,'Données projet'!$E$13+1,1))-AVERAGE(OFFSET($H$3,0,0,'Données projet'!$E$13+1,1))</f>
        <v>582.26951914082088</v>
      </c>
      <c r="CZ92" s="62">
        <f t="shared" si="96"/>
        <v>434.80429932654715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53.016285101132283</v>
      </c>
      <c r="DG92" s="23">
        <f>EXP(-LN(2)/25)*DG91+(1-EXP(-LN(2)/25))/(LN(2)/25)*Calculateur!DB92*Calculateur!DD92*VLOOKUP('Données projet'!$B$13,Paramètres!$A$1:$I$88,3,0)*0.475*44/12</f>
        <v>48.681676863853284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101.69796196498557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498.99999999999955</v>
      </c>
      <c r="DP92" s="18">
        <f>DO92*VLOOKUP('Données projet'!$B$14,Paramètres!$A$1:$I$88,3,0)*VLOOKUP('Données projet'!$B$14,Paramètres!$A$1:$I$88,5,0)</f>
        <v>240.01899999999978</v>
      </c>
      <c r="DQ92" s="14">
        <f t="shared" si="97"/>
        <v>58.443618405936313</v>
      </c>
      <c r="DR92" s="22">
        <f t="shared" si="70"/>
        <v>519.82239372367201</v>
      </c>
      <c r="DS92" s="62">
        <f t="shared" si="71"/>
        <v>793.84503743519554</v>
      </c>
      <c r="DT92" s="62">
        <f ca="1">AVERAGE(OFFSET($DS$3,0,0,'Données projet'!$E$14+1,1))-AVERAGE(OFFSET($H$3,0,0,'Données projet'!$E$14+1,1))</f>
        <v>273.24375559399846</v>
      </c>
      <c r="DU92" s="62">
        <f t="shared" si="98"/>
        <v>270.77718895097848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projet'!$B$14,Paramètres!$A$1:$I$88,3,0)*0.475*44/12</f>
        <v>27.073020269901953</v>
      </c>
      <c r="EB92" s="23">
        <f>EXP(-LN(2)/25)*EB91+(1-EXP(-LN(2)/25))/(LN(2)/25)*Calculateur!DW92*Calculateur!DY92*VLOOKUP('Données projet'!$B$14,Paramètres!$A$1:$I$88,3,0)*0.475*44/12</f>
        <v>23.743676980289926</v>
      </c>
      <c r="EC92" s="23">
        <f>EXP(-LN(2)/2)*EC91+(1-EXP(-LN(2)/2))/(LN(2)/2)*DW92*DZ92*VLOOKUP('Données projet'!$B$14,Paramètres!$A$1:$I$88,3,0)*0.475*44/12</f>
        <v>0</v>
      </c>
      <c r="ED92" s="24">
        <f t="shared" si="72"/>
        <v>50.816697250191879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498.99999999999955</v>
      </c>
      <c r="EK92" s="18">
        <f>EJ92*VLOOKUP('Données projet'!$B$15,Paramètres!$A$1:$I$88,3,0)*VLOOKUP('Données projet'!$B$15,Paramètres!$A$1:$I$88,5,0)</f>
        <v>233.53199999999975</v>
      </c>
      <c r="EL92" s="14">
        <f t="shared" si="99"/>
        <v>57.04570382109803</v>
      </c>
      <c r="EM92" s="22">
        <f t="shared" si="73"/>
        <v>506.08950082174533</v>
      </c>
      <c r="EN92" s="62">
        <f t="shared" si="74"/>
        <v>780.11214453326897</v>
      </c>
      <c r="EO92" s="62">
        <f ca="1">AVERAGE(OFFSET($EN$3,0,0,'Données projet'!$E$15+1,1))-AVERAGE(OFFSET($H$3,0,0,'Données projet'!$E$15+1,1))</f>
        <v>267.26203506406682</v>
      </c>
      <c r="EP92" s="62">
        <f t="shared" si="100"/>
        <v>265.10857635664843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projet'!$B$15,Paramètres!$A$1:$I$88,3,0)*0.475*44/12</f>
        <v>26.341317019364055</v>
      </c>
      <c r="EW92" s="23">
        <f>EXP(-LN(2)/25)*EW91+(1-EXP(-LN(2)/25))/(LN(2)/25)*Calculateur!ER92*Calculateur!ET92*VLOOKUP('Données projet'!$B$15,Paramètres!$A$1:$I$88,3,0)*0.475*44/12</f>
        <v>23.10195598082263</v>
      </c>
      <c r="EX92" s="23">
        <f>EXP(-LN(2)/2)*EX91+(1-EXP(-LN(2)/2))/(LN(2)/2)*ER92*EU92*VLOOKUP('Données projet'!$B$15,Paramètres!$A$1:$I$88,3,0)*0.475*44/12</f>
        <v>0</v>
      </c>
      <c r="EY92" s="24">
        <f t="shared" si="75"/>
        <v>49.443273000186686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231</v>
      </c>
      <c r="FF92" s="18">
        <f>FE92*VLOOKUP('Données projet'!$B$16,Paramètres!$A$1:$I$88,3,0)*VLOOKUP('Données projet'!$B$16,Paramètres!$A$1:$I$88,5,0)</f>
        <v>169.36920000000001</v>
      </c>
      <c r="FG92" s="14">
        <f t="shared" si="101"/>
        <v>42.948714817158674</v>
      </c>
      <c r="FH92" s="22">
        <f t="shared" si="76"/>
        <v>369.787034973218</v>
      </c>
      <c r="FI92" s="62">
        <f t="shared" si="77"/>
        <v>643.80967868474158</v>
      </c>
      <c r="FJ92" s="62">
        <f ca="1">AVERAGE(OFFSET($FI$3,0,0,'Données projet'!$E$16+1,1))-AVERAGE(OFFSET($H$3,0,0,'Données projet'!$E$16+1,1))</f>
        <v>207.66160354686221</v>
      </c>
      <c r="FK92" s="62">
        <f t="shared" si="102"/>
        <v>260.45879589483525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projet'!$B$16,Paramètres!$A$1:$I$88,3,0)*0.475*44/12</f>
        <v>1.6092629812757515</v>
      </c>
      <c r="FR92" s="23">
        <f>EXP(-LN(2)/25)*FR91+(1-EXP(-LN(2)/25))/(LN(2)/25)*Calculateur!FM92*Calculateur!FO92*VLOOKUP('Données projet'!$B$16,Paramètres!$A$1:$I$88,3,0)*0.475*44/12</f>
        <v>0</v>
      </c>
      <c r="FS92" s="23">
        <f>EXP(-LN(2)/2)*FS91+(1-EXP(-LN(2)/2))/(LN(2)/2)*FM92*FP92*VLOOKUP('Données projet'!$B$16,Paramètres!$A$1:$I$88,3,0)*0.475*44/12</f>
        <v>0</v>
      </c>
      <c r="FT92" s="24">
        <f t="shared" si="78"/>
        <v>1.6092629812757515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projet'!$B$9,Paramètres!$A$1:$I$88,3,0)*VLOOKUP('Données projet'!$B$9,Paramètres!$A$1:$I$88,5,0)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378.13552372917843</v>
      </c>
      <c r="T93" s="62">
        <f t="shared" si="88"/>
        <v>528.97123645404952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121.75550137411119</v>
      </c>
      <c r="AA93" s="23">
        <f>EXP(-LN(2)/25)*AA92+(1-EXP(-LN(2)/25))/(LN(2)/25)*Calculateur!V93*Calculateur!X93*VLOOKUP('Données projet'!$B$9,Paramètres!$A$1:$I$88,3,0)*0.475*44/12</f>
        <v>47.729285497615749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169.48478687172695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7.125</v>
      </c>
      <c r="AI93" s="14">
        <f>IF('Données projet'!$A$62&gt;35,AI92+AH93-AQ92,IF(A93&lt;'Données projet'!$A$62,$AF$205^A93,IF(A93='Données projet'!$A$62,'Données projet'!$B$62,AI92+AH93-AQ92)))</f>
        <v>262.625</v>
      </c>
      <c r="AJ93" s="14">
        <f>AI93*VLOOKUP('Données projet'!$B$10,Paramètres!$A$1:$I$88,3,0)*VLOOKUP('Données projet'!$B$10,Paramètres!$A$1:$I$88,5,0)</f>
        <v>237.62309999999999</v>
      </c>
      <c r="AK93" s="14">
        <f t="shared" si="89"/>
        <v>57.927833005296407</v>
      </c>
      <c r="AL93" s="22">
        <f t="shared" si="58"/>
        <v>514.75120831755794</v>
      </c>
      <c r="AM93" s="62">
        <f t="shared" si="59"/>
        <v>789.10884932178556</v>
      </c>
      <c r="AN93" s="62">
        <f ca="1">AVERAGE(OFFSET($AM$3,0,0,'Données projet'!$E$10+1,1))-AVERAGE(OFFSET($H$3,0,0,'Données projet'!$E$10+1,1))</f>
        <v>536.3707066106856</v>
      </c>
      <c r="AO93" s="62">
        <f t="shared" si="90"/>
        <v>217.6280015974086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16.558719077143451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16.558719077143451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302.3</v>
      </c>
      <c r="BE93" s="14">
        <f>BD93*VLOOKUP('Données projet'!$B$11,Paramètres!$A$1:$I$88,3,0)*VLOOKUP('Données projet'!$B$11,Paramètres!$A$1:$I$88,5,0)</f>
        <v>180.77540000000005</v>
      </c>
      <c r="BF93" s="14">
        <f t="shared" si="91"/>
        <v>45.494655198846154</v>
      </c>
      <c r="BG93" s="22">
        <f t="shared" si="61"/>
        <v>394.08701280465715</v>
      </c>
      <c r="BH93" s="62">
        <f t="shared" si="62"/>
        <v>668.44465380888482</v>
      </c>
      <c r="BI93" s="62">
        <f ca="1">AVERAGE(OFFSET($BH$3,0,0,'Données projet'!$E$11+1,1))-AVERAGE(OFFSET($H$3,0,0,'Données projet'!$E$11+1,1))</f>
        <v>248.66193174773525</v>
      </c>
      <c r="BJ93" s="62">
        <f t="shared" si="92"/>
        <v>249.61655682981151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11.45094726846264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1.2668985079484804E-4</v>
      </c>
      <c r="BS93" s="24">
        <f t="shared" si="63"/>
        <v>11.451073958313435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860.00000000000023</v>
      </c>
      <c r="BZ93" s="14">
        <f>BY93*VLOOKUP('Données projet'!$B$12,Paramètres!$A$1:$I$88,3,0)*VLOOKUP('Données projet'!$B$12,Paramètres!$A$1:$I$88,5,0)</f>
        <v>346.5800000000001</v>
      </c>
      <c r="CA93" s="14">
        <f t="shared" si="93"/>
        <v>80.857895771535127</v>
      </c>
      <c r="CB93" s="22">
        <f t="shared" si="64"/>
        <v>744.45433513542378</v>
      </c>
      <c r="CC93" s="62">
        <f t="shared" si="65"/>
        <v>1018.8119761396515</v>
      </c>
      <c r="CD93" s="62">
        <f ca="1">AVERAGE(OFFSET($CC$3,0,0,'Données projet'!$E$12+1,1))-AVERAGE(OFFSET($H$3,0,0,'Données projet'!$E$12+1,1))</f>
        <v>432.59662347701629</v>
      </c>
      <c r="CE93" s="62">
        <f t="shared" si="94"/>
        <v>348.67401091099748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51.582648615539149</v>
      </c>
      <c r="CL93" s="23">
        <f>EXP(-LN(2)/25)*CL92+(1-EXP(-LN(2)/25))/(LN(2)/25)*Calculateur!CG93*Calculateur!CI93*VLOOKUP('Données projet'!$B$12,Paramètres!$A$1:$I$88,3,0)*0.475*44/12</f>
        <v>52.694905011872947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104.27755362741209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1099.9999999999998</v>
      </c>
      <c r="CU93" s="18">
        <f>CT93*VLOOKUP('Données projet'!$B$13,Paramètres!$A$1:$I$88,3,0)*VLOOKUP('Données projet'!$B$13,Paramètres!$A$1:$I$88,5,0)</f>
        <v>486.19999999999993</v>
      </c>
      <c r="CV93" s="14">
        <f t="shared" si="95"/>
        <v>109.0490179035375</v>
      </c>
      <c r="CW93" s="22">
        <f t="shared" si="67"/>
        <v>1036.725372848661</v>
      </c>
      <c r="CX93" s="62">
        <f t="shared" si="68"/>
        <v>1311.0830138528886</v>
      </c>
      <c r="CY93" s="62">
        <f ca="1">AVERAGE(OFFSET($CX$3,0,0,'Données projet'!$E$13+1,1))-AVERAGE(OFFSET($H$3,0,0,'Données projet'!$E$13+1,1))</f>
        <v>582.26951914082088</v>
      </c>
      <c r="CZ93" s="62">
        <f t="shared" si="96"/>
        <v>434.80429932654715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51.976668087040004</v>
      </c>
      <c r="DG93" s="23">
        <f>EXP(-LN(2)/25)*DG92+(1-EXP(-LN(2)/25))/(LN(2)/25)*Calculateur!DB93*Calculateur!DD93*VLOOKUP('Données projet'!$B$13,Paramètres!$A$1:$I$88,3,0)*0.475*44/12</f>
        <v>47.35047384995309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99.327141936993087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498.99999999999955</v>
      </c>
      <c r="DP93" s="18">
        <f>DO93*VLOOKUP('Données projet'!$B$14,Paramètres!$A$1:$I$88,3,0)*VLOOKUP('Données projet'!$B$14,Paramètres!$A$1:$I$88,5,0)</f>
        <v>240.01899999999978</v>
      </c>
      <c r="DQ93" s="14">
        <f t="shared" si="97"/>
        <v>58.443618405936313</v>
      </c>
      <c r="DR93" s="22">
        <f t="shared" si="70"/>
        <v>519.82239372367201</v>
      </c>
      <c r="DS93" s="62">
        <f t="shared" si="71"/>
        <v>794.18003472789974</v>
      </c>
      <c r="DT93" s="62">
        <f ca="1">AVERAGE(OFFSET($DS$3,0,0,'Données projet'!$E$14+1,1))-AVERAGE(OFFSET($H$3,0,0,'Données projet'!$E$14+1,1))</f>
        <v>273.24375559399846</v>
      </c>
      <c r="DU93" s="62">
        <f t="shared" si="98"/>
        <v>270.77718895097848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projet'!$B$14,Paramètres!$A$1:$I$88,3,0)*0.475*44/12</f>
        <v>26.542134855321027</v>
      </c>
      <c r="EB93" s="23">
        <f>EXP(-LN(2)/25)*EB92+(1-EXP(-LN(2)/25))/(LN(2)/25)*Calculateur!DW93*Calculateur!DY93*VLOOKUP('Données projet'!$B$14,Paramètres!$A$1:$I$88,3,0)*0.475*44/12</f>
        <v>23.094404884638191</v>
      </c>
      <c r="EC93" s="23">
        <f>EXP(-LN(2)/2)*EC92+(1-EXP(-LN(2)/2))/(LN(2)/2)*DW93*DZ93*VLOOKUP('Données projet'!$B$14,Paramètres!$A$1:$I$88,3,0)*0.475*44/12</f>
        <v>0</v>
      </c>
      <c r="ED93" s="24">
        <f t="shared" si="72"/>
        <v>49.636539739959218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498.99999999999955</v>
      </c>
      <c r="EK93" s="18">
        <f>EJ93*VLOOKUP('Données projet'!$B$15,Paramètres!$A$1:$I$88,3,0)*VLOOKUP('Données projet'!$B$15,Paramètres!$A$1:$I$88,5,0)</f>
        <v>233.53199999999975</v>
      </c>
      <c r="EL93" s="14">
        <f t="shared" si="99"/>
        <v>57.04570382109803</v>
      </c>
      <c r="EM93" s="22">
        <f t="shared" si="73"/>
        <v>506.08950082174533</v>
      </c>
      <c r="EN93" s="62">
        <f t="shared" si="74"/>
        <v>780.44714182597295</v>
      </c>
      <c r="EO93" s="62">
        <f ca="1">AVERAGE(OFFSET($EN$3,0,0,'Données projet'!$E$15+1,1))-AVERAGE(OFFSET($H$3,0,0,'Données projet'!$E$15+1,1))</f>
        <v>267.26203506406682</v>
      </c>
      <c r="EP93" s="62">
        <f t="shared" si="100"/>
        <v>265.10857635664843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projet'!$B$15,Paramètres!$A$1:$I$88,3,0)*0.475*44/12</f>
        <v>25.82477985923126</v>
      </c>
      <c r="EW93" s="23">
        <f>EXP(-LN(2)/25)*EW92+(1-EXP(-LN(2)/25))/(LN(2)/25)*Calculateur!ER93*Calculateur!ET93*VLOOKUP('Données projet'!$B$15,Paramètres!$A$1:$I$88,3,0)*0.475*44/12</f>
        <v>22.470231779647971</v>
      </c>
      <c r="EX93" s="23">
        <f>EXP(-LN(2)/2)*EX92+(1-EXP(-LN(2)/2))/(LN(2)/2)*ER93*EU93*VLOOKUP('Données projet'!$B$15,Paramètres!$A$1:$I$88,3,0)*0.475*44/12</f>
        <v>0</v>
      </c>
      <c r="EY93" s="24">
        <f t="shared" si="75"/>
        <v>48.295011638879231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231</v>
      </c>
      <c r="FF93" s="18">
        <f>FE93*VLOOKUP('Données projet'!$B$16,Paramètres!$A$1:$I$88,3,0)*VLOOKUP('Données projet'!$B$16,Paramètres!$A$1:$I$88,5,0)</f>
        <v>169.36920000000001</v>
      </c>
      <c r="FG93" s="14">
        <f t="shared" si="101"/>
        <v>42.948714817158674</v>
      </c>
      <c r="FH93" s="22">
        <f t="shared" si="76"/>
        <v>369.787034973218</v>
      </c>
      <c r="FI93" s="62">
        <f t="shared" si="77"/>
        <v>644.14467597744567</v>
      </c>
      <c r="FJ93" s="62">
        <f ca="1">AVERAGE(OFFSET($FI$3,0,0,'Données projet'!$E$16+1,1))-AVERAGE(OFFSET($H$3,0,0,'Données projet'!$E$16+1,1))</f>
        <v>207.66160354686221</v>
      </c>
      <c r="FK93" s="62">
        <f t="shared" si="102"/>
        <v>260.45879589483525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projet'!$B$16,Paramètres!$A$1:$I$88,3,0)*0.475*44/12</f>
        <v>1.5777063157664322</v>
      </c>
      <c r="FR93" s="23">
        <f>EXP(-LN(2)/25)*FR92+(1-EXP(-LN(2)/25))/(LN(2)/25)*Calculateur!FM93*Calculateur!FO93*VLOOKUP('Données projet'!$B$16,Paramètres!$A$1:$I$88,3,0)*0.475*44/12</f>
        <v>0</v>
      </c>
      <c r="FS93" s="23">
        <f>EXP(-LN(2)/2)*FS92+(1-EXP(-LN(2)/2))/(LN(2)/2)*FM93*FP93*VLOOKUP('Données projet'!$B$16,Paramètres!$A$1:$I$88,3,0)*0.475*44/12</f>
        <v>0</v>
      </c>
      <c r="FT93" s="24">
        <f t="shared" si="78"/>
        <v>1.5777063157664322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projet'!$B$9,Paramètres!$A$1:$I$88,3,0)*VLOOKUP('Données projet'!$B$9,Paramètres!$A$1:$I$88,5,0)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378.13552372917843</v>
      </c>
      <c r="T94" s="62">
        <f t="shared" si="88"/>
        <v>528.97123645404952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119.36795025568779</v>
      </c>
      <c r="AA94" s="23">
        <f>EXP(-LN(2)/25)*AA93+(1-EXP(-LN(2)/25))/(LN(2)/25)*Calculateur!V94*Calculateur!X94*VLOOKUP('Données projet'!$B$9,Paramètres!$A$1:$I$88,3,0)*0.475*44/12</f>
        <v>46.424125675709405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165.79207593139719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7.125</v>
      </c>
      <c r="AI94" s="14">
        <f>IF('Données projet'!$A$62&gt;35,AI93+AH94-AQ93,IF(A94&lt;'Données projet'!$A$62,$AF$205^A94,IF(A94='Données projet'!$A$62,'Données projet'!$B$62,AI93+AH94-AQ93)))</f>
        <v>269.75</v>
      </c>
      <c r="AJ94" s="14">
        <f>AI94*VLOOKUP('Données projet'!$B$10,Paramètres!$A$1:$I$88,3,0)*VLOOKUP('Données projet'!$B$10,Paramètres!$A$1:$I$88,5,0)</f>
        <v>244.06979999999999</v>
      </c>
      <c r="AK94" s="14">
        <f t="shared" si="89"/>
        <v>59.314308993162705</v>
      </c>
      <c r="AL94" s="22">
        <f t="shared" si="58"/>
        <v>528.39398982975831</v>
      </c>
      <c r="AM94" s="62">
        <f t="shared" si="59"/>
        <v>803.08081667260331</v>
      </c>
      <c r="AN94" s="62">
        <f ca="1">AVERAGE(OFFSET($AM$3,0,0,'Données projet'!$E$10+1,1))-AVERAGE(OFFSET($H$3,0,0,'Données projet'!$E$10+1,1))</f>
        <v>536.3707066106856</v>
      </c>
      <c r="AO94" s="62">
        <f t="shared" si="90"/>
        <v>217.6280015974086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16.234012695862031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16.234012695862031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302.3</v>
      </c>
      <c r="BE94" s="14">
        <f>BD94*VLOOKUP('Données projet'!$B$11,Paramètres!$A$1:$I$88,3,0)*VLOOKUP('Données projet'!$B$11,Paramètres!$A$1:$I$88,5,0)</f>
        <v>180.77540000000005</v>
      </c>
      <c r="BF94" s="14">
        <f t="shared" si="91"/>
        <v>45.494655198846154</v>
      </c>
      <c r="BG94" s="22">
        <f t="shared" si="61"/>
        <v>394.08701280465715</v>
      </c>
      <c r="BH94" s="62">
        <f t="shared" si="62"/>
        <v>668.7738396475022</v>
      </c>
      <c r="BI94" s="62">
        <f ca="1">AVERAGE(OFFSET($BH$3,0,0,'Données projet'!$E$11+1,1))-AVERAGE(OFFSET($H$3,0,0,'Données projet'!$E$11+1,1))</f>
        <v>248.66193174773525</v>
      </c>
      <c r="BJ94" s="62">
        <f t="shared" si="92"/>
        <v>249.61655682981151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11.226401176916271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8.9583252604548972E-5</v>
      </c>
      <c r="BS94" s="24">
        <f t="shared" si="63"/>
        <v>11.226490760168875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860.00000000000023</v>
      </c>
      <c r="BZ94" s="14">
        <f>BY94*VLOOKUP('Données projet'!$B$12,Paramètres!$A$1:$I$88,3,0)*VLOOKUP('Données projet'!$B$12,Paramètres!$A$1:$I$88,5,0)</f>
        <v>346.5800000000001</v>
      </c>
      <c r="CA94" s="14">
        <f t="shared" si="93"/>
        <v>80.857895771535127</v>
      </c>
      <c r="CB94" s="22">
        <f t="shared" si="64"/>
        <v>744.45433513542378</v>
      </c>
      <c r="CC94" s="62">
        <f t="shared" si="65"/>
        <v>1019.1411619782689</v>
      </c>
      <c r="CD94" s="62">
        <f ca="1">AVERAGE(OFFSET($CC$3,0,0,'Données projet'!$E$12+1,1))-AVERAGE(OFFSET($H$3,0,0,'Données projet'!$E$12+1,1))</f>
        <v>432.59662347701629</v>
      </c>
      <c r="CE94" s="62">
        <f t="shared" si="94"/>
        <v>348.67401091099748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50.57114433849744</v>
      </c>
      <c r="CL94" s="23">
        <f>EXP(-LN(2)/25)*CL93+(1-EXP(-LN(2)/25))/(LN(2)/25)*Calculateur!CG94*Calculateur!CI94*VLOOKUP('Données projet'!$B$12,Paramètres!$A$1:$I$88,3,0)*0.475*44/12</f>
        <v>51.253960063218663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101.8251044017161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1099.9999999999998</v>
      </c>
      <c r="CU94" s="18">
        <f>CT94*VLOOKUP('Données projet'!$B$13,Paramètres!$A$1:$I$88,3,0)*VLOOKUP('Données projet'!$B$13,Paramètres!$A$1:$I$88,5,0)</f>
        <v>486.19999999999993</v>
      </c>
      <c r="CV94" s="14">
        <f t="shared" si="95"/>
        <v>109.0490179035375</v>
      </c>
      <c r="CW94" s="22">
        <f t="shared" si="67"/>
        <v>1036.725372848661</v>
      </c>
      <c r="CX94" s="62">
        <f t="shared" si="68"/>
        <v>1311.412199691506</v>
      </c>
      <c r="CY94" s="62">
        <f ca="1">AVERAGE(OFFSET($CX$3,0,0,'Données projet'!$E$13+1,1))-AVERAGE(OFFSET($H$3,0,0,'Données projet'!$E$13+1,1))</f>
        <v>582.26951914082088</v>
      </c>
      <c r="CZ94" s="62">
        <f t="shared" si="96"/>
        <v>434.80429932654715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50.957437328490307</v>
      </c>
      <c r="DG94" s="23">
        <f>EXP(-LN(2)/25)*DG93+(1-EXP(-LN(2)/25))/(LN(2)/25)*Calculateur!DB94*Calculateur!DD94*VLOOKUP('Données projet'!$B$13,Paramètres!$A$1:$I$88,3,0)*0.475*44/12</f>
        <v>46.055672652472921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97.013109980963236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498.99999999999955</v>
      </c>
      <c r="DP94" s="18">
        <f>DO94*VLOOKUP('Données projet'!$B$14,Paramètres!$A$1:$I$88,3,0)*VLOOKUP('Données projet'!$B$14,Paramètres!$A$1:$I$88,5,0)</f>
        <v>240.01899999999978</v>
      </c>
      <c r="DQ94" s="14">
        <f t="shared" si="97"/>
        <v>58.443618405936313</v>
      </c>
      <c r="DR94" s="22">
        <f t="shared" si="70"/>
        <v>519.82239372367201</v>
      </c>
      <c r="DS94" s="62">
        <f t="shared" si="71"/>
        <v>794.50922056651712</v>
      </c>
      <c r="DT94" s="62">
        <f ca="1">AVERAGE(OFFSET($DS$3,0,0,'Données projet'!$E$14+1,1))-AVERAGE(OFFSET($H$3,0,0,'Données projet'!$E$14+1,1))</f>
        <v>273.24375559399846</v>
      </c>
      <c r="DU94" s="62">
        <f t="shared" si="98"/>
        <v>270.77718895097848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projet'!$B$14,Paramètres!$A$1:$I$88,3,0)*0.475*44/12</f>
        <v>26.021659779911904</v>
      </c>
      <c r="EB94" s="23">
        <f>EXP(-LN(2)/25)*EB93+(1-EXP(-LN(2)/25))/(LN(2)/25)*Calculateur!DW94*Calculateur!DY94*VLOOKUP('Données projet'!$B$14,Paramètres!$A$1:$I$88,3,0)*0.475*44/12</f>
        <v>22.462887168585791</v>
      </c>
      <c r="EC94" s="23">
        <f>EXP(-LN(2)/2)*EC93+(1-EXP(-LN(2)/2))/(LN(2)/2)*DW94*DZ94*VLOOKUP('Données projet'!$B$14,Paramètres!$A$1:$I$88,3,0)*0.475*44/12</f>
        <v>0</v>
      </c>
      <c r="ED94" s="24">
        <f t="shared" si="72"/>
        <v>48.484546948497695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498.99999999999955</v>
      </c>
      <c r="EK94" s="18">
        <f>EJ94*VLOOKUP('Données projet'!$B$15,Paramètres!$A$1:$I$88,3,0)*VLOOKUP('Données projet'!$B$15,Paramètres!$A$1:$I$88,5,0)</f>
        <v>233.53199999999975</v>
      </c>
      <c r="EL94" s="14">
        <f t="shared" si="99"/>
        <v>57.04570382109803</v>
      </c>
      <c r="EM94" s="22">
        <f t="shared" si="73"/>
        <v>506.08950082174533</v>
      </c>
      <c r="EN94" s="62">
        <f t="shared" si="74"/>
        <v>780.77632766459033</v>
      </c>
      <c r="EO94" s="62">
        <f ca="1">AVERAGE(OFFSET($EN$3,0,0,'Données projet'!$E$15+1,1))-AVERAGE(OFFSET($H$3,0,0,'Données projet'!$E$15+1,1))</f>
        <v>267.26203506406682</v>
      </c>
      <c r="EP94" s="62">
        <f t="shared" si="100"/>
        <v>265.10857635664843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projet'!$B$15,Paramètres!$A$1:$I$88,3,0)*0.475*44/12</f>
        <v>25.318371677752111</v>
      </c>
      <c r="EW94" s="23">
        <f>EXP(-LN(2)/25)*EW93+(1-EXP(-LN(2)/25))/(LN(2)/25)*Calculateur!ER94*Calculateur!ET94*VLOOKUP('Données projet'!$B$15,Paramètres!$A$1:$I$88,3,0)*0.475*44/12</f>
        <v>21.855782109975365</v>
      </c>
      <c r="EX94" s="23">
        <f>EXP(-LN(2)/2)*EX93+(1-EXP(-LN(2)/2))/(LN(2)/2)*ER94*EU94*VLOOKUP('Données projet'!$B$15,Paramètres!$A$1:$I$88,3,0)*0.475*44/12</f>
        <v>0</v>
      </c>
      <c r="EY94" s="24">
        <f t="shared" si="75"/>
        <v>47.174153787727477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231</v>
      </c>
      <c r="FF94" s="18">
        <f>FE94*VLOOKUP('Données projet'!$B$16,Paramètres!$A$1:$I$88,3,0)*VLOOKUP('Données projet'!$B$16,Paramètres!$A$1:$I$88,5,0)</f>
        <v>169.36920000000001</v>
      </c>
      <c r="FG94" s="14">
        <f t="shared" si="101"/>
        <v>42.948714817158674</v>
      </c>
      <c r="FH94" s="22">
        <f t="shared" si="76"/>
        <v>369.787034973218</v>
      </c>
      <c r="FI94" s="62">
        <f t="shared" si="77"/>
        <v>644.47386181606305</v>
      </c>
      <c r="FJ94" s="62">
        <f ca="1">AVERAGE(OFFSET($FI$3,0,0,'Données projet'!$E$16+1,1))-AVERAGE(OFFSET($H$3,0,0,'Données projet'!$E$16+1,1))</f>
        <v>207.66160354686221</v>
      </c>
      <c r="FK94" s="62">
        <f t="shared" si="102"/>
        <v>260.45879589483525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projet'!$B$16,Paramètres!$A$1:$I$88,3,0)*0.475*44/12</f>
        <v>1.5467684572200853</v>
      </c>
      <c r="FR94" s="23">
        <f>EXP(-LN(2)/25)*FR93+(1-EXP(-LN(2)/25))/(LN(2)/25)*Calculateur!FM94*Calculateur!FO94*VLOOKUP('Données projet'!$B$16,Paramètres!$A$1:$I$88,3,0)*0.475*44/12</f>
        <v>0</v>
      </c>
      <c r="FS94" s="23">
        <f>EXP(-LN(2)/2)*FS93+(1-EXP(-LN(2)/2))/(LN(2)/2)*FM94*FP94*VLOOKUP('Données projet'!$B$16,Paramètres!$A$1:$I$88,3,0)*0.475*44/12</f>
        <v>0</v>
      </c>
      <c r="FT94" s="24">
        <f t="shared" si="78"/>
        <v>1.5467684572200853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projet'!$B$9,Paramètres!$A$1:$I$88,3,0)*VLOOKUP('Données projet'!$B$9,Paramètres!$A$1:$I$88,5,0)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378.13552372917843</v>
      </c>
      <c r="T95" s="62">
        <f t="shared" si="88"/>
        <v>528.97123645404952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117.02721755843429</v>
      </c>
      <c r="AA95" s="23">
        <f>EXP(-LN(2)/25)*AA94+(1-EXP(-LN(2)/25))/(LN(2)/25)*Calculateur!V95*Calculateur!X95*VLOOKUP('Données projet'!$B$9,Paramètres!$A$1:$I$88,3,0)*0.475*44/12</f>
        <v>45.154655517768468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162.18187307620275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7.125</v>
      </c>
      <c r="AI95" s="14">
        <f>IF('Données projet'!$A$62&gt;35,AI94+AH95-AQ94,IF(A95&lt;'Données projet'!$A$62,$AF$205^A95,IF(A95='Données projet'!$A$62,'Données projet'!$B$62,AI94+AH95-AQ94)))</f>
        <v>276.875</v>
      </c>
      <c r="AJ95" s="14">
        <f>AI95*VLOOKUP('Données projet'!$B$10,Paramètres!$A$1:$I$88,3,0)*VLOOKUP('Données projet'!$B$10,Paramètres!$A$1:$I$88,5,0)</f>
        <v>250.51649999999998</v>
      </c>
      <c r="AK95" s="14">
        <f t="shared" si="89"/>
        <v>60.696528265135505</v>
      </c>
      <c r="AL95" s="22">
        <f t="shared" si="58"/>
        <v>542.0293575617776</v>
      </c>
      <c r="AM95" s="62">
        <f t="shared" si="59"/>
        <v>817.03965960488927</v>
      </c>
      <c r="AN95" s="62">
        <f ca="1">AVERAGE(OFFSET($AM$3,0,0,'Données projet'!$E$10+1,1))-AVERAGE(OFFSET($H$3,0,0,'Données projet'!$E$10+1,1))</f>
        <v>536.3707066106856</v>
      </c>
      <c r="AO95" s="62">
        <f t="shared" si="90"/>
        <v>217.6280015974086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15.915673608666202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15.915673608666202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302.3</v>
      </c>
      <c r="BE95" s="14">
        <f>BD95*VLOOKUP('Données projet'!$B$11,Paramètres!$A$1:$I$88,3,0)*VLOOKUP('Données projet'!$B$11,Paramètres!$A$1:$I$88,5,0)</f>
        <v>180.77540000000005</v>
      </c>
      <c r="BF95" s="14">
        <f t="shared" si="91"/>
        <v>45.494655198846154</v>
      </c>
      <c r="BG95" s="22">
        <f t="shared" si="61"/>
        <v>394.08701280465715</v>
      </c>
      <c r="BH95" s="62">
        <f t="shared" si="62"/>
        <v>669.09731484776887</v>
      </c>
      <c r="BI95" s="62">
        <f ca="1">AVERAGE(OFFSET($BH$3,0,0,'Données projet'!$E$11+1,1))-AVERAGE(OFFSET($H$3,0,0,'Données projet'!$E$11+1,1))</f>
        <v>248.66193174773525</v>
      </c>
      <c r="BJ95" s="62">
        <f t="shared" si="92"/>
        <v>249.61655682981151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11.006258297265534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6.3344925397424022E-5</v>
      </c>
      <c r="BS95" s="24">
        <f t="shared" si="63"/>
        <v>11.006321642190931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860.00000000000023</v>
      </c>
      <c r="BZ95" s="14">
        <f>BY95*VLOOKUP('Données projet'!$B$12,Paramètres!$A$1:$I$88,3,0)*VLOOKUP('Données projet'!$B$12,Paramètres!$A$1:$I$88,5,0)</f>
        <v>346.5800000000001</v>
      </c>
      <c r="CA95" s="14">
        <f t="shared" si="93"/>
        <v>80.857895771535127</v>
      </c>
      <c r="CB95" s="22">
        <f t="shared" si="64"/>
        <v>744.45433513542378</v>
      </c>
      <c r="CC95" s="62">
        <f t="shared" si="65"/>
        <v>1019.4646371785354</v>
      </c>
      <c r="CD95" s="62">
        <f ca="1">AVERAGE(OFFSET($CC$3,0,0,'Données projet'!$E$12+1,1))-AVERAGE(OFFSET($H$3,0,0,'Données projet'!$E$12+1,1))</f>
        <v>432.59662347701629</v>
      </c>
      <c r="CE95" s="62">
        <f t="shared" si="94"/>
        <v>348.67401091099748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49.579475043371829</v>
      </c>
      <c r="CL95" s="23">
        <f>EXP(-LN(2)/25)*CL94+(1-EXP(-LN(2)/25))/(LN(2)/25)*Calculateur!CG95*Calculateur!CI95*VLOOKUP('Données projet'!$B$12,Paramètres!$A$1:$I$88,3,0)*0.475*44/12</f>
        <v>49.852417829961333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99.431892873333169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1099.9999999999998</v>
      </c>
      <c r="CU95" s="18">
        <f>CT95*VLOOKUP('Données projet'!$B$13,Paramètres!$A$1:$I$88,3,0)*VLOOKUP('Données projet'!$B$13,Paramètres!$A$1:$I$88,5,0)</f>
        <v>486.19999999999993</v>
      </c>
      <c r="CV95" s="14">
        <f t="shared" si="95"/>
        <v>109.0490179035375</v>
      </c>
      <c r="CW95" s="22">
        <f t="shared" si="67"/>
        <v>1036.725372848661</v>
      </c>
      <c r="CX95" s="62">
        <f t="shared" si="68"/>
        <v>1311.7356748917728</v>
      </c>
      <c r="CY95" s="62">
        <f ca="1">AVERAGE(OFFSET($CX$3,0,0,'Données projet'!$E$13+1,1))-AVERAGE(OFFSET($H$3,0,0,'Données projet'!$E$13+1,1))</f>
        <v>582.26951914082088</v>
      </c>
      <c r="CZ95" s="62">
        <f t="shared" si="96"/>
        <v>434.80429932654715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49.958193063446394</v>
      </c>
      <c r="DG95" s="23">
        <f>EXP(-LN(2)/25)*DG94+(1-EXP(-LN(2)/25))/(LN(2)/25)*Calculateur!DB95*Calculateur!DD95*VLOOKUP('Données projet'!$B$13,Paramètres!$A$1:$I$88,3,0)*0.475*44/12</f>
        <v>44.796277861828486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94.754470925274887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498.99999999999955</v>
      </c>
      <c r="DP95" s="18">
        <f>DO95*VLOOKUP('Données projet'!$B$14,Paramètres!$A$1:$I$88,3,0)*VLOOKUP('Données projet'!$B$14,Paramètres!$A$1:$I$88,5,0)</f>
        <v>240.01899999999978</v>
      </c>
      <c r="DQ95" s="14">
        <f t="shared" si="97"/>
        <v>58.443618405936313</v>
      </c>
      <c r="DR95" s="22">
        <f t="shared" si="70"/>
        <v>519.82239372367201</v>
      </c>
      <c r="DS95" s="62">
        <f t="shared" si="71"/>
        <v>794.83269576678367</v>
      </c>
      <c r="DT95" s="62">
        <f ca="1">AVERAGE(OFFSET($DS$3,0,0,'Données projet'!$E$14+1,1))-AVERAGE(OFFSET($H$3,0,0,'Données projet'!$E$14+1,1))</f>
        <v>273.24375559399846</v>
      </c>
      <c r="DU95" s="62">
        <f t="shared" si="98"/>
        <v>270.77718895097848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projet'!$B$14,Paramètres!$A$1:$I$88,3,0)*0.475*44/12</f>
        <v>25.511390903273103</v>
      </c>
      <c r="EB95" s="23">
        <f>EXP(-LN(2)/25)*EB94+(1-EXP(-LN(2)/25))/(LN(2)/25)*Calculateur!DW95*Calculateur!DY95*VLOOKUP('Données projet'!$B$14,Paramètres!$A$1:$I$88,3,0)*0.475*44/12</f>
        <v>21.848638337688914</v>
      </c>
      <c r="EC95" s="23">
        <f>EXP(-LN(2)/2)*EC94+(1-EXP(-LN(2)/2))/(LN(2)/2)*DW95*DZ95*VLOOKUP('Données projet'!$B$14,Paramètres!$A$1:$I$88,3,0)*0.475*44/12</f>
        <v>0</v>
      </c>
      <c r="ED95" s="24">
        <f t="shared" si="72"/>
        <v>47.360029240962021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498.99999999999955</v>
      </c>
      <c r="EK95" s="18">
        <f>EJ95*VLOOKUP('Données projet'!$B$15,Paramètres!$A$1:$I$88,3,0)*VLOOKUP('Données projet'!$B$15,Paramètres!$A$1:$I$88,5,0)</f>
        <v>233.53199999999975</v>
      </c>
      <c r="EL95" s="14">
        <f t="shared" si="99"/>
        <v>57.04570382109803</v>
      </c>
      <c r="EM95" s="22">
        <f t="shared" si="73"/>
        <v>506.08950082174533</v>
      </c>
      <c r="EN95" s="62">
        <f t="shared" si="74"/>
        <v>781.09980286485711</v>
      </c>
      <c r="EO95" s="62">
        <f ca="1">AVERAGE(OFFSET($EN$3,0,0,'Données projet'!$E$15+1,1))-AVERAGE(OFFSET($H$3,0,0,'Données projet'!$E$15+1,1))</f>
        <v>267.26203506406682</v>
      </c>
      <c r="EP95" s="62">
        <f t="shared" si="100"/>
        <v>265.10857635664843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projet'!$B$15,Paramètres!$A$1:$I$88,3,0)*0.475*44/12</f>
        <v>24.821893851833277</v>
      </c>
      <c r="EW95" s="23">
        <f>EXP(-LN(2)/25)*EW94+(1-EXP(-LN(2)/25))/(LN(2)/25)*Calculateur!ER95*Calculateur!ET95*VLOOKUP('Données projet'!$B$15,Paramètres!$A$1:$I$88,3,0)*0.475*44/12</f>
        <v>21.258134598832459</v>
      </c>
      <c r="EX95" s="23">
        <f>EXP(-LN(2)/2)*EX94+(1-EXP(-LN(2)/2))/(LN(2)/2)*ER95*EU95*VLOOKUP('Données projet'!$B$15,Paramètres!$A$1:$I$88,3,0)*0.475*44/12</f>
        <v>0</v>
      </c>
      <c r="EY95" s="24">
        <f t="shared" si="75"/>
        <v>46.080028450665736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231</v>
      </c>
      <c r="FF95" s="18">
        <f>FE95*VLOOKUP('Données projet'!$B$16,Paramètres!$A$1:$I$88,3,0)*VLOOKUP('Données projet'!$B$16,Paramètres!$A$1:$I$88,5,0)</f>
        <v>169.36920000000001</v>
      </c>
      <c r="FG95" s="14">
        <f t="shared" si="101"/>
        <v>42.948714817158674</v>
      </c>
      <c r="FH95" s="22">
        <f t="shared" si="76"/>
        <v>369.787034973218</v>
      </c>
      <c r="FI95" s="62">
        <f t="shared" si="77"/>
        <v>644.79733701632972</v>
      </c>
      <c r="FJ95" s="62">
        <f ca="1">AVERAGE(OFFSET($FI$3,0,0,'Données projet'!$E$16+1,1))-AVERAGE(OFFSET($H$3,0,0,'Données projet'!$E$16+1,1))</f>
        <v>207.66160354686221</v>
      </c>
      <c r="FK95" s="62">
        <f t="shared" si="102"/>
        <v>260.45879589483525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projet'!$B$16,Paramètres!$A$1:$I$88,3,0)*0.475*44/12</f>
        <v>1.5164372712096017</v>
      </c>
      <c r="FR95" s="23">
        <f>EXP(-LN(2)/25)*FR94+(1-EXP(-LN(2)/25))/(LN(2)/25)*Calculateur!FM95*Calculateur!FO95*VLOOKUP('Données projet'!$B$16,Paramètres!$A$1:$I$88,3,0)*0.475*44/12</f>
        <v>0</v>
      </c>
      <c r="FS95" s="23">
        <f>EXP(-LN(2)/2)*FS94+(1-EXP(-LN(2)/2))/(LN(2)/2)*FM95*FP95*VLOOKUP('Données projet'!$B$16,Paramètres!$A$1:$I$88,3,0)*0.475*44/12</f>
        <v>0</v>
      </c>
      <c r="FT95" s="24">
        <f t="shared" si="78"/>
        <v>1.5164372712096017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projet'!$B$9,Paramètres!$A$1:$I$88,3,0)*VLOOKUP('Données projet'!$B$9,Paramètres!$A$1:$I$88,5,0)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378.13552372917843</v>
      </c>
      <c r="T96" s="62">
        <f t="shared" si="88"/>
        <v>528.97123645404952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114.73238520166795</v>
      </c>
      <c r="AA96" s="23">
        <f>EXP(-LN(2)/25)*AA95+(1-EXP(-LN(2)/25))/(LN(2)/25)*Calculateur!V96*Calculateur!X96*VLOOKUP('Données projet'!$B$9,Paramètres!$A$1:$I$88,3,0)*0.475*44/12</f>
        <v>43.919899088054954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158.6522842897229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>
        <f>VLOOKUP(A96,'Données projet'!$A$61:$I$81,2,0)</f>
        <v>284</v>
      </c>
      <c r="AG96" s="13">
        <f>VLOOKUP(A96,'Données projet'!$A$61:$I$81,9,0)</f>
        <v>7.125</v>
      </c>
      <c r="AH96" s="13">
        <f t="array" ref="AH96">INDEX(AG:AG,MIN(IF(ISNUMBER(AG96:AG292),ROW(AG96:AG292),"")))</f>
        <v>7.125</v>
      </c>
      <c r="AI96" s="14">
        <f>IF('Données projet'!$A$62&gt;35,AI95+AH96-AQ95,IF(A96&lt;'Données projet'!$A$62,$AF$205^A96,IF(A96='Données projet'!$A$62,'Données projet'!$B$62,AI95+AH96-AQ95)))</f>
        <v>284</v>
      </c>
      <c r="AJ96" s="14">
        <f>AI96*VLOOKUP('Données projet'!$B$10,Paramètres!$A$1:$I$88,3,0)*VLOOKUP('Données projet'!$B$10,Paramètres!$A$1:$I$88,5,0)</f>
        <v>256.96320000000003</v>
      </c>
      <c r="AK96" s="14">
        <f t="shared" si="89"/>
        <v>62.074612956838024</v>
      </c>
      <c r="AL96" s="22">
        <f t="shared" si="58"/>
        <v>555.65752423315951</v>
      </c>
      <c r="AM96" s="62">
        <f t="shared" si="59"/>
        <v>830.98568990499552</v>
      </c>
      <c r="AN96" s="62">
        <f ca="1">AVERAGE(OFFSET($AM$3,0,0,'Données projet'!$E$10+1,1))-AVERAGE(OFFSET($H$3,0,0,'Données projet'!$E$10+1,1))</f>
        <v>536.3707066106856</v>
      </c>
      <c r="AO96" s="62">
        <f t="shared" si="90"/>
        <v>217.6280015974086</v>
      </c>
      <c r="AP96" s="16">
        <f>IF(ISNA(VLOOKUP(A96,'Données projet'!$A$61:$I$81,3,0)),0,VLOOKUP(A96,'Données projet'!$A$61:$I$81,3,0))</f>
        <v>11</v>
      </c>
      <c r="AQ96" s="16">
        <f>IF(ISNA(VLOOKUP(A96,'Données projet'!$A$61:$I$81,4,0)),0,VLOOKUP(A96,'Données projet'!$A$61:$I$81,4,0))</f>
        <v>40</v>
      </c>
      <c r="AR96" s="17">
        <f>IF(ISNA(VLOOKUP(A96,'Données projet'!$A$61:$I$81,5,0)),0%,VLOOKUP(A96,'Données projet'!$A$61:$I$81,5,0)*VLOOKUP('Données projet'!$B$10,Paramètres!$A$1:$I$88,7,0))</f>
        <v>0.17200000000000001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22.485156600684338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22.485156600684338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302.3</v>
      </c>
      <c r="BE96" s="14">
        <f>BD96*VLOOKUP('Données projet'!$B$11,Paramètres!$A$1:$I$88,3,0)*VLOOKUP('Données projet'!$B$11,Paramètres!$A$1:$I$88,5,0)</f>
        <v>180.77540000000005</v>
      </c>
      <c r="BF96" s="14">
        <f t="shared" si="91"/>
        <v>45.494655198846154</v>
      </c>
      <c r="BG96" s="22">
        <f t="shared" si="61"/>
        <v>394.08701280465715</v>
      </c>
      <c r="BH96" s="62">
        <f t="shared" si="62"/>
        <v>669.41517847649311</v>
      </c>
      <c r="BI96" s="62">
        <f ca="1">AVERAGE(OFFSET($BH$3,0,0,'Données projet'!$E$11+1,1))-AVERAGE(OFFSET($H$3,0,0,'Données projet'!$E$11+1,1))</f>
        <v>248.66193174773525</v>
      </c>
      <c r="BJ96" s="62">
        <f t="shared" si="92"/>
        <v>249.61655682981151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10.79043228521085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4.4791626302274486E-5</v>
      </c>
      <c r="BS96" s="24">
        <f t="shared" si="63"/>
        <v>10.790477076837153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860.00000000000023</v>
      </c>
      <c r="BZ96" s="14">
        <f>BY96*VLOOKUP('Données projet'!$B$12,Paramètres!$A$1:$I$88,3,0)*VLOOKUP('Données projet'!$B$12,Paramètres!$A$1:$I$88,5,0)</f>
        <v>346.5800000000001</v>
      </c>
      <c r="CA96" s="14">
        <f t="shared" si="93"/>
        <v>80.857895771535127</v>
      </c>
      <c r="CB96" s="22">
        <f t="shared" si="64"/>
        <v>744.45433513542378</v>
      </c>
      <c r="CC96" s="62">
        <f t="shared" si="65"/>
        <v>1019.7825008072598</v>
      </c>
      <c r="CD96" s="62">
        <f ca="1">AVERAGE(OFFSET($CC$3,0,0,'Données projet'!$E$12+1,1))-AVERAGE(OFFSET($H$3,0,0,'Données projet'!$E$12+1,1))</f>
        <v>432.59662347701629</v>
      </c>
      <c r="CE96" s="62">
        <f t="shared" si="94"/>
        <v>348.67401091099748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48.607251778265081</v>
      </c>
      <c r="CL96" s="23">
        <f>EXP(-LN(2)/25)*CL95+(1-EXP(-LN(2)/25))/(LN(2)/25)*Calculateur!CG96*Calculateur!CI96*VLOOKUP('Données projet'!$B$12,Paramètres!$A$1:$I$88,3,0)*0.475*44/12</f>
        <v>48.489200842776327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97.096452621041408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1099.9999999999998</v>
      </c>
      <c r="CU96" s="18">
        <f>CT96*VLOOKUP('Données projet'!$B$13,Paramètres!$A$1:$I$88,3,0)*VLOOKUP('Données projet'!$B$13,Paramètres!$A$1:$I$88,5,0)</f>
        <v>486.19999999999993</v>
      </c>
      <c r="CV96" s="14">
        <f t="shared" si="95"/>
        <v>109.0490179035375</v>
      </c>
      <c r="CW96" s="22">
        <f t="shared" si="67"/>
        <v>1036.725372848661</v>
      </c>
      <c r="CX96" s="62">
        <f t="shared" si="68"/>
        <v>1312.0535385204969</v>
      </c>
      <c r="CY96" s="62">
        <f ca="1">AVERAGE(OFFSET($CX$3,0,0,'Données projet'!$E$13+1,1))-AVERAGE(OFFSET($H$3,0,0,'Données projet'!$E$13+1,1))</f>
        <v>582.26951914082088</v>
      </c>
      <c r="CZ96" s="62">
        <f t="shared" si="96"/>
        <v>434.80429932654715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48.978543368961169</v>
      </c>
      <c r="DG96" s="23">
        <f>EXP(-LN(2)/25)*DG95+(1-EXP(-LN(2)/25))/(LN(2)/25)*Calculateur!DB96*Calculateur!DD96*VLOOKUP('Données projet'!$B$13,Paramètres!$A$1:$I$88,3,0)*0.475*44/12</f>
        <v>43.571321287962917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92.549864656924086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498.99999999999955</v>
      </c>
      <c r="DP96" s="18">
        <f>DO96*VLOOKUP('Données projet'!$B$14,Paramètres!$A$1:$I$88,3,0)*VLOOKUP('Données projet'!$B$14,Paramètres!$A$1:$I$88,5,0)</f>
        <v>240.01899999999978</v>
      </c>
      <c r="DQ96" s="14">
        <f t="shared" si="97"/>
        <v>58.443618405936313</v>
      </c>
      <c r="DR96" s="22">
        <f t="shared" si="70"/>
        <v>519.82239372367201</v>
      </c>
      <c r="DS96" s="62">
        <f t="shared" si="71"/>
        <v>795.15055939550803</v>
      </c>
      <c r="DT96" s="62">
        <f ca="1">AVERAGE(OFFSET($DS$3,0,0,'Données projet'!$E$14+1,1))-AVERAGE(OFFSET($H$3,0,0,'Données projet'!$E$14+1,1))</f>
        <v>273.24375559399846</v>
      </c>
      <c r="DU96" s="62">
        <f t="shared" si="98"/>
        <v>270.77718895097848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projet'!$B$14,Paramètres!$A$1:$I$88,3,0)*0.475*44/12</f>
        <v>25.011128088071906</v>
      </c>
      <c r="EB96" s="23">
        <f>EXP(-LN(2)/25)*EB95+(1-EXP(-LN(2)/25))/(LN(2)/25)*Calculateur!DW96*Calculateur!DY96*VLOOKUP('Données projet'!$B$14,Paramètres!$A$1:$I$88,3,0)*0.475*44/12</f>
        <v>21.251186173374858</v>
      </c>
      <c r="EC96" s="23">
        <f>EXP(-LN(2)/2)*EC95+(1-EXP(-LN(2)/2))/(LN(2)/2)*DW96*DZ96*VLOOKUP('Données projet'!$B$14,Paramètres!$A$1:$I$88,3,0)*0.475*44/12</f>
        <v>0</v>
      </c>
      <c r="ED96" s="24">
        <f t="shared" si="72"/>
        <v>46.262314261446761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498.99999999999955</v>
      </c>
      <c r="EK96" s="18">
        <f>EJ96*VLOOKUP('Données projet'!$B$15,Paramètres!$A$1:$I$88,3,0)*VLOOKUP('Données projet'!$B$15,Paramètres!$A$1:$I$88,5,0)</f>
        <v>233.53199999999975</v>
      </c>
      <c r="EL96" s="14">
        <f t="shared" si="99"/>
        <v>57.04570382109803</v>
      </c>
      <c r="EM96" s="22">
        <f t="shared" si="73"/>
        <v>506.08950082174533</v>
      </c>
      <c r="EN96" s="62">
        <f t="shared" si="74"/>
        <v>781.41766649358124</v>
      </c>
      <c r="EO96" s="62">
        <f ca="1">AVERAGE(OFFSET($EN$3,0,0,'Données projet'!$E$15+1,1))-AVERAGE(OFFSET($H$3,0,0,'Données projet'!$E$15+1,1))</f>
        <v>267.26203506406682</v>
      </c>
      <c r="EP96" s="62">
        <f t="shared" si="100"/>
        <v>265.10857635664843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projet'!$B$15,Paramètres!$A$1:$I$88,3,0)*0.475*44/12</f>
        <v>24.335151653259139</v>
      </c>
      <c r="EW96" s="23">
        <f>EXP(-LN(2)/25)*EW95+(1-EXP(-LN(2)/25))/(LN(2)/25)*Calculateur!ER96*Calculateur!ET96*VLOOKUP('Données projet'!$B$15,Paramètres!$A$1:$I$88,3,0)*0.475*44/12</f>
        <v>20.676829790310673</v>
      </c>
      <c r="EX96" s="23">
        <f>EXP(-LN(2)/2)*EX95+(1-EXP(-LN(2)/2))/(LN(2)/2)*ER96*EU96*VLOOKUP('Données projet'!$B$15,Paramètres!$A$1:$I$88,3,0)*0.475*44/12</f>
        <v>0</v>
      </c>
      <c r="EY96" s="24">
        <f t="shared" si="75"/>
        <v>45.011981443569809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231</v>
      </c>
      <c r="FF96" s="18">
        <f>FE96*VLOOKUP('Données projet'!$B$16,Paramètres!$A$1:$I$88,3,0)*VLOOKUP('Données projet'!$B$16,Paramètres!$A$1:$I$88,5,0)</f>
        <v>169.36920000000001</v>
      </c>
      <c r="FG96" s="14">
        <f t="shared" si="101"/>
        <v>42.948714817158674</v>
      </c>
      <c r="FH96" s="22">
        <f t="shared" si="76"/>
        <v>369.787034973218</v>
      </c>
      <c r="FI96" s="62">
        <f t="shared" si="77"/>
        <v>645.11520064505396</v>
      </c>
      <c r="FJ96" s="62">
        <f ca="1">AVERAGE(OFFSET($FI$3,0,0,'Données projet'!$E$16+1,1))-AVERAGE(OFFSET($H$3,0,0,'Données projet'!$E$16+1,1))</f>
        <v>207.66160354686221</v>
      </c>
      <c r="FK96" s="62">
        <f t="shared" si="102"/>
        <v>260.45879589483525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projet'!$B$16,Paramètres!$A$1:$I$88,3,0)*0.475*44/12</f>
        <v>1.4867008612565871</v>
      </c>
      <c r="FR96" s="23">
        <f>EXP(-LN(2)/25)*FR95+(1-EXP(-LN(2)/25))/(LN(2)/25)*Calculateur!FM96*Calculateur!FO96*VLOOKUP('Données projet'!$B$16,Paramètres!$A$1:$I$88,3,0)*0.475*44/12</f>
        <v>0</v>
      </c>
      <c r="FS96" s="23">
        <f>EXP(-LN(2)/2)*FS95+(1-EXP(-LN(2)/2))/(LN(2)/2)*FM96*FP96*VLOOKUP('Données projet'!$B$16,Paramètres!$A$1:$I$88,3,0)*0.475*44/12</f>
        <v>0</v>
      </c>
      <c r="FT96" s="24">
        <f t="shared" si="78"/>
        <v>1.4867008612565871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projet'!$B$9,Paramètres!$A$1:$I$88,3,0)*VLOOKUP('Données projet'!$B$9,Paramètres!$A$1:$I$88,5,0)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378.13552372917843</v>
      </c>
      <c r="T97" s="62">
        <f t="shared" si="88"/>
        <v>528.97123645404952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112.48255310770828</v>
      </c>
      <c r="AA97" s="23">
        <f>EXP(-LN(2)/25)*AA96+(1-EXP(-LN(2)/25))/(LN(2)/25)*Calculateur!V97*Calculateur!X97*VLOOKUP('Données projet'!$B$9,Paramètres!$A$1:$I$88,3,0)*0.475*44/12</f>
        <v>42.71890713784498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155.20146024555328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6.75</v>
      </c>
      <c r="AI97" s="14">
        <f>IF('Données projet'!$A$62&gt;35,AI96+AH97-AQ96,IF(A97&lt;'Données projet'!$A$62,$AF$205^A97,IF(A97='Données projet'!$A$62,'Données projet'!$B$62,AI96+AH97-AQ96)))</f>
        <v>250.75</v>
      </c>
      <c r="AJ97" s="14">
        <f>AI97*VLOOKUP('Données projet'!$B$10,Paramètres!$A$1:$I$88,3,0)*VLOOKUP('Données projet'!$B$10,Paramètres!$A$1:$I$88,5,0)</f>
        <v>226.87860000000001</v>
      </c>
      <c r="AK97" s="14">
        <f t="shared" si="89"/>
        <v>55.60722607580724</v>
      </c>
      <c r="AL97" s="22">
        <f t="shared" si="58"/>
        <v>491.99614708203103</v>
      </c>
      <c r="AM97" s="62">
        <f t="shared" si="59"/>
        <v>767.63666215926946</v>
      </c>
      <c r="AN97" s="62">
        <f ca="1">AVERAGE(OFFSET($AM$3,0,0,'Données projet'!$E$10+1,1))-AVERAGE(OFFSET($H$3,0,0,'Données projet'!$E$10+1,1))</f>
        <v>536.3707066106856</v>
      </c>
      <c r="AO97" s="62">
        <f t="shared" si="90"/>
        <v>217.6280015974086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22.044236394336242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22.044236394336242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302.3</v>
      </c>
      <c r="BE97" s="14">
        <f>BD97*VLOOKUP('Données projet'!$B$11,Paramètres!$A$1:$I$88,3,0)*VLOOKUP('Données projet'!$B$11,Paramètres!$A$1:$I$88,5,0)</f>
        <v>180.77540000000005</v>
      </c>
      <c r="BF97" s="14">
        <f t="shared" si="91"/>
        <v>45.494655198846154</v>
      </c>
      <c r="BG97" s="22">
        <f t="shared" si="61"/>
        <v>394.08701280465715</v>
      </c>
      <c r="BH97" s="62">
        <f t="shared" si="62"/>
        <v>669.72752788189564</v>
      </c>
      <c r="BI97" s="62">
        <f ca="1">AVERAGE(OFFSET($BH$3,0,0,'Données projet'!$E$11+1,1))-AVERAGE(OFFSET($H$3,0,0,'Données projet'!$E$11+1,1))</f>
        <v>248.66193174773525</v>
      </c>
      <c r="BJ97" s="62">
        <f t="shared" si="92"/>
        <v>249.61655682981151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10.578838489611689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3.1672462698712011E-5</v>
      </c>
      <c r="BS97" s="24">
        <f t="shared" si="63"/>
        <v>10.578870162074388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860.00000000000023</v>
      </c>
      <c r="BZ97" s="14">
        <f>BY97*VLOOKUP('Données projet'!$B$12,Paramètres!$A$1:$I$88,3,0)*VLOOKUP('Données projet'!$B$12,Paramètres!$A$1:$I$88,5,0)</f>
        <v>346.5800000000001</v>
      </c>
      <c r="CA97" s="14">
        <f t="shared" si="93"/>
        <v>80.857895771535127</v>
      </c>
      <c r="CB97" s="22">
        <f t="shared" si="64"/>
        <v>744.45433513542378</v>
      </c>
      <c r="CC97" s="62">
        <f t="shared" si="65"/>
        <v>1020.0948502126623</v>
      </c>
      <c r="CD97" s="62">
        <f ca="1">AVERAGE(OFFSET($CC$3,0,0,'Données projet'!$E$12+1,1))-AVERAGE(OFFSET($H$3,0,0,'Données projet'!$E$12+1,1))</f>
        <v>432.59662347701629</v>
      </c>
      <c r="CE97" s="62">
        <f t="shared" si="94"/>
        <v>348.67401091099748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47.654093218389441</v>
      </c>
      <c r="CL97" s="23">
        <f>EXP(-LN(2)/25)*CL96+(1-EXP(-LN(2)/25))/(LN(2)/25)*Calculateur!CG97*Calculateur!CI97*VLOOKUP('Données projet'!$B$12,Paramètres!$A$1:$I$88,3,0)*0.475*44/12</f>
        <v>47.163261095794361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94.817354314183802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1099.9999999999998</v>
      </c>
      <c r="CU97" s="18">
        <f>CT97*VLOOKUP('Données projet'!$B$13,Paramètres!$A$1:$I$88,3,0)*VLOOKUP('Données projet'!$B$13,Paramètres!$A$1:$I$88,5,0)</f>
        <v>486.19999999999993</v>
      </c>
      <c r="CV97" s="14">
        <f t="shared" si="95"/>
        <v>109.0490179035375</v>
      </c>
      <c r="CW97" s="22">
        <f t="shared" si="67"/>
        <v>1036.725372848661</v>
      </c>
      <c r="CX97" s="62">
        <f t="shared" si="68"/>
        <v>1312.3658879258994</v>
      </c>
      <c r="CY97" s="62">
        <f ca="1">AVERAGE(OFFSET($CX$3,0,0,'Données projet'!$E$13+1,1))-AVERAGE(OFFSET($H$3,0,0,'Données projet'!$E$13+1,1))</f>
        <v>582.26951914082088</v>
      </c>
      <c r="CZ97" s="62">
        <f t="shared" si="96"/>
        <v>434.80429932654715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48.018104007457488</v>
      </c>
      <c r="DG97" s="23">
        <f>EXP(-LN(2)/25)*DG96+(1-EXP(-LN(2)/25))/(LN(2)/25)*Calculateur!DB97*Calculateur!DD97*VLOOKUP('Données projet'!$B$13,Paramètres!$A$1:$I$88,3,0)*0.475*44/12</f>
        <v>42.379861216027365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90.397965223484846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498.99999999999955</v>
      </c>
      <c r="DP97" s="18">
        <f>DO97*VLOOKUP('Données projet'!$B$14,Paramètres!$A$1:$I$88,3,0)*VLOOKUP('Données projet'!$B$14,Paramètres!$A$1:$I$88,5,0)</f>
        <v>240.01899999999978</v>
      </c>
      <c r="DQ97" s="14">
        <f t="shared" si="97"/>
        <v>58.443618405936313</v>
      </c>
      <c r="DR97" s="22">
        <f t="shared" si="70"/>
        <v>519.82239372367201</v>
      </c>
      <c r="DS97" s="62">
        <f t="shared" si="71"/>
        <v>795.46290880091055</v>
      </c>
      <c r="DT97" s="62">
        <f ca="1">AVERAGE(OFFSET($DS$3,0,0,'Données projet'!$E$14+1,1))-AVERAGE(OFFSET($H$3,0,0,'Données projet'!$E$14+1,1))</f>
        <v>273.24375559399846</v>
      </c>
      <c r="DU97" s="62">
        <f t="shared" si="98"/>
        <v>270.77718895097848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projet'!$B$14,Paramètres!$A$1:$I$88,3,0)*0.475*44/12</f>
        <v>24.520675121546617</v>
      </c>
      <c r="EB97" s="23">
        <f>EXP(-LN(2)/25)*EB96+(1-EXP(-LN(2)/25))/(LN(2)/25)*Calculateur!DW97*Calculateur!DY97*VLOOKUP('Données projet'!$B$14,Paramètres!$A$1:$I$88,3,0)*0.475*44/12</f>
        <v>20.670071369912613</v>
      </c>
      <c r="EC97" s="23">
        <f>EXP(-LN(2)/2)*EC96+(1-EXP(-LN(2)/2))/(LN(2)/2)*DW97*DZ97*VLOOKUP('Données projet'!$B$14,Paramètres!$A$1:$I$88,3,0)*0.475*44/12</f>
        <v>0</v>
      </c>
      <c r="ED97" s="24">
        <f t="shared" si="72"/>
        <v>45.19074649145923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498.99999999999955</v>
      </c>
      <c r="EK97" s="18">
        <f>EJ97*VLOOKUP('Données projet'!$B$15,Paramètres!$A$1:$I$88,3,0)*VLOOKUP('Données projet'!$B$15,Paramètres!$A$1:$I$88,5,0)</f>
        <v>233.53199999999975</v>
      </c>
      <c r="EL97" s="14">
        <f t="shared" si="99"/>
        <v>57.04570382109803</v>
      </c>
      <c r="EM97" s="22">
        <f t="shared" si="73"/>
        <v>506.08950082174533</v>
      </c>
      <c r="EN97" s="62">
        <f t="shared" si="74"/>
        <v>781.73001589898377</v>
      </c>
      <c r="EO97" s="62">
        <f ca="1">AVERAGE(OFFSET($EN$3,0,0,'Données projet'!$E$15+1,1))-AVERAGE(OFFSET($H$3,0,0,'Données projet'!$E$15+1,1))</f>
        <v>267.26203506406682</v>
      </c>
      <c r="EP97" s="62">
        <f t="shared" si="100"/>
        <v>265.10857635664843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projet'!$B$15,Paramètres!$A$1:$I$88,3,0)*0.475*44/12</f>
        <v>23.857954172315612</v>
      </c>
      <c r="EW97" s="23">
        <f>EXP(-LN(2)/25)*EW96+(1-EXP(-LN(2)/25))/(LN(2)/25)*Calculateur!ER97*Calculateur!ET97*VLOOKUP('Données projet'!$B$15,Paramètres!$A$1:$I$88,3,0)*0.475*44/12</f>
        <v>20.111420792347406</v>
      </c>
      <c r="EX97" s="23">
        <f>EXP(-LN(2)/2)*EX96+(1-EXP(-LN(2)/2))/(LN(2)/2)*ER97*EU97*VLOOKUP('Données projet'!$B$15,Paramètres!$A$1:$I$88,3,0)*0.475*44/12</f>
        <v>0</v>
      </c>
      <c r="EY97" s="24">
        <f t="shared" si="75"/>
        <v>43.969374964663018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231</v>
      </c>
      <c r="FF97" s="18">
        <f>FE97*VLOOKUP('Données projet'!$B$16,Paramètres!$A$1:$I$88,3,0)*VLOOKUP('Données projet'!$B$16,Paramètres!$A$1:$I$88,5,0)</f>
        <v>169.36920000000001</v>
      </c>
      <c r="FG97" s="14">
        <f t="shared" si="101"/>
        <v>42.948714817158674</v>
      </c>
      <c r="FH97" s="22">
        <f t="shared" si="76"/>
        <v>369.787034973218</v>
      </c>
      <c r="FI97" s="62">
        <f t="shared" si="77"/>
        <v>645.42755005045649</v>
      </c>
      <c r="FJ97" s="62">
        <f ca="1">AVERAGE(OFFSET($FI$3,0,0,'Données projet'!$E$16+1,1))-AVERAGE(OFFSET($H$3,0,0,'Données projet'!$E$16+1,1))</f>
        <v>207.66160354686221</v>
      </c>
      <c r="FK97" s="62">
        <f t="shared" si="102"/>
        <v>260.45879589483525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projet'!$B$16,Paramètres!$A$1:$I$88,3,0)*0.475*44/12</f>
        <v>1.4575475641653319</v>
      </c>
      <c r="FR97" s="23">
        <f>EXP(-LN(2)/25)*FR96+(1-EXP(-LN(2)/25))/(LN(2)/25)*Calculateur!FM97*Calculateur!FO97*VLOOKUP('Données projet'!$B$16,Paramètres!$A$1:$I$88,3,0)*0.475*44/12</f>
        <v>0</v>
      </c>
      <c r="FS97" s="23">
        <f>EXP(-LN(2)/2)*FS96+(1-EXP(-LN(2)/2))/(LN(2)/2)*FM97*FP97*VLOOKUP('Données projet'!$B$16,Paramètres!$A$1:$I$88,3,0)*0.475*44/12</f>
        <v>0</v>
      </c>
      <c r="FT97" s="24">
        <f t="shared" si="78"/>
        <v>1.4575475641653319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projet'!$B$9,Paramètres!$A$1:$I$88,3,0)*VLOOKUP('Données projet'!$B$9,Paramètres!$A$1:$I$88,5,0)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378.13552372917843</v>
      </c>
      <c r="T98" s="62">
        <f t="shared" si="88"/>
        <v>528.97123645404952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110.27683884884908</v>
      </c>
      <c r="AA98" s="23">
        <f>EXP(-LN(2)/25)*AA97+(1-EXP(-LN(2)/25))/(LN(2)/25)*Calculateur!V98*Calculateur!X98*VLOOKUP('Données projet'!$B$9,Paramètres!$A$1:$I$88,3,0)*0.475*44/12</f>
        <v>41.550756375670915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151.82759522452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6.75</v>
      </c>
      <c r="AI98" s="14">
        <f>IF('Données projet'!$A$62&gt;35,AI97+AH98-AQ97,IF(A98&lt;'Données projet'!$A$62,$AF$205^A98,IF(A98='Données projet'!$A$62,'Données projet'!$B$62,AI97+AH98-AQ97)))</f>
        <v>257.5</v>
      </c>
      <c r="AJ98" s="14">
        <f>AI98*VLOOKUP('Données projet'!$B$10,Paramètres!$A$1:$I$88,3,0)*VLOOKUP('Données projet'!$B$10,Paramètres!$A$1:$I$88,5,0)</f>
        <v>232.98599999999999</v>
      </c>
      <c r="AK98" s="14">
        <f t="shared" si="89"/>
        <v>56.927839044655315</v>
      </c>
      <c r="AL98" s="22">
        <f t="shared" si="58"/>
        <v>504.93326966944136</v>
      </c>
      <c r="AM98" s="62">
        <f t="shared" si="59"/>
        <v>780.88071558820729</v>
      </c>
      <c r="AN98" s="62">
        <f ca="1">AVERAGE(OFFSET($AM$3,0,0,'Données projet'!$E$10+1,1))-AVERAGE(OFFSET($H$3,0,0,'Données projet'!$E$10+1,1))</f>
        <v>536.3707066106856</v>
      </c>
      <c r="AO98" s="62">
        <f t="shared" si="90"/>
        <v>217.6280015974086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21.61196236429986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21.61196236429986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302.3</v>
      </c>
      <c r="BE98" s="14">
        <f>BD98*VLOOKUP('Données projet'!$B$11,Paramètres!$A$1:$I$88,3,0)*VLOOKUP('Données projet'!$B$11,Paramètres!$A$1:$I$88,5,0)</f>
        <v>180.77540000000005</v>
      </c>
      <c r="BF98" s="14">
        <f t="shared" si="91"/>
        <v>45.494655198846154</v>
      </c>
      <c r="BG98" s="22">
        <f t="shared" si="61"/>
        <v>394.08701280465715</v>
      </c>
      <c r="BH98" s="62">
        <f t="shared" si="62"/>
        <v>670.03445872342309</v>
      </c>
      <c r="BI98" s="62">
        <f ca="1">AVERAGE(OFFSET($BH$3,0,0,'Données projet'!$E$11+1,1))-AVERAGE(OFFSET($H$3,0,0,'Données projet'!$E$11+1,1))</f>
        <v>248.66193174773525</v>
      </c>
      <c r="BJ98" s="62">
        <f t="shared" si="92"/>
        <v>249.61655682981151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10.371393919284756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2.2395813151137243E-5</v>
      </c>
      <c r="BS98" s="24">
        <f t="shared" si="63"/>
        <v>10.371416315097907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860.00000000000023</v>
      </c>
      <c r="BZ98" s="14">
        <f>BY98*VLOOKUP('Données projet'!$B$12,Paramètres!$A$1:$I$88,3,0)*VLOOKUP('Données projet'!$B$12,Paramètres!$A$1:$I$88,5,0)</f>
        <v>346.5800000000001</v>
      </c>
      <c r="CA98" s="14">
        <f t="shared" si="93"/>
        <v>80.857895771535127</v>
      </c>
      <c r="CB98" s="22">
        <f t="shared" si="64"/>
        <v>744.45433513542378</v>
      </c>
      <c r="CC98" s="62">
        <f t="shared" si="65"/>
        <v>1020.4017810541898</v>
      </c>
      <c r="CD98" s="62">
        <f ca="1">AVERAGE(OFFSET($CC$3,0,0,'Données projet'!$E$12+1,1))-AVERAGE(OFFSET($H$3,0,0,'Données projet'!$E$12+1,1))</f>
        <v>432.59662347701629</v>
      </c>
      <c r="CE98" s="62">
        <f t="shared" si="94"/>
        <v>348.67401091099748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46.719625516503648</v>
      </c>
      <c r="CL98" s="23">
        <f>EXP(-LN(2)/25)*CL97+(1-EXP(-LN(2)/25))/(LN(2)/25)*Calculateur!CG98*Calculateur!CI98*VLOOKUP('Données projet'!$B$12,Paramètres!$A$1:$I$88,3,0)*0.475*44/12</f>
        <v>45.873579240921757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92.593204757425411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1099.9999999999998</v>
      </c>
      <c r="CU98" s="18">
        <f>CT98*VLOOKUP('Données projet'!$B$13,Paramètres!$A$1:$I$88,3,0)*VLOOKUP('Données projet'!$B$13,Paramètres!$A$1:$I$88,5,0)</f>
        <v>486.19999999999993</v>
      </c>
      <c r="CV98" s="14">
        <f t="shared" si="95"/>
        <v>109.0490179035375</v>
      </c>
      <c r="CW98" s="22">
        <f t="shared" si="67"/>
        <v>1036.725372848661</v>
      </c>
      <c r="CX98" s="62">
        <f t="shared" si="68"/>
        <v>1312.6728187674269</v>
      </c>
      <c r="CY98" s="62">
        <f ca="1">AVERAGE(OFFSET($CX$3,0,0,'Données projet'!$E$13+1,1))-AVERAGE(OFFSET($H$3,0,0,'Données projet'!$E$13+1,1))</f>
        <v>582.26951914082088</v>
      </c>
      <c r="CZ98" s="62">
        <f t="shared" si="96"/>
        <v>434.80429932654715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47.076498276022726</v>
      </c>
      <c r="DG98" s="23">
        <f>EXP(-LN(2)/25)*DG97+(1-EXP(-LN(2)/25))/(LN(2)/25)*Calculateur!DB98*Calculateur!DD98*VLOOKUP('Données projet'!$B$13,Paramètres!$A$1:$I$88,3,0)*0.475*44/12</f>
        <v>41.220981682415058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88.297479958437776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498.99999999999955</v>
      </c>
      <c r="DP98" s="18">
        <f>DO98*VLOOKUP('Données projet'!$B$14,Paramètres!$A$1:$I$88,3,0)*VLOOKUP('Données projet'!$B$14,Paramètres!$A$1:$I$88,5,0)</f>
        <v>240.01899999999978</v>
      </c>
      <c r="DQ98" s="14">
        <f t="shared" si="97"/>
        <v>58.443618405936313</v>
      </c>
      <c r="DR98" s="22">
        <f t="shared" si="70"/>
        <v>519.82239372367201</v>
      </c>
      <c r="DS98" s="62">
        <f t="shared" si="71"/>
        <v>795.769839642438</v>
      </c>
      <c r="DT98" s="62">
        <f ca="1">AVERAGE(OFFSET($DS$3,0,0,'Données projet'!$E$14+1,1))-AVERAGE(OFFSET($H$3,0,0,'Données projet'!$E$14+1,1))</f>
        <v>273.24375559399846</v>
      </c>
      <c r="DU98" s="62">
        <f t="shared" si="98"/>
        <v>270.77718895097848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projet'!$B$14,Paramètres!$A$1:$I$88,3,0)*0.475*44/12</f>
        <v>24.039839638548116</v>
      </c>
      <c r="EB98" s="23">
        <f>EXP(-LN(2)/25)*EB97+(1-EXP(-LN(2)/25))/(LN(2)/25)*Calculateur!DW98*Calculateur!DY98*VLOOKUP('Données projet'!$B$14,Paramètres!$A$1:$I$88,3,0)*0.475*44/12</f>
        <v>20.104847181310539</v>
      </c>
      <c r="EC98" s="23">
        <f>EXP(-LN(2)/2)*EC97+(1-EXP(-LN(2)/2))/(LN(2)/2)*DW98*DZ98*VLOOKUP('Données projet'!$B$14,Paramètres!$A$1:$I$88,3,0)*0.475*44/12</f>
        <v>0</v>
      </c>
      <c r="ED98" s="24">
        <f t="shared" si="72"/>
        <v>44.144686819858656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498.99999999999955</v>
      </c>
      <c r="EK98" s="18">
        <f>EJ98*VLOOKUP('Données projet'!$B$15,Paramètres!$A$1:$I$88,3,0)*VLOOKUP('Données projet'!$B$15,Paramètres!$A$1:$I$88,5,0)</f>
        <v>233.53199999999975</v>
      </c>
      <c r="EL98" s="14">
        <f t="shared" si="99"/>
        <v>57.04570382109803</v>
      </c>
      <c r="EM98" s="22">
        <f t="shared" si="73"/>
        <v>506.08950082174533</v>
      </c>
      <c r="EN98" s="62">
        <f t="shared" si="74"/>
        <v>782.03694674051121</v>
      </c>
      <c r="EO98" s="62">
        <f ca="1">AVERAGE(OFFSET($EN$3,0,0,'Données projet'!$E$15+1,1))-AVERAGE(OFFSET($H$3,0,0,'Données projet'!$E$15+1,1))</f>
        <v>267.26203506406682</v>
      </c>
      <c r="EP98" s="62">
        <f t="shared" si="100"/>
        <v>265.10857635664843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projet'!$B$15,Paramètres!$A$1:$I$88,3,0)*0.475*44/12</f>
        <v>23.390114242911665</v>
      </c>
      <c r="EW98" s="23">
        <f>EXP(-LN(2)/25)*EW97+(1-EXP(-LN(2)/25))/(LN(2)/25)*Calculateur!ER98*Calculateur!ET98*VLOOKUP('Données projet'!$B$15,Paramètres!$A$1:$I$88,3,0)*0.475*44/12</f>
        <v>19.561472933167011</v>
      </c>
      <c r="EX98" s="23">
        <f>EXP(-LN(2)/2)*EX97+(1-EXP(-LN(2)/2))/(LN(2)/2)*ER98*EU98*VLOOKUP('Données projet'!$B$15,Paramètres!$A$1:$I$88,3,0)*0.475*44/12</f>
        <v>0</v>
      </c>
      <c r="EY98" s="24">
        <f t="shared" si="75"/>
        <v>42.951587176078675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231</v>
      </c>
      <c r="FF98" s="18">
        <f>FE98*VLOOKUP('Données projet'!$B$16,Paramètres!$A$1:$I$88,3,0)*VLOOKUP('Données projet'!$B$16,Paramètres!$A$1:$I$88,5,0)</f>
        <v>169.36920000000001</v>
      </c>
      <c r="FG98" s="14">
        <f t="shared" si="101"/>
        <v>42.948714817158674</v>
      </c>
      <c r="FH98" s="22">
        <f t="shared" si="76"/>
        <v>369.787034973218</v>
      </c>
      <c r="FI98" s="62">
        <f t="shared" si="77"/>
        <v>645.73448089198394</v>
      </c>
      <c r="FJ98" s="62">
        <f ca="1">AVERAGE(OFFSET($FI$3,0,0,'Données projet'!$E$16+1,1))-AVERAGE(OFFSET($H$3,0,0,'Données projet'!$E$16+1,1))</f>
        <v>207.66160354686221</v>
      </c>
      <c r="FK98" s="62">
        <f t="shared" si="102"/>
        <v>260.45879589483525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projet'!$B$16,Paramètres!$A$1:$I$88,3,0)*0.475*44/12</f>
        <v>1.4289659454482808</v>
      </c>
      <c r="FR98" s="23">
        <f>EXP(-LN(2)/25)*FR97+(1-EXP(-LN(2)/25))/(LN(2)/25)*Calculateur!FM98*Calculateur!FO98*VLOOKUP('Données projet'!$B$16,Paramètres!$A$1:$I$88,3,0)*0.475*44/12</f>
        <v>0</v>
      </c>
      <c r="FS98" s="23">
        <f>EXP(-LN(2)/2)*FS97+(1-EXP(-LN(2)/2))/(LN(2)/2)*FM98*FP98*VLOOKUP('Données projet'!$B$16,Paramètres!$A$1:$I$88,3,0)*0.475*44/12</f>
        <v>0</v>
      </c>
      <c r="FT98" s="24">
        <f t="shared" si="78"/>
        <v>1.4289659454482808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projet'!$B$9,Paramètres!$A$1:$I$88,3,0)*VLOOKUP('Données projet'!$B$9,Paramètres!$A$1:$I$88,5,0)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378.13552372917843</v>
      </c>
      <c r="T99" s="62">
        <f t="shared" si="88"/>
        <v>528.97123645404952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108.11437730125326</v>
      </c>
      <c r="AA99" s="23">
        <f>EXP(-LN(2)/25)*AA98+(1-EXP(-LN(2)/25))/(LN(2)/25)*Calculateur!V99*Calculateur!X99*VLOOKUP('Données projet'!$B$9,Paramètres!$A$1:$I$88,3,0)*0.475*44/12</f>
        <v>40.41454875751888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148.52892605877213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6.75</v>
      </c>
      <c r="AI99" s="14">
        <f>IF('Données projet'!$A$62&gt;35,AI98+AH99-AQ98,IF(A99&lt;'Données projet'!$A$62,$AF$205^A99,IF(A99='Données projet'!$A$62,'Données projet'!$B$62,AI98+AH99-AQ98)))</f>
        <v>264.25</v>
      </c>
      <c r="AJ99" s="14">
        <f>AI99*VLOOKUP('Données projet'!$B$10,Paramètres!$A$1:$I$88,3,0)*VLOOKUP('Données projet'!$B$10,Paramètres!$A$1:$I$88,5,0)</f>
        <v>239.09339999999997</v>
      </c>
      <c r="AK99" s="14">
        <f t="shared" si="89"/>
        <v>58.244428131498353</v>
      </c>
      <c r="AL99" s="22">
        <f t="shared" si="58"/>
        <v>517.86338399569286</v>
      </c>
      <c r="AM99" s="62">
        <f t="shared" si="59"/>
        <v>794.11243619208028</v>
      </c>
      <c r="AN99" s="62">
        <f ca="1">AVERAGE(OFFSET($AM$3,0,0,'Données projet'!$E$10+1,1))-AVERAGE(OFFSET($H$3,0,0,'Données projet'!$E$10+1,1))</f>
        <v>536.3707066106856</v>
      </c>
      <c r="AO99" s="62">
        <f t="shared" si="90"/>
        <v>217.6280015974086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21.188164964331367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21.188164964331367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302.3</v>
      </c>
      <c r="BE99" s="14">
        <f>BD99*VLOOKUP('Données projet'!$B$11,Paramètres!$A$1:$I$88,3,0)*VLOOKUP('Données projet'!$B$11,Paramètres!$A$1:$I$88,5,0)</f>
        <v>180.77540000000005</v>
      </c>
      <c r="BF99" s="14">
        <f t="shared" si="91"/>
        <v>45.494655198846154</v>
      </c>
      <c r="BG99" s="22">
        <f t="shared" si="61"/>
        <v>394.08701280465715</v>
      </c>
      <c r="BH99" s="62">
        <f t="shared" si="62"/>
        <v>670.33606500104452</v>
      </c>
      <c r="BI99" s="62">
        <f ca="1">AVERAGE(OFFSET($BH$3,0,0,'Données projet'!$E$11+1,1))-AVERAGE(OFFSET($H$3,0,0,'Données projet'!$E$11+1,1))</f>
        <v>248.66193174773525</v>
      </c>
      <c r="BJ99" s="62">
        <f t="shared" si="92"/>
        <v>249.61655682981151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10.16801721045324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1.5836231349356006E-5</v>
      </c>
      <c r="BS99" s="24">
        <f t="shared" si="63"/>
        <v>10.168033046684588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860.00000000000023</v>
      </c>
      <c r="BZ99" s="14">
        <f>BY99*VLOOKUP('Données projet'!$B$12,Paramètres!$A$1:$I$88,3,0)*VLOOKUP('Données projet'!$B$12,Paramètres!$A$1:$I$88,5,0)</f>
        <v>346.5800000000001</v>
      </c>
      <c r="CA99" s="14">
        <f t="shared" si="93"/>
        <v>80.857895771535127</v>
      </c>
      <c r="CB99" s="22">
        <f t="shared" si="64"/>
        <v>744.45433513542378</v>
      </c>
      <c r="CC99" s="62">
        <f t="shared" si="65"/>
        <v>1020.7033873318112</v>
      </c>
      <c r="CD99" s="62">
        <f ca="1">AVERAGE(OFFSET($CC$3,0,0,'Données projet'!$E$12+1,1))-AVERAGE(OFFSET($H$3,0,0,'Données projet'!$E$12+1,1))</f>
        <v>432.59662347701629</v>
      </c>
      <c r="CE99" s="62">
        <f t="shared" si="94"/>
        <v>348.67401091099748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45.803482156282811</v>
      </c>
      <c r="CL99" s="23">
        <f>EXP(-LN(2)/25)*CL98+(1-EXP(-LN(2)/25))/(LN(2)/25)*Calculateur!CG99*Calculateur!CI99*VLOOKUP('Données projet'!$B$12,Paramètres!$A$1:$I$88,3,0)*0.475*44/12</f>
        <v>44.619163804192063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90.422645960474881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1099.9999999999998</v>
      </c>
      <c r="CU99" s="18">
        <f>CT99*VLOOKUP('Données projet'!$B$13,Paramètres!$A$1:$I$88,3,0)*VLOOKUP('Données projet'!$B$13,Paramètres!$A$1:$I$88,5,0)</f>
        <v>486.19999999999993</v>
      </c>
      <c r="CV99" s="14">
        <f t="shared" si="95"/>
        <v>109.0490179035375</v>
      </c>
      <c r="CW99" s="22">
        <f t="shared" si="67"/>
        <v>1036.725372848661</v>
      </c>
      <c r="CX99" s="62">
        <f t="shared" si="68"/>
        <v>1312.9744250450485</v>
      </c>
      <c r="CY99" s="62">
        <f ca="1">AVERAGE(OFFSET($CX$3,0,0,'Données projet'!$E$13+1,1))-AVERAGE(OFFSET($H$3,0,0,'Données projet'!$E$13+1,1))</f>
        <v>582.26951914082088</v>
      </c>
      <c r="CZ99" s="62">
        <f t="shared" si="96"/>
        <v>434.80429932654715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46.153356858658611</v>
      </c>
      <c r="DG99" s="23">
        <f>EXP(-LN(2)/25)*DG98+(1-EXP(-LN(2)/25))/(LN(2)/25)*Calculateur!DB99*Calculateur!DD99*VLOOKUP('Données projet'!$B$13,Paramètres!$A$1:$I$88,3,0)*0.475*44/12</f>
        <v>40.093791770592205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86.247148629250816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498.99999999999955</v>
      </c>
      <c r="DP99" s="18">
        <f>DO99*VLOOKUP('Données projet'!$B$14,Paramètres!$A$1:$I$88,3,0)*VLOOKUP('Données projet'!$B$14,Paramètres!$A$1:$I$88,5,0)</f>
        <v>240.01899999999978</v>
      </c>
      <c r="DQ99" s="14">
        <f t="shared" si="97"/>
        <v>58.443618405936313</v>
      </c>
      <c r="DR99" s="22">
        <f t="shared" si="70"/>
        <v>519.82239372367201</v>
      </c>
      <c r="DS99" s="62">
        <f t="shared" si="71"/>
        <v>796.07144592005943</v>
      </c>
      <c r="DT99" s="62">
        <f ca="1">AVERAGE(OFFSET($DS$3,0,0,'Données projet'!$E$14+1,1))-AVERAGE(OFFSET($H$3,0,0,'Données projet'!$E$14+1,1))</f>
        <v>273.24375559399846</v>
      </c>
      <c r="DU99" s="62">
        <f t="shared" si="98"/>
        <v>270.77718895097848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projet'!$B$14,Paramètres!$A$1:$I$88,3,0)*0.475*44/12</f>
        <v>23.568433046090529</v>
      </c>
      <c r="EB99" s="23">
        <f>EXP(-LN(2)/25)*EB98+(1-EXP(-LN(2)/25))/(LN(2)/25)*Calculateur!DW99*Calculateur!DY99*VLOOKUP('Données projet'!$B$14,Paramètres!$A$1:$I$88,3,0)*0.475*44/12</f>
        <v>19.555079077869639</v>
      </c>
      <c r="EC99" s="23">
        <f>EXP(-LN(2)/2)*EC98+(1-EXP(-LN(2)/2))/(LN(2)/2)*DW99*DZ99*VLOOKUP('Données projet'!$B$14,Paramètres!$A$1:$I$88,3,0)*0.475*44/12</f>
        <v>0</v>
      </c>
      <c r="ED99" s="24">
        <f t="shared" si="72"/>
        <v>43.123512123960168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498.99999999999955</v>
      </c>
      <c r="EK99" s="18">
        <f>EJ99*VLOOKUP('Données projet'!$B$15,Paramètres!$A$1:$I$88,3,0)*VLOOKUP('Données projet'!$B$15,Paramètres!$A$1:$I$88,5,0)</f>
        <v>233.53199999999975</v>
      </c>
      <c r="EL99" s="14">
        <f t="shared" si="99"/>
        <v>57.04570382109803</v>
      </c>
      <c r="EM99" s="22">
        <f t="shared" si="73"/>
        <v>506.08950082174533</v>
      </c>
      <c r="EN99" s="62">
        <f t="shared" si="74"/>
        <v>782.33855301813276</v>
      </c>
      <c r="EO99" s="62">
        <f ca="1">AVERAGE(OFFSET($EN$3,0,0,'Données projet'!$E$15+1,1))-AVERAGE(OFFSET($H$3,0,0,'Données projet'!$E$15+1,1))</f>
        <v>267.26203506406682</v>
      </c>
      <c r="EP99" s="62">
        <f t="shared" si="100"/>
        <v>265.10857635664843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projet'!$B$15,Paramètres!$A$1:$I$88,3,0)*0.475*44/12</f>
        <v>22.93144836916915</v>
      </c>
      <c r="EW99" s="23">
        <f>EXP(-LN(2)/25)*EW98+(1-EXP(-LN(2)/25))/(LN(2)/25)*Calculateur!ER99*Calculateur!ET99*VLOOKUP('Données projet'!$B$15,Paramètres!$A$1:$I$88,3,0)*0.475*44/12</f>
        <v>19.026563427116404</v>
      </c>
      <c r="EX99" s="23">
        <f>EXP(-LN(2)/2)*EX98+(1-EXP(-LN(2)/2))/(LN(2)/2)*ER99*EU99*VLOOKUP('Données projet'!$B$15,Paramètres!$A$1:$I$88,3,0)*0.475*44/12</f>
        <v>0</v>
      </c>
      <c r="EY99" s="24">
        <f t="shared" si="75"/>
        <v>41.958011796285554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231</v>
      </c>
      <c r="FF99" s="18">
        <f>FE99*VLOOKUP('Données projet'!$B$16,Paramètres!$A$1:$I$88,3,0)*VLOOKUP('Données projet'!$B$16,Paramètres!$A$1:$I$88,5,0)</f>
        <v>169.36920000000001</v>
      </c>
      <c r="FG99" s="14">
        <f t="shared" si="101"/>
        <v>42.948714817158674</v>
      </c>
      <c r="FH99" s="22">
        <f t="shared" si="76"/>
        <v>369.787034973218</v>
      </c>
      <c r="FI99" s="62">
        <f t="shared" si="77"/>
        <v>646.03608716960548</v>
      </c>
      <c r="FJ99" s="62">
        <f ca="1">AVERAGE(OFFSET($FI$3,0,0,'Données projet'!$E$16+1,1))-AVERAGE(OFFSET($H$3,0,0,'Données projet'!$E$16+1,1))</f>
        <v>207.66160354686221</v>
      </c>
      <c r="FK99" s="62">
        <f t="shared" si="102"/>
        <v>260.45879589483525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projet'!$B$16,Paramètres!$A$1:$I$88,3,0)*0.475*44/12</f>
        <v>1.400944794841205</v>
      </c>
      <c r="FR99" s="23">
        <f>EXP(-LN(2)/25)*FR98+(1-EXP(-LN(2)/25))/(LN(2)/25)*Calculateur!FM99*Calculateur!FO99*VLOOKUP('Données projet'!$B$16,Paramètres!$A$1:$I$88,3,0)*0.475*44/12</f>
        <v>0</v>
      </c>
      <c r="FS99" s="23">
        <f>EXP(-LN(2)/2)*FS98+(1-EXP(-LN(2)/2))/(LN(2)/2)*FM99*FP99*VLOOKUP('Données projet'!$B$16,Paramètres!$A$1:$I$88,3,0)*0.475*44/12</f>
        <v>0</v>
      </c>
      <c r="FT99" s="24">
        <f t="shared" si="78"/>
        <v>1.400944794841205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projet'!$B$9,Paramètres!$A$1:$I$88,3,0)*VLOOKUP('Données projet'!$B$9,Paramètres!$A$1:$I$88,5,0)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378.13552372917843</v>
      </c>
      <c r="T100" s="62">
        <f t="shared" si="88"/>
        <v>528.97123645404952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105.99432030563447</v>
      </c>
      <c r="AA100" s="23">
        <f>EXP(-LN(2)/25)*AA99+(1-EXP(-LN(2)/25))/(LN(2)/25)*Calculateur!V100*Calculateur!X100*VLOOKUP('Données projet'!$B$9,Paramètres!$A$1:$I$88,3,0)*0.475*44/12</f>
        <v>39.309410796435778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145.30373110207026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6.75</v>
      </c>
      <c r="AI100" s="14">
        <f>IF('Données projet'!$A$62&gt;35,AI99+AH100-AQ99,IF(A100&lt;'Données projet'!$A$62,$AF$205^A100,IF(A100='Données projet'!$A$62,'Données projet'!$B$62,AI99+AH100-AQ99)))</f>
        <v>271</v>
      </c>
      <c r="AJ100" s="14">
        <f>AI100*VLOOKUP('Données projet'!$B$10,Paramètres!$A$1:$I$88,3,0)*VLOOKUP('Données projet'!$B$10,Paramètres!$A$1:$I$88,5,0)</f>
        <v>245.20079999999999</v>
      </c>
      <c r="AK100" s="14">
        <f t="shared" si="89"/>
        <v>59.557107941433735</v>
      </c>
      <c r="AL100" s="22">
        <f t="shared" si="58"/>
        <v>530.78668966466364</v>
      </c>
      <c r="AM100" s="62">
        <f t="shared" si="59"/>
        <v>807.33211594404645</v>
      </c>
      <c r="AN100" s="62">
        <f ca="1">AVERAGE(OFFSET($AM$3,0,0,'Données projet'!$E$10+1,1))-AVERAGE(OFFSET($H$3,0,0,'Données projet'!$E$10+1,1))</f>
        <v>536.3707066106856</v>
      </c>
      <c r="AO100" s="62">
        <f t="shared" si="90"/>
        <v>217.6280015974086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20.772677972885369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20.772677972885369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302.3</v>
      </c>
      <c r="BE100" s="14">
        <f>BD100*VLOOKUP('Données projet'!$B$11,Paramètres!$A$1:$I$88,3,0)*VLOOKUP('Données projet'!$B$11,Paramètres!$A$1:$I$88,5,0)</f>
        <v>180.77540000000005</v>
      </c>
      <c r="BF100" s="14">
        <f t="shared" si="91"/>
        <v>45.494655198846154</v>
      </c>
      <c r="BG100" s="22">
        <f t="shared" si="61"/>
        <v>394.08701280465715</v>
      </c>
      <c r="BH100" s="62">
        <f t="shared" si="62"/>
        <v>670.63243908404002</v>
      </c>
      <c r="BI100" s="62">
        <f ca="1">AVERAGE(OFFSET($BH$3,0,0,'Données projet'!$E$11+1,1))-AVERAGE(OFFSET($H$3,0,0,'Données projet'!$E$11+1,1))</f>
        <v>248.66193174773525</v>
      </c>
      <c r="BJ100" s="62">
        <f t="shared" si="92"/>
        <v>249.61655682981151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9.9686285948343656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1.1197906575568621E-5</v>
      </c>
      <c r="BS100" s="24">
        <f t="shared" si="63"/>
        <v>9.9686397927409409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860.00000000000023</v>
      </c>
      <c r="BZ100" s="14">
        <f>BY100*VLOOKUP('Données projet'!$B$12,Paramètres!$A$1:$I$88,3,0)*VLOOKUP('Données projet'!$B$12,Paramètres!$A$1:$I$88,5,0)</f>
        <v>346.5800000000001</v>
      </c>
      <c r="CA100" s="14">
        <f t="shared" si="93"/>
        <v>80.857895771535127</v>
      </c>
      <c r="CB100" s="22">
        <f t="shared" si="64"/>
        <v>744.45433513542378</v>
      </c>
      <c r="CC100" s="62">
        <f t="shared" si="65"/>
        <v>1020.9997614148066</v>
      </c>
      <c r="CD100" s="62">
        <f ca="1">AVERAGE(OFFSET($CC$3,0,0,'Données projet'!$E$12+1,1))-AVERAGE(OFFSET($H$3,0,0,'Données projet'!$E$12+1,1))</f>
        <v>432.59662347701629</v>
      </c>
      <c r="CE100" s="62">
        <f t="shared" si="94"/>
        <v>348.67401091099748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44.905303808563637</v>
      </c>
      <c r="CL100" s="23">
        <f>EXP(-LN(2)/25)*CL99+(1-EXP(-LN(2)/25))/(LN(2)/25)*Calculateur!CG100*Calculateur!CI100*VLOOKUP('Données projet'!$B$12,Paramètres!$A$1:$I$88,3,0)*0.475*44/12</f>
        <v>43.399050423546583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88.304354232110228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1099.9999999999998</v>
      </c>
      <c r="CU100" s="18">
        <f>CT100*VLOOKUP('Données projet'!$B$13,Paramètres!$A$1:$I$88,3,0)*VLOOKUP('Données projet'!$B$13,Paramètres!$A$1:$I$88,5,0)</f>
        <v>486.19999999999993</v>
      </c>
      <c r="CV100" s="14">
        <f t="shared" si="95"/>
        <v>109.0490179035375</v>
      </c>
      <c r="CW100" s="22">
        <f t="shared" si="67"/>
        <v>1036.725372848661</v>
      </c>
      <c r="CX100" s="62">
        <f t="shared" si="68"/>
        <v>1313.2707991280438</v>
      </c>
      <c r="CY100" s="62">
        <f ca="1">AVERAGE(OFFSET($CX$3,0,0,'Données projet'!$E$13+1,1))-AVERAGE(OFFSET($H$3,0,0,'Données projet'!$E$13+1,1))</f>
        <v>582.26951914082088</v>
      </c>
      <c r="CZ100" s="62">
        <f t="shared" si="96"/>
        <v>434.80429932654715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45.24831768142834</v>
      </c>
      <c r="DG100" s="23">
        <f>EXP(-LN(2)/25)*DG99+(1-EXP(-LN(2)/25))/(LN(2)/25)*Calculateur!DB100*Calculateur!DD100*VLOOKUP('Données projet'!$B$13,Paramètres!$A$1:$I$88,3,0)*0.475*44/12</f>
        <v>38.997424926184486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84.245742607612826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498.99999999999955</v>
      </c>
      <c r="DP100" s="18">
        <f>DO100*VLOOKUP('Données projet'!$B$14,Paramètres!$A$1:$I$88,3,0)*VLOOKUP('Données projet'!$B$14,Paramètres!$A$1:$I$88,5,0)</f>
        <v>240.01899999999978</v>
      </c>
      <c r="DQ100" s="14">
        <f t="shared" si="97"/>
        <v>58.443618405936313</v>
      </c>
      <c r="DR100" s="22">
        <f t="shared" si="70"/>
        <v>519.82239372367201</v>
      </c>
      <c r="DS100" s="62">
        <f t="shared" si="71"/>
        <v>796.36782000305482</v>
      </c>
      <c r="DT100" s="62">
        <f ca="1">AVERAGE(OFFSET($DS$3,0,0,'Données projet'!$E$14+1,1))-AVERAGE(OFFSET($H$3,0,0,'Données projet'!$E$14+1,1))</f>
        <v>273.24375559399846</v>
      </c>
      <c r="DU100" s="62">
        <f t="shared" si="98"/>
        <v>270.77718895097848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projet'!$B$14,Paramètres!$A$1:$I$88,3,0)*0.475*44/12</f>
        <v>23.106270449381405</v>
      </c>
      <c r="EB100" s="23">
        <f>EXP(-LN(2)/25)*EB99+(1-EXP(-LN(2)/25))/(LN(2)/25)*Calculateur!DW100*Calculateur!DY100*VLOOKUP('Données projet'!$B$14,Paramètres!$A$1:$I$88,3,0)*0.475*44/12</f>
        <v>19.020344412128377</v>
      </c>
      <c r="EC100" s="23">
        <f>EXP(-LN(2)/2)*EC99+(1-EXP(-LN(2)/2))/(LN(2)/2)*DW100*DZ100*VLOOKUP('Données projet'!$B$14,Paramètres!$A$1:$I$88,3,0)*0.475*44/12</f>
        <v>0</v>
      </c>
      <c r="ED100" s="24">
        <f t="shared" si="72"/>
        <v>42.126614861509779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498.99999999999955</v>
      </c>
      <c r="EK100" s="18">
        <f>EJ100*VLOOKUP('Données projet'!$B$15,Paramètres!$A$1:$I$88,3,0)*VLOOKUP('Données projet'!$B$15,Paramètres!$A$1:$I$88,5,0)</f>
        <v>233.53199999999975</v>
      </c>
      <c r="EL100" s="14">
        <f t="shared" si="99"/>
        <v>57.04570382109803</v>
      </c>
      <c r="EM100" s="22">
        <f t="shared" si="73"/>
        <v>506.08950082174533</v>
      </c>
      <c r="EN100" s="62">
        <f t="shared" si="74"/>
        <v>782.63492710112814</v>
      </c>
      <c r="EO100" s="62">
        <f ca="1">AVERAGE(OFFSET($EN$3,0,0,'Données projet'!$E$15+1,1))-AVERAGE(OFFSET($H$3,0,0,'Données projet'!$E$15+1,1))</f>
        <v>267.26203506406682</v>
      </c>
      <c r="EP100" s="62">
        <f t="shared" si="100"/>
        <v>265.10857635664843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projet'!$B$15,Paramètres!$A$1:$I$88,3,0)*0.475*44/12</f>
        <v>22.481776653452165</v>
      </c>
      <c r="EW100" s="23">
        <f>EXP(-LN(2)/25)*EW99+(1-EXP(-LN(2)/25))/(LN(2)/25)*Calculateur!ER100*Calculateur!ET100*VLOOKUP('Données projet'!$B$15,Paramètres!$A$1:$I$88,3,0)*0.475*44/12</f>
        <v>18.506281049638421</v>
      </c>
      <c r="EX100" s="23">
        <f>EXP(-LN(2)/2)*EX99+(1-EXP(-LN(2)/2))/(LN(2)/2)*ER100*EU100*VLOOKUP('Données projet'!$B$15,Paramètres!$A$1:$I$88,3,0)*0.475*44/12</f>
        <v>0</v>
      </c>
      <c r="EY100" s="24">
        <f t="shared" si="75"/>
        <v>40.98805770309059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231</v>
      </c>
      <c r="FF100" s="18">
        <f>FE100*VLOOKUP('Données projet'!$B$16,Paramètres!$A$1:$I$88,3,0)*VLOOKUP('Données projet'!$B$16,Paramètres!$A$1:$I$88,5,0)</f>
        <v>169.36920000000001</v>
      </c>
      <c r="FG100" s="14">
        <f t="shared" si="101"/>
        <v>42.948714817158674</v>
      </c>
      <c r="FH100" s="22">
        <f t="shared" si="76"/>
        <v>369.787034973218</v>
      </c>
      <c r="FI100" s="62">
        <f t="shared" si="77"/>
        <v>646.33246125260075</v>
      </c>
      <c r="FJ100" s="62">
        <f ca="1">AVERAGE(OFFSET($FI$3,0,0,'Données projet'!$E$16+1,1))-AVERAGE(OFFSET($H$3,0,0,'Données projet'!$E$16+1,1))</f>
        <v>207.66160354686221</v>
      </c>
      <c r="FK100" s="62">
        <f t="shared" si="102"/>
        <v>260.45879589483525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projet'!$B$16,Paramètres!$A$1:$I$88,3,0)*0.475*44/12</f>
        <v>1.3734731219063199</v>
      </c>
      <c r="FR100" s="23">
        <f>EXP(-LN(2)/25)*FR99+(1-EXP(-LN(2)/25))/(LN(2)/25)*Calculateur!FM100*Calculateur!FO100*VLOOKUP('Données projet'!$B$16,Paramètres!$A$1:$I$88,3,0)*0.475*44/12</f>
        <v>0</v>
      </c>
      <c r="FS100" s="23">
        <f>EXP(-LN(2)/2)*FS99+(1-EXP(-LN(2)/2))/(LN(2)/2)*FM100*FP100*VLOOKUP('Données projet'!$B$16,Paramètres!$A$1:$I$88,3,0)*0.475*44/12</f>
        <v>0</v>
      </c>
      <c r="FT100" s="24">
        <f t="shared" si="78"/>
        <v>1.3734731219063199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projet'!$B$9,Paramètres!$A$1:$I$88,3,0)*VLOOKUP('Données projet'!$B$9,Paramètres!$A$1:$I$88,5,0)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378.13552372917843</v>
      </c>
      <c r="T101" s="62">
        <f t="shared" si="88"/>
        <v>528.97123645404952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103.9158363345927</v>
      </c>
      <c r="AA101" s="23">
        <f>EXP(-LN(2)/25)*AA100+(1-EXP(-LN(2)/25))/(LN(2)/25)*Calculateur!V101*Calculateur!X101*VLOOKUP('Données projet'!$B$9,Paramètres!$A$1:$I$88,3,0)*0.475*44/12</f>
        <v>38.234492891015172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142.15032922560786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6.75</v>
      </c>
      <c r="AI101" s="14">
        <f>IF('Données projet'!$A$62&gt;35,AI100+AH101-AQ100,IF(A101&lt;'Données projet'!$A$62,$AF$205^A101,IF(A101='Données projet'!$A$62,'Données projet'!$B$62,AI100+AH101-AQ100)))</f>
        <v>277.75</v>
      </c>
      <c r="AJ101" s="14">
        <f>AI101*VLOOKUP('Données projet'!$B$10,Paramètres!$A$1:$I$88,3,0)*VLOOKUP('Données projet'!$B$10,Paramètres!$A$1:$I$88,5,0)</f>
        <v>251.3082</v>
      </c>
      <c r="AK101" s="14">
        <f t="shared" si="89"/>
        <v>60.865987045046865</v>
      </c>
      <c r="AL101" s="22">
        <f t="shared" si="58"/>
        <v>543.70337577012333</v>
      </c>
      <c r="AM101" s="62">
        <f t="shared" si="59"/>
        <v>820.5400347047547</v>
      </c>
      <c r="AN101" s="62">
        <f ca="1">AVERAGE(OFFSET($AM$3,0,0,'Données projet'!$E$10+1,1))-AVERAGE(OFFSET($H$3,0,0,'Données projet'!$E$10+1,1))</f>
        <v>536.3707066106856</v>
      </c>
      <c r="AO101" s="62">
        <f t="shared" si="90"/>
        <v>217.6280015974086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20.365338427919582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20.365338427919582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302.3</v>
      </c>
      <c r="BE101" s="14">
        <f>BD101*VLOOKUP('Données projet'!$B$11,Paramètres!$A$1:$I$88,3,0)*VLOOKUP('Données projet'!$B$11,Paramètres!$A$1:$I$88,5,0)</f>
        <v>180.77540000000005</v>
      </c>
      <c r="BF101" s="14">
        <f t="shared" si="91"/>
        <v>45.494655198846154</v>
      </c>
      <c r="BG101" s="22">
        <f t="shared" si="61"/>
        <v>394.08701280465715</v>
      </c>
      <c r="BH101" s="62">
        <f t="shared" si="62"/>
        <v>670.92367173928847</v>
      </c>
      <c r="BI101" s="62">
        <f ca="1">AVERAGE(OFFSET($BH$3,0,0,'Données projet'!$E$11+1,1))-AVERAGE(OFFSET($H$3,0,0,'Données projet'!$E$11+1,1))</f>
        <v>248.66193174773525</v>
      </c>
      <c r="BJ101" s="62">
        <f t="shared" si="92"/>
        <v>249.61655682981151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9.7731498683527303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7.9181156746780028E-6</v>
      </c>
      <c r="BS101" s="24">
        <f t="shared" si="63"/>
        <v>9.7731577864684045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860.00000000000023</v>
      </c>
      <c r="BZ101" s="14">
        <f>BY101*VLOOKUP('Données projet'!$B$12,Paramètres!$A$1:$I$88,3,0)*VLOOKUP('Données projet'!$B$12,Paramètres!$A$1:$I$88,5,0)</f>
        <v>346.5800000000001</v>
      </c>
      <c r="CA101" s="14">
        <f t="shared" si="93"/>
        <v>80.857895771535127</v>
      </c>
      <c r="CB101" s="22">
        <f t="shared" si="64"/>
        <v>744.45433513542378</v>
      </c>
      <c r="CC101" s="62">
        <f t="shared" si="65"/>
        <v>1021.2909940700551</v>
      </c>
      <c r="CD101" s="62">
        <f ca="1">AVERAGE(OFFSET($CC$3,0,0,'Données projet'!$E$12+1,1))-AVERAGE(OFFSET($H$3,0,0,'Données projet'!$E$12+1,1))</f>
        <v>432.59662347701629</v>
      </c>
      <c r="CE101" s="62">
        <f t="shared" si="94"/>
        <v>348.67401091099748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44.024738190408534</v>
      </c>
      <c r="CL101" s="23">
        <f>EXP(-LN(2)/25)*CL100+(1-EXP(-LN(2)/25))/(LN(2)/25)*Calculateur!CG101*Calculateur!CI101*VLOOKUP('Données projet'!$B$12,Paramètres!$A$1:$I$88,3,0)*0.475*44/12</f>
        <v>42.212301107457833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86.237039297866374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1099.9999999999998</v>
      </c>
      <c r="CU101" s="18">
        <f>CT101*VLOOKUP('Données projet'!$B$13,Paramètres!$A$1:$I$88,3,0)*VLOOKUP('Données projet'!$B$13,Paramètres!$A$1:$I$88,5,0)</f>
        <v>486.19999999999993</v>
      </c>
      <c r="CV101" s="14">
        <f t="shared" si="95"/>
        <v>109.0490179035375</v>
      </c>
      <c r="CW101" s="22">
        <f t="shared" si="67"/>
        <v>1036.725372848661</v>
      </c>
      <c r="CX101" s="62">
        <f t="shared" si="68"/>
        <v>1313.5620317832922</v>
      </c>
      <c r="CY101" s="62">
        <f ca="1">AVERAGE(OFFSET($CX$3,0,0,'Données projet'!$E$13+1,1))-AVERAGE(OFFSET($H$3,0,0,'Données projet'!$E$13+1,1))</f>
        <v>582.26951914082088</v>
      </c>
      <c r="CZ101" s="62">
        <f t="shared" si="96"/>
        <v>434.80429932654715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44.361025770444165</v>
      </c>
      <c r="DG101" s="23">
        <f>EXP(-LN(2)/25)*DG100+(1-EXP(-LN(2)/25))/(LN(2)/25)*Calculateur!DB101*Calculateur!DD101*VLOOKUP('Données projet'!$B$13,Paramètres!$A$1:$I$88,3,0)*0.475*44/12</f>
        <v>37.931038290792522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82.292064061236687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498.99999999999955</v>
      </c>
      <c r="DP101" s="18">
        <f>DO101*VLOOKUP('Données projet'!$B$14,Paramètres!$A$1:$I$88,3,0)*VLOOKUP('Données projet'!$B$14,Paramètres!$A$1:$I$88,5,0)</f>
        <v>240.01899999999978</v>
      </c>
      <c r="DQ101" s="14">
        <f t="shared" si="97"/>
        <v>58.443618405936313</v>
      </c>
      <c r="DR101" s="22">
        <f t="shared" si="70"/>
        <v>519.82239372367201</v>
      </c>
      <c r="DS101" s="62">
        <f t="shared" si="71"/>
        <v>796.65905265830338</v>
      </c>
      <c r="DT101" s="62">
        <f ca="1">AVERAGE(OFFSET($DS$3,0,0,'Données projet'!$E$14+1,1))-AVERAGE(OFFSET($H$3,0,0,'Données projet'!$E$14+1,1))</f>
        <v>273.24375559399846</v>
      </c>
      <c r="DU101" s="62">
        <f t="shared" si="98"/>
        <v>270.77718895097848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projet'!$B$14,Paramètres!$A$1:$I$88,3,0)*0.475*44/12</f>
        <v>22.653170579302397</v>
      </c>
      <c r="EB101" s="23">
        <f>EXP(-LN(2)/25)*EB100+(1-EXP(-LN(2)/25))/(LN(2)/25)*Calculateur!DW101*Calculateur!DY101*VLOOKUP('Données projet'!$B$14,Paramètres!$A$1:$I$88,3,0)*0.475*44/12</f>
        <v>18.500232093942287</v>
      </c>
      <c r="EC101" s="23">
        <f>EXP(-LN(2)/2)*EC100+(1-EXP(-LN(2)/2))/(LN(2)/2)*DW101*DZ101*VLOOKUP('Données projet'!$B$14,Paramètres!$A$1:$I$88,3,0)*0.475*44/12</f>
        <v>0</v>
      </c>
      <c r="ED101" s="24">
        <f t="shared" si="72"/>
        <v>41.153402673244685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498.99999999999955</v>
      </c>
      <c r="EK101" s="18">
        <f>EJ101*VLOOKUP('Données projet'!$B$15,Paramètres!$A$1:$I$88,3,0)*VLOOKUP('Données projet'!$B$15,Paramètres!$A$1:$I$88,5,0)</f>
        <v>233.53199999999975</v>
      </c>
      <c r="EL101" s="14">
        <f t="shared" si="99"/>
        <v>57.04570382109803</v>
      </c>
      <c r="EM101" s="22">
        <f t="shared" si="73"/>
        <v>506.08950082174533</v>
      </c>
      <c r="EN101" s="62">
        <f t="shared" si="74"/>
        <v>782.92615975637671</v>
      </c>
      <c r="EO101" s="62">
        <f ca="1">AVERAGE(OFFSET($EN$3,0,0,'Données projet'!$E$15+1,1))-AVERAGE(OFFSET($H$3,0,0,'Données projet'!$E$15+1,1))</f>
        <v>267.26203506406682</v>
      </c>
      <c r="EP101" s="62">
        <f t="shared" si="100"/>
        <v>265.10857635664843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projet'!$B$15,Paramètres!$A$1:$I$88,3,0)*0.475*44/12</f>
        <v>22.040922725807729</v>
      </c>
      <c r="EW101" s="23">
        <f>EXP(-LN(2)/25)*EW100+(1-EXP(-LN(2)/25))/(LN(2)/25)*Calculateur!ER101*Calculateur!ET101*VLOOKUP('Données projet'!$B$15,Paramètres!$A$1:$I$88,3,0)*0.475*44/12</f>
        <v>18.000225821133036</v>
      </c>
      <c r="EX101" s="23">
        <f>EXP(-LN(2)/2)*EX100+(1-EXP(-LN(2)/2))/(LN(2)/2)*ER101*EU101*VLOOKUP('Données projet'!$B$15,Paramètres!$A$1:$I$88,3,0)*0.475*44/12</f>
        <v>0</v>
      </c>
      <c r="EY101" s="24">
        <f t="shared" si="75"/>
        <v>40.041148546940761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231</v>
      </c>
      <c r="FF101" s="18">
        <f>FE101*VLOOKUP('Données projet'!$B$16,Paramètres!$A$1:$I$88,3,0)*VLOOKUP('Données projet'!$B$16,Paramètres!$A$1:$I$88,5,0)</f>
        <v>169.36920000000001</v>
      </c>
      <c r="FG101" s="14">
        <f t="shared" si="101"/>
        <v>42.948714817158674</v>
      </c>
      <c r="FH101" s="22">
        <f t="shared" si="76"/>
        <v>369.787034973218</v>
      </c>
      <c r="FI101" s="62">
        <f t="shared" si="77"/>
        <v>646.62369390784943</v>
      </c>
      <c r="FJ101" s="62">
        <f ca="1">AVERAGE(OFFSET($FI$3,0,0,'Données projet'!$E$16+1,1))-AVERAGE(OFFSET($H$3,0,0,'Données projet'!$E$16+1,1))</f>
        <v>207.66160354686221</v>
      </c>
      <c r="FK101" s="62">
        <f t="shared" si="102"/>
        <v>260.45879589483525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projet'!$B$16,Paramètres!$A$1:$I$88,3,0)*0.475*44/12</f>
        <v>1.3465401517216218</v>
      </c>
      <c r="FR101" s="23">
        <f>EXP(-LN(2)/25)*FR100+(1-EXP(-LN(2)/25))/(LN(2)/25)*Calculateur!FM101*Calculateur!FO101*VLOOKUP('Données projet'!$B$16,Paramètres!$A$1:$I$88,3,0)*0.475*44/12</f>
        <v>0</v>
      </c>
      <c r="FS101" s="23">
        <f>EXP(-LN(2)/2)*FS100+(1-EXP(-LN(2)/2))/(LN(2)/2)*FM101*FP101*VLOOKUP('Données projet'!$B$16,Paramètres!$A$1:$I$88,3,0)*0.475*44/12</f>
        <v>0</v>
      </c>
      <c r="FT101" s="24">
        <f t="shared" si="78"/>
        <v>1.3465401517216218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projet'!$B$9,Paramètres!$A$1:$I$88,3,0)*VLOOKUP('Données projet'!$B$9,Paramètres!$A$1:$I$88,5,0)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378.13552372917843</v>
      </c>
      <c r="T102" s="62">
        <f t="shared" si="88"/>
        <v>528.97123645404952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101.87811016647301</v>
      </c>
      <c r="AA102" s="23">
        <f>EXP(-LN(2)/25)*AA101+(1-EXP(-LN(2)/25))/(LN(2)/25)*Calculateur!V102*Calculateur!X102*VLOOKUP('Données projet'!$B$9,Paramètres!$A$1:$I$88,3,0)*0.475*44/12</f>
        <v>37.188968672245764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139.06707883871877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6.75</v>
      </c>
      <c r="AI102" s="14">
        <f>IF('Données projet'!$A$62&gt;35,AI101+AH102-AQ101,IF(A102&lt;'Données projet'!$A$62,$AF$205^A102,IF(A102='Données projet'!$A$62,'Données projet'!$B$62,AI101+AH102-AQ101)))</f>
        <v>284.5</v>
      </c>
      <c r="AJ102" s="14">
        <f>AI102*VLOOKUP('Données projet'!$B$10,Paramètres!$A$1:$I$88,3,0)*VLOOKUP('Données projet'!$B$10,Paramètres!$A$1:$I$88,5,0)</f>
        <v>257.41559999999998</v>
      </c>
      <c r="AK102" s="14">
        <f t="shared" si="89"/>
        <v>62.171168434977119</v>
      </c>
      <c r="AL102" s="22">
        <f t="shared" si="58"/>
        <v>556.61362169091842</v>
      </c>
      <c r="AM102" s="62">
        <f t="shared" si="59"/>
        <v>833.7364610453285</v>
      </c>
      <c r="AN102" s="62">
        <f ca="1">AVERAGE(OFFSET($AM$3,0,0,'Données projet'!$E$10+1,1))-AVERAGE(OFFSET($H$3,0,0,'Données projet'!$E$10+1,1))</f>
        <v>536.3707066106856</v>
      </c>
      <c r="AO102" s="62">
        <f t="shared" si="90"/>
        <v>217.6280015974086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19.965986562977985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19.965986562977985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302.3</v>
      </c>
      <c r="BE102" s="14">
        <f>BD102*VLOOKUP('Données projet'!$B$11,Paramètres!$A$1:$I$88,3,0)*VLOOKUP('Données projet'!$B$11,Paramètres!$A$1:$I$88,5,0)</f>
        <v>180.77540000000005</v>
      </c>
      <c r="BF102" s="14">
        <f t="shared" si="91"/>
        <v>45.494655198846154</v>
      </c>
      <c r="BG102" s="22">
        <f t="shared" si="61"/>
        <v>394.08701280465715</v>
      </c>
      <c r="BH102" s="62">
        <f t="shared" si="62"/>
        <v>671.20985215906728</v>
      </c>
      <c r="BI102" s="62">
        <f ca="1">AVERAGE(OFFSET($BH$3,0,0,'Données projet'!$E$11+1,1))-AVERAGE(OFFSET($H$3,0,0,'Données projet'!$E$11+1,1))</f>
        <v>248.66193174773525</v>
      </c>
      <c r="BJ102" s="62">
        <f t="shared" si="92"/>
        <v>249.61655682981151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9.5815043604671501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5.5989532877843107E-6</v>
      </c>
      <c r="BS102" s="24">
        <f t="shared" si="63"/>
        <v>9.5815099594204387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860.00000000000023</v>
      </c>
      <c r="BZ102" s="14">
        <f>BY102*VLOOKUP('Données projet'!$B$12,Paramètres!$A$1:$I$88,3,0)*VLOOKUP('Données projet'!$B$12,Paramètres!$A$1:$I$88,5,0)</f>
        <v>346.5800000000001</v>
      </c>
      <c r="CA102" s="14">
        <f t="shared" si="93"/>
        <v>80.857895771535127</v>
      </c>
      <c r="CB102" s="22">
        <f t="shared" si="64"/>
        <v>744.45433513542378</v>
      </c>
      <c r="CC102" s="62">
        <f t="shared" si="65"/>
        <v>1021.5771744898339</v>
      </c>
      <c r="CD102" s="62">
        <f ca="1">AVERAGE(OFFSET($CC$3,0,0,'Données projet'!$E$12+1,1))-AVERAGE(OFFSET($H$3,0,0,'Données projet'!$E$12+1,1))</f>
        <v>432.59662347701629</v>
      </c>
      <c r="CE102" s="62">
        <f t="shared" si="94"/>
        <v>348.67401091099748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43.161439926933461</v>
      </c>
      <c r="CL102" s="23">
        <f>EXP(-LN(2)/25)*CL101+(1-EXP(-LN(2)/25))/(LN(2)/25)*Calculateur!CG102*Calculateur!CI102*VLOOKUP('Données projet'!$B$12,Paramètres!$A$1:$I$88,3,0)*0.475*44/12</f>
        <v>41.058003513825959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84.21944344075942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1099.9999999999998</v>
      </c>
      <c r="CU102" s="18">
        <f>CT102*VLOOKUP('Données projet'!$B$13,Paramètres!$A$1:$I$88,3,0)*VLOOKUP('Données projet'!$B$13,Paramètres!$A$1:$I$88,5,0)</f>
        <v>486.19999999999993</v>
      </c>
      <c r="CV102" s="14">
        <f t="shared" si="95"/>
        <v>109.0490179035375</v>
      </c>
      <c r="CW102" s="22">
        <f t="shared" si="67"/>
        <v>1036.725372848661</v>
      </c>
      <c r="CX102" s="62">
        <f t="shared" si="68"/>
        <v>1313.8482122030712</v>
      </c>
      <c r="CY102" s="62">
        <f ca="1">AVERAGE(OFFSET($CX$3,0,0,'Données projet'!$E$13+1,1))-AVERAGE(OFFSET($H$3,0,0,'Données projet'!$E$13+1,1))</f>
        <v>582.26951914082088</v>
      </c>
      <c r="CZ102" s="62">
        <f t="shared" si="96"/>
        <v>434.80429932654715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43.491133112639766</v>
      </c>
      <c r="DG102" s="23">
        <f>EXP(-LN(2)/25)*DG101+(1-EXP(-LN(2)/25))/(LN(2)/25)*Calculateur!DB102*Calculateur!DD102*VLOOKUP('Données projet'!$B$13,Paramètres!$A$1:$I$88,3,0)*0.475*44/12</f>
        <v>36.893812054024188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80.384945166663954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498.99999999999955</v>
      </c>
      <c r="DP102" s="18">
        <f>DO102*VLOOKUP('Données projet'!$B$14,Paramètres!$A$1:$I$88,3,0)*VLOOKUP('Données projet'!$B$14,Paramètres!$A$1:$I$88,5,0)</f>
        <v>240.01899999999978</v>
      </c>
      <c r="DQ102" s="14">
        <f t="shared" si="97"/>
        <v>58.443618405936313</v>
      </c>
      <c r="DR102" s="22">
        <f t="shared" si="70"/>
        <v>519.82239372367201</v>
      </c>
      <c r="DS102" s="62">
        <f t="shared" si="71"/>
        <v>796.94523307808208</v>
      </c>
      <c r="DT102" s="62">
        <f ca="1">AVERAGE(OFFSET($DS$3,0,0,'Données projet'!$E$14+1,1))-AVERAGE(OFFSET($H$3,0,0,'Données projet'!$E$14+1,1))</f>
        <v>273.24375559399846</v>
      </c>
      <c r="DU102" s="62">
        <f t="shared" si="98"/>
        <v>270.77718895097848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projet'!$B$14,Paramètres!$A$1:$I$88,3,0)*0.475*44/12</f>
        <v>22.208955721312009</v>
      </c>
      <c r="EB102" s="23">
        <f>EXP(-LN(2)/25)*EB101+(1-EXP(-LN(2)/25))/(LN(2)/25)*Calculateur!DW102*Calculateur!DY102*VLOOKUP('Données projet'!$B$14,Paramètres!$A$1:$I$88,3,0)*0.475*44/12</f>
        <v>17.994342274448513</v>
      </c>
      <c r="EC102" s="23">
        <f>EXP(-LN(2)/2)*EC101+(1-EXP(-LN(2)/2))/(LN(2)/2)*DW102*DZ102*VLOOKUP('Données projet'!$B$14,Paramètres!$A$1:$I$88,3,0)*0.475*44/12</f>
        <v>0</v>
      </c>
      <c r="ED102" s="24">
        <f t="shared" si="72"/>
        <v>40.203297995760522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498.99999999999955</v>
      </c>
      <c r="EK102" s="18">
        <f>EJ102*VLOOKUP('Données projet'!$B$15,Paramètres!$A$1:$I$88,3,0)*VLOOKUP('Données projet'!$B$15,Paramètres!$A$1:$I$88,5,0)</f>
        <v>233.53199999999975</v>
      </c>
      <c r="EL102" s="14">
        <f t="shared" si="99"/>
        <v>57.04570382109803</v>
      </c>
      <c r="EM102" s="22">
        <f t="shared" si="73"/>
        <v>506.08950082174533</v>
      </c>
      <c r="EN102" s="62">
        <f t="shared" si="74"/>
        <v>783.21234017615552</v>
      </c>
      <c r="EO102" s="62">
        <f ca="1">AVERAGE(OFFSET($EN$3,0,0,'Données projet'!$E$15+1,1))-AVERAGE(OFFSET($H$3,0,0,'Données projet'!$E$15+1,1))</f>
        <v>267.26203506406682</v>
      </c>
      <c r="EP102" s="62">
        <f t="shared" si="100"/>
        <v>265.10857635664843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projet'!$B$15,Paramètres!$A$1:$I$88,3,0)*0.475*44/12</f>
        <v>21.608713674790053</v>
      </c>
      <c r="EW102" s="23">
        <f>EXP(-LN(2)/25)*EW101+(1-EXP(-LN(2)/25))/(LN(2)/25)*Calculateur!ER102*Calculateur!ET102*VLOOKUP('Données projet'!$B$15,Paramètres!$A$1:$I$88,3,0)*0.475*44/12</f>
        <v>17.508008699463417</v>
      </c>
      <c r="EX102" s="23">
        <f>EXP(-LN(2)/2)*EX101+(1-EXP(-LN(2)/2))/(LN(2)/2)*ER102*EU102*VLOOKUP('Données projet'!$B$15,Paramètres!$A$1:$I$88,3,0)*0.475*44/12</f>
        <v>0</v>
      </c>
      <c r="EY102" s="24">
        <f t="shared" si="75"/>
        <v>39.11672237425347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231</v>
      </c>
      <c r="FF102" s="18">
        <f>FE102*VLOOKUP('Données projet'!$B$16,Paramètres!$A$1:$I$88,3,0)*VLOOKUP('Données projet'!$B$16,Paramètres!$A$1:$I$88,5,0)</f>
        <v>169.36920000000001</v>
      </c>
      <c r="FG102" s="14">
        <f t="shared" si="101"/>
        <v>42.948714817158674</v>
      </c>
      <c r="FH102" s="22">
        <f t="shared" si="76"/>
        <v>369.787034973218</v>
      </c>
      <c r="FI102" s="62">
        <f t="shared" si="77"/>
        <v>646.90987432762813</v>
      </c>
      <c r="FJ102" s="62">
        <f ca="1">AVERAGE(OFFSET($FI$3,0,0,'Données projet'!$E$16+1,1))-AVERAGE(OFFSET($H$3,0,0,'Données projet'!$E$16+1,1))</f>
        <v>207.66160354686221</v>
      </c>
      <c r="FK102" s="62">
        <f t="shared" si="102"/>
        <v>260.45879589483525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projet'!$B$16,Paramètres!$A$1:$I$88,3,0)*0.475*44/12</f>
        <v>1.3201353206547559</v>
      </c>
      <c r="FR102" s="23">
        <f>EXP(-LN(2)/25)*FR101+(1-EXP(-LN(2)/25))/(LN(2)/25)*Calculateur!FM102*Calculateur!FO102*VLOOKUP('Données projet'!$B$16,Paramètres!$A$1:$I$88,3,0)*0.475*44/12</f>
        <v>0</v>
      </c>
      <c r="FS102" s="23">
        <f>EXP(-LN(2)/2)*FS101+(1-EXP(-LN(2)/2))/(LN(2)/2)*FM102*FP102*VLOOKUP('Données projet'!$B$16,Paramètres!$A$1:$I$88,3,0)*0.475*44/12</f>
        <v>0</v>
      </c>
      <c r="FT102" s="24">
        <f t="shared" si="78"/>
        <v>1.3201353206547559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projet'!$B$9,Paramètres!$A$1:$I$88,3,0)*VLOOKUP('Données projet'!$B$9,Paramètres!$A$1:$I$88,5,0)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378.13552372917843</v>
      </c>
      <c r="T103" s="62">
        <f t="shared" si="88"/>
        <v>528.97123645404952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99.880342565619912</v>
      </c>
      <c r="AA103" s="23">
        <f>EXP(-LN(2)/25)*AA102+(1-EXP(-LN(2)/25))/(LN(2)/25)*Calculateur!V103*Calculateur!X103*VLOOKUP('Données projet'!$B$9,Paramètres!$A$1:$I$88,3,0)*0.475*44/12</f>
        <v>36.172034368220338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136.05237693384026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6.75</v>
      </c>
      <c r="AI103" s="14">
        <f>IF('Données projet'!$A$62&gt;35,AI102+AH103-AQ102,IF(A103&lt;'Données projet'!$A$62,$AF$205^A103,IF(A103='Données projet'!$A$62,'Données projet'!$B$62,AI102+AH103-AQ102)))</f>
        <v>291.25</v>
      </c>
      <c r="AJ103" s="14">
        <f>AI103*VLOOKUP('Données projet'!$B$10,Paramètres!$A$1:$I$88,3,0)*VLOOKUP('Données projet'!$B$10,Paramètres!$A$1:$I$88,5,0)</f>
        <v>263.52299999999997</v>
      </c>
      <c r="AK103" s="14">
        <f t="shared" si="89"/>
        <v>63.472749937933045</v>
      </c>
      <c r="AL103" s="22">
        <f t="shared" si="58"/>
        <v>569.51759780856662</v>
      </c>
      <c r="AM103" s="62">
        <f t="shared" si="59"/>
        <v>846.92165299227577</v>
      </c>
      <c r="AN103" s="62">
        <f ca="1">AVERAGE(OFFSET($AM$3,0,0,'Données projet'!$E$10+1,1))-AVERAGE(OFFSET($H$3,0,0,'Données projet'!$E$10+1,1))</f>
        <v>536.3707066106856</v>
      </c>
      <c r="AO103" s="62">
        <f t="shared" si="90"/>
        <v>217.6280015974086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19.574465744527309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19.574465744527309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302.3</v>
      </c>
      <c r="BE103" s="14">
        <f>BD103*VLOOKUP('Données projet'!$B$11,Paramètres!$A$1:$I$88,3,0)*VLOOKUP('Données projet'!$B$11,Paramètres!$A$1:$I$88,5,0)</f>
        <v>180.77540000000005</v>
      </c>
      <c r="BF103" s="14">
        <f t="shared" si="91"/>
        <v>45.494655198846154</v>
      </c>
      <c r="BG103" s="22">
        <f t="shared" si="61"/>
        <v>394.08701280465715</v>
      </c>
      <c r="BH103" s="62">
        <f t="shared" si="62"/>
        <v>671.49106798836635</v>
      </c>
      <c r="BI103" s="62">
        <f ca="1">AVERAGE(OFFSET($BH$3,0,0,'Données projet'!$E$11+1,1))-AVERAGE(OFFSET($H$3,0,0,'Données projet'!$E$11+1,1))</f>
        <v>248.66193174773525</v>
      </c>
      <c r="BJ103" s="62">
        <f t="shared" si="92"/>
        <v>249.61655682981151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9.3936169040989874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3.9590578373390014E-6</v>
      </c>
      <c r="BS103" s="24">
        <f t="shared" si="63"/>
        <v>9.3936208631568245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860.00000000000023</v>
      </c>
      <c r="BZ103" s="14">
        <f>BY103*VLOOKUP('Données projet'!$B$12,Paramètres!$A$1:$I$88,3,0)*VLOOKUP('Données projet'!$B$12,Paramètres!$A$1:$I$88,5,0)</f>
        <v>346.5800000000001</v>
      </c>
      <c r="CA103" s="14">
        <f t="shared" si="93"/>
        <v>80.857895771535127</v>
      </c>
      <c r="CB103" s="22">
        <f t="shared" si="64"/>
        <v>744.45433513542378</v>
      </c>
      <c r="CC103" s="62">
        <f t="shared" si="65"/>
        <v>1021.8583903191329</v>
      </c>
      <c r="CD103" s="62">
        <f ca="1">AVERAGE(OFFSET($CC$3,0,0,'Données projet'!$E$12+1,1))-AVERAGE(OFFSET($H$3,0,0,'Données projet'!$E$12+1,1))</f>
        <v>432.59662347701629</v>
      </c>
      <c r="CE103" s="62">
        <f t="shared" si="94"/>
        <v>348.67401091099748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42.315070415845184</v>
      </c>
      <c r="CL103" s="23">
        <f>EXP(-LN(2)/25)*CL102+(1-EXP(-LN(2)/25))/(LN(2)/25)*Calculateur!CG103*Calculateur!CI103*VLOOKUP('Données projet'!$B$12,Paramètres!$A$1:$I$88,3,0)*0.475*44/12</f>
        <v>39.935270248593824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82.250340664439008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1099.9999999999998</v>
      </c>
      <c r="CU103" s="18">
        <f>CT103*VLOOKUP('Données projet'!$B$13,Paramètres!$A$1:$I$88,3,0)*VLOOKUP('Données projet'!$B$13,Paramètres!$A$1:$I$88,5,0)</f>
        <v>486.19999999999993</v>
      </c>
      <c r="CV103" s="14">
        <f t="shared" si="95"/>
        <v>109.0490179035375</v>
      </c>
      <c r="CW103" s="22">
        <f t="shared" si="67"/>
        <v>1036.725372848661</v>
      </c>
      <c r="CX103" s="62">
        <f t="shared" si="68"/>
        <v>1314.1294280323702</v>
      </c>
      <c r="CY103" s="62">
        <f ca="1">AVERAGE(OFFSET($CX$3,0,0,'Données projet'!$E$13+1,1))-AVERAGE(OFFSET($H$3,0,0,'Données projet'!$E$13+1,1))</f>
        <v>582.26951914082088</v>
      </c>
      <c r="CZ103" s="62">
        <f t="shared" si="96"/>
        <v>434.80429932654715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42.63829851927278</v>
      </c>
      <c r="DG103" s="23">
        <f>EXP(-LN(2)/25)*DG102+(1-EXP(-LN(2)/25))/(LN(2)/25)*Calculateur!DB103*Calculateur!DD103*VLOOKUP('Données projet'!$B$13,Paramètres!$A$1:$I$88,3,0)*0.475*44/12</f>
        <v>35.884948823245644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78.523247342518431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498.99999999999955</v>
      </c>
      <c r="DP103" s="18">
        <f>DO103*VLOOKUP('Données projet'!$B$14,Paramètres!$A$1:$I$88,3,0)*VLOOKUP('Données projet'!$B$14,Paramètres!$A$1:$I$88,5,0)</f>
        <v>240.01899999999978</v>
      </c>
      <c r="DQ103" s="14">
        <f t="shared" si="97"/>
        <v>58.443618405936313</v>
      </c>
      <c r="DR103" s="22">
        <f t="shared" si="70"/>
        <v>519.82239372367201</v>
      </c>
      <c r="DS103" s="62">
        <f t="shared" si="71"/>
        <v>797.22644890738115</v>
      </c>
      <c r="DT103" s="62">
        <f ca="1">AVERAGE(OFFSET($DS$3,0,0,'Données projet'!$E$14+1,1))-AVERAGE(OFFSET($H$3,0,0,'Données projet'!$E$14+1,1))</f>
        <v>273.24375559399846</v>
      </c>
      <c r="DU103" s="62">
        <f t="shared" si="98"/>
        <v>270.77718895097848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projet'!$B$14,Paramètres!$A$1:$I$88,3,0)*0.475*44/12</f>
        <v>21.773451645742501</v>
      </c>
      <c r="EB103" s="23">
        <f>EXP(-LN(2)/25)*EB102+(1-EXP(-LN(2)/25))/(LN(2)/25)*Calculateur!DW103*Calculateur!DY103*VLOOKUP('Données projet'!$B$14,Paramètres!$A$1:$I$88,3,0)*0.475*44/12</f>
        <v>17.502286038672384</v>
      </c>
      <c r="EC103" s="23">
        <f>EXP(-LN(2)/2)*EC102+(1-EXP(-LN(2)/2))/(LN(2)/2)*DW103*DZ103*VLOOKUP('Données projet'!$B$14,Paramètres!$A$1:$I$88,3,0)*0.475*44/12</f>
        <v>0</v>
      </c>
      <c r="ED103" s="24">
        <f t="shared" si="72"/>
        <v>39.275737684414885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498.99999999999955</v>
      </c>
      <c r="EK103" s="18">
        <f>EJ103*VLOOKUP('Données projet'!$B$15,Paramètres!$A$1:$I$88,3,0)*VLOOKUP('Données projet'!$B$15,Paramètres!$A$1:$I$88,5,0)</f>
        <v>233.53199999999975</v>
      </c>
      <c r="EL103" s="14">
        <f t="shared" si="99"/>
        <v>57.04570382109803</v>
      </c>
      <c r="EM103" s="22">
        <f t="shared" si="73"/>
        <v>506.08950082174533</v>
      </c>
      <c r="EN103" s="62">
        <f t="shared" si="74"/>
        <v>783.49355600545459</v>
      </c>
      <c r="EO103" s="62">
        <f ca="1">AVERAGE(OFFSET($EN$3,0,0,'Données projet'!$E$15+1,1))-AVERAGE(OFFSET($H$3,0,0,'Données projet'!$E$15+1,1))</f>
        <v>267.26203506406682</v>
      </c>
      <c r="EP103" s="62">
        <f t="shared" si="100"/>
        <v>265.10857635664843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projet'!$B$15,Paramètres!$A$1:$I$88,3,0)*0.475*44/12</f>
        <v>21.184979979641344</v>
      </c>
      <c r="EW103" s="23">
        <f>EXP(-LN(2)/25)*EW102+(1-EXP(-LN(2)/25))/(LN(2)/25)*Calculateur!ER103*Calculateur!ET103*VLOOKUP('Données projet'!$B$15,Paramètres!$A$1:$I$88,3,0)*0.475*44/12</f>
        <v>17.029251280870426</v>
      </c>
      <c r="EX103" s="23">
        <f>EXP(-LN(2)/2)*EX102+(1-EXP(-LN(2)/2))/(LN(2)/2)*ER103*EU103*VLOOKUP('Données projet'!$B$15,Paramètres!$A$1:$I$88,3,0)*0.475*44/12</f>
        <v>0</v>
      </c>
      <c r="EY103" s="24">
        <f t="shared" si="75"/>
        <v>38.214231260511767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231</v>
      </c>
      <c r="FF103" s="18">
        <f>FE103*VLOOKUP('Données projet'!$B$16,Paramètres!$A$1:$I$88,3,0)*VLOOKUP('Données projet'!$B$16,Paramètres!$A$1:$I$88,5,0)</f>
        <v>169.36920000000001</v>
      </c>
      <c r="FG103" s="14">
        <f t="shared" si="101"/>
        <v>42.948714817158674</v>
      </c>
      <c r="FH103" s="22">
        <f t="shared" si="76"/>
        <v>369.787034973218</v>
      </c>
      <c r="FI103" s="62">
        <f t="shared" si="77"/>
        <v>647.1910901569272</v>
      </c>
      <c r="FJ103" s="62">
        <f ca="1">AVERAGE(OFFSET($FI$3,0,0,'Données projet'!$E$16+1,1))-AVERAGE(OFFSET($H$3,0,0,'Données projet'!$E$16+1,1))</f>
        <v>207.66160354686221</v>
      </c>
      <c r="FK103" s="62">
        <f t="shared" si="102"/>
        <v>260.45879589483525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projet'!$B$16,Paramètres!$A$1:$I$88,3,0)*0.475*44/12</f>
        <v>1.2942482722197546</v>
      </c>
      <c r="FR103" s="23">
        <f>EXP(-LN(2)/25)*FR102+(1-EXP(-LN(2)/25))/(LN(2)/25)*Calculateur!FM103*Calculateur!FO103*VLOOKUP('Données projet'!$B$16,Paramètres!$A$1:$I$88,3,0)*0.475*44/12</f>
        <v>0</v>
      </c>
      <c r="FS103" s="23">
        <f>EXP(-LN(2)/2)*FS102+(1-EXP(-LN(2)/2))/(LN(2)/2)*FM103*FP103*VLOOKUP('Données projet'!$B$16,Paramètres!$A$1:$I$88,3,0)*0.475*44/12</f>
        <v>0</v>
      </c>
      <c r="FT103" s="24">
        <f t="shared" si="78"/>
        <v>1.2942482722197546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projet'!$B$9,Paramètres!$A$1:$I$88,3,0)*VLOOKUP('Données projet'!$B$9,Paramètres!$A$1:$I$88,5,0)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378.13552372917843</v>
      </c>
      <c r="T104" s="62">
        <f t="shared" si="88"/>
        <v>528.97123645404952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97.921749968901622</v>
      </c>
      <c r="AA104" s="23">
        <f>EXP(-LN(2)/25)*AA103+(1-EXP(-LN(2)/25))/(LN(2)/25)*Calculateur!V104*Calculateur!X104*VLOOKUP('Données projet'!$B$9,Paramètres!$A$1:$I$88,3,0)*0.475*44/12</f>
        <v>35.182908186216736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133.10465815511836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298</v>
      </c>
      <c r="AG104" s="13">
        <f>VLOOKUP(A104,'Données projet'!$A$61:$I$81,9,0)</f>
        <v>6.75</v>
      </c>
      <c r="AH104" s="13">
        <f t="array" ref="AH104">INDEX(AG:AG,MIN(IF(ISNUMBER(AG104:AG300),ROW(AG104:AG300),"")))</f>
        <v>6.75</v>
      </c>
      <c r="AI104" s="14">
        <f>IF('Données projet'!$A$62&gt;35,AI103+AH104-AQ103,IF(A104&lt;'Données projet'!$A$62,$AF$205^A104,IF(A104='Données projet'!$A$62,'Données projet'!$B$62,AI103+AH104-AQ103)))</f>
        <v>298</v>
      </c>
      <c r="AJ104" s="14">
        <f>AI104*VLOOKUP('Données projet'!$B$10,Paramètres!$A$1:$I$88,3,0)*VLOOKUP('Données projet'!$B$10,Paramètres!$A$1:$I$88,5,0)</f>
        <v>269.63039999999995</v>
      </c>
      <c r="AK104" s="14">
        <f t="shared" si="89"/>
        <v>64.770824587436138</v>
      </c>
      <c r="AL104" s="22">
        <f t="shared" si="58"/>
        <v>582.4154661564512</v>
      </c>
      <c r="AM104" s="62">
        <f t="shared" si="59"/>
        <v>860.09585870352566</v>
      </c>
      <c r="AN104" s="62">
        <f ca="1">AVERAGE(OFFSET($AM$3,0,0,'Données projet'!$E$10+1,1))-AVERAGE(OFFSET($H$3,0,0,'Données projet'!$E$10+1,1))</f>
        <v>536.3707066106856</v>
      </c>
      <c r="AO104" s="62">
        <f t="shared" si="90"/>
        <v>217.6280015974086</v>
      </c>
      <c r="AP104" s="16">
        <f>IF(ISNA(VLOOKUP(A104,'Données projet'!$A$61:$I$81,3,0)),0,VLOOKUP(A104,'Données projet'!$A$61:$I$81,3,0))</f>
        <v>12</v>
      </c>
      <c r="AQ104" s="16">
        <f>IF(ISNA(VLOOKUP(A104,'Données projet'!$A$61:$I$81,4,0)),0,VLOOKUP(A104,'Données projet'!$A$61:$I$81,4,0))</f>
        <v>34</v>
      </c>
      <c r="AR104" s="17">
        <f>IF(ISNA(VLOOKUP(A104,'Données projet'!$A$61:$I$81,5,0)),0%,VLOOKUP(A104,'Données projet'!$A$61:$I$81,5,0)*VLOOKUP('Données projet'!$B$10,Paramètres!$A$1:$I$88,7,0))</f>
        <v>0.17200000000000001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25.039965107821796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25.039965107821796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302.3</v>
      </c>
      <c r="BE104" s="14">
        <f>BD104*VLOOKUP('Données projet'!$B$11,Paramètres!$A$1:$I$88,3,0)*VLOOKUP('Données projet'!$B$11,Paramètres!$A$1:$I$88,5,0)</f>
        <v>180.77540000000005</v>
      </c>
      <c r="BF104" s="14">
        <f t="shared" si="91"/>
        <v>45.494655198846154</v>
      </c>
      <c r="BG104" s="22">
        <f t="shared" si="61"/>
        <v>394.08701280465715</v>
      </c>
      <c r="BH104" s="62">
        <f t="shared" si="62"/>
        <v>671.76740535173155</v>
      </c>
      <c r="BI104" s="62">
        <f ca="1">AVERAGE(OFFSET($BH$3,0,0,'Données projet'!$E$11+1,1))-AVERAGE(OFFSET($H$3,0,0,'Données projet'!$E$11+1,1))</f>
        <v>248.66193174773525</v>
      </c>
      <c r="BJ104" s="62">
        <f t="shared" si="92"/>
        <v>249.61655682981151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9.209413806150172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2.7994766438921554E-6</v>
      </c>
      <c r="BS104" s="24">
        <f t="shared" si="63"/>
        <v>9.2094166056268154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860.00000000000023</v>
      </c>
      <c r="BZ104" s="14">
        <f>BY104*VLOOKUP('Données projet'!$B$12,Paramètres!$A$1:$I$88,3,0)*VLOOKUP('Données projet'!$B$12,Paramètres!$A$1:$I$88,5,0)</f>
        <v>346.5800000000001</v>
      </c>
      <c r="CA104" s="14">
        <f t="shared" si="93"/>
        <v>80.857895771535127</v>
      </c>
      <c r="CB104" s="22">
        <f t="shared" si="64"/>
        <v>744.45433513542378</v>
      </c>
      <c r="CC104" s="62">
        <f t="shared" si="65"/>
        <v>1022.1347276824981</v>
      </c>
      <c r="CD104" s="62">
        <f ca="1">AVERAGE(OFFSET($CC$3,0,0,'Données projet'!$E$12+1,1))-AVERAGE(OFFSET($H$3,0,0,'Données projet'!$E$12+1,1))</f>
        <v>432.59662347701629</v>
      </c>
      <c r="CE104" s="62">
        <f t="shared" si="94"/>
        <v>348.67401091099748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41.485297694634923</v>
      </c>
      <c r="CL104" s="23">
        <f>EXP(-LN(2)/25)*CL103+(1-EXP(-LN(2)/25))/(LN(2)/25)*Calculateur!CG104*Calculateur!CI104*VLOOKUP('Données projet'!$B$12,Paramètres!$A$1:$I$88,3,0)*0.475*44/12</f>
        <v>38.843238183541438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80.328535878176353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1099.9999999999998</v>
      </c>
      <c r="CU104" s="18">
        <f>CT104*VLOOKUP('Données projet'!$B$13,Paramètres!$A$1:$I$88,3,0)*VLOOKUP('Données projet'!$B$13,Paramètres!$A$1:$I$88,5,0)</f>
        <v>486.19999999999993</v>
      </c>
      <c r="CV104" s="14">
        <f t="shared" si="95"/>
        <v>109.0490179035375</v>
      </c>
      <c r="CW104" s="22">
        <f t="shared" si="67"/>
        <v>1036.725372848661</v>
      </c>
      <c r="CX104" s="62">
        <f t="shared" si="68"/>
        <v>1314.4057653957354</v>
      </c>
      <c r="CY104" s="62">
        <f ca="1">AVERAGE(OFFSET($CX$3,0,0,'Données projet'!$E$13+1,1))-AVERAGE(OFFSET($H$3,0,0,'Données projet'!$E$13+1,1))</f>
        <v>582.26951914082088</v>
      </c>
      <c r="CZ104" s="62">
        <f t="shared" si="96"/>
        <v>434.80429932654715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41.802187492103982</v>
      </c>
      <c r="DG104" s="23">
        <f>EXP(-LN(2)/25)*DG103+(1-EXP(-LN(2)/25))/(LN(2)/25)*Calculateur!DB104*Calculateur!DD104*VLOOKUP('Données projet'!$B$13,Paramètres!$A$1:$I$88,3,0)*0.475*44/12</f>
        <v>34.90367301056655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76.705860502670532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498.99999999999955</v>
      </c>
      <c r="DP104" s="18">
        <f>DO104*VLOOKUP('Données projet'!$B$14,Paramètres!$A$1:$I$88,3,0)*VLOOKUP('Données projet'!$B$14,Paramètres!$A$1:$I$88,5,0)</f>
        <v>240.01899999999978</v>
      </c>
      <c r="DQ104" s="14">
        <f t="shared" si="97"/>
        <v>58.443618405936313</v>
      </c>
      <c r="DR104" s="22">
        <f t="shared" si="70"/>
        <v>519.82239372367201</v>
      </c>
      <c r="DS104" s="62">
        <f t="shared" si="71"/>
        <v>797.50278627074636</v>
      </c>
      <c r="DT104" s="62">
        <f ca="1">AVERAGE(OFFSET($DS$3,0,0,'Données projet'!$E$14+1,1))-AVERAGE(OFFSET($H$3,0,0,'Données projet'!$E$14+1,1))</f>
        <v>273.24375559399846</v>
      </c>
      <c r="DU104" s="62">
        <f t="shared" si="98"/>
        <v>270.77718895097848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projet'!$B$14,Paramètres!$A$1:$I$88,3,0)*0.475*44/12</f>
        <v>21.346487539463656</v>
      </c>
      <c r="EB104" s="23">
        <f>EXP(-LN(2)/25)*EB103+(1-EXP(-LN(2)/25))/(LN(2)/25)*Calculateur!DW104*Calculateur!DY104*VLOOKUP('Données projet'!$B$14,Paramètres!$A$1:$I$88,3,0)*0.475*44/12</f>
        <v>17.023685106539666</v>
      </c>
      <c r="EC104" s="23">
        <f>EXP(-LN(2)/2)*EC103+(1-EXP(-LN(2)/2))/(LN(2)/2)*DW104*DZ104*VLOOKUP('Données projet'!$B$14,Paramètres!$A$1:$I$88,3,0)*0.475*44/12</f>
        <v>0</v>
      </c>
      <c r="ED104" s="24">
        <f t="shared" si="72"/>
        <v>38.370172646003326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498.99999999999955</v>
      </c>
      <c r="EK104" s="18">
        <f>EJ104*VLOOKUP('Données projet'!$B$15,Paramètres!$A$1:$I$88,3,0)*VLOOKUP('Données projet'!$B$15,Paramètres!$A$1:$I$88,5,0)</f>
        <v>233.53199999999975</v>
      </c>
      <c r="EL104" s="14">
        <f t="shared" si="99"/>
        <v>57.04570382109803</v>
      </c>
      <c r="EM104" s="22">
        <f t="shared" si="73"/>
        <v>506.08950082174533</v>
      </c>
      <c r="EN104" s="62">
        <f t="shared" si="74"/>
        <v>783.76989336881979</v>
      </c>
      <c r="EO104" s="62">
        <f ca="1">AVERAGE(OFFSET($EN$3,0,0,'Données projet'!$E$15+1,1))-AVERAGE(OFFSET($H$3,0,0,'Données projet'!$E$15+1,1))</f>
        <v>267.26203506406682</v>
      </c>
      <c r="EP104" s="62">
        <f t="shared" si="100"/>
        <v>265.10857635664843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projet'!$B$15,Paramètres!$A$1:$I$88,3,0)*0.475*44/12</f>
        <v>20.769555443802467</v>
      </c>
      <c r="EW104" s="23">
        <f>EXP(-LN(2)/25)*EW103+(1-EXP(-LN(2)/25))/(LN(2)/25)*Calculateur!ER104*Calculateur!ET104*VLOOKUP('Données projet'!$B$15,Paramètres!$A$1:$I$88,3,0)*0.475*44/12</f>
        <v>16.563585509065621</v>
      </c>
      <c r="EX104" s="23">
        <f>EXP(-LN(2)/2)*EX103+(1-EXP(-LN(2)/2))/(LN(2)/2)*ER104*EU104*VLOOKUP('Données projet'!$B$15,Paramètres!$A$1:$I$88,3,0)*0.475*44/12</f>
        <v>0</v>
      </c>
      <c r="EY104" s="24">
        <f t="shared" si="75"/>
        <v>37.333140952868092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231</v>
      </c>
      <c r="FF104" s="18">
        <f>FE104*VLOOKUP('Données projet'!$B$16,Paramètres!$A$1:$I$88,3,0)*VLOOKUP('Données projet'!$B$16,Paramètres!$A$1:$I$88,5,0)</f>
        <v>169.36920000000001</v>
      </c>
      <c r="FG104" s="14">
        <f t="shared" si="101"/>
        <v>42.948714817158674</v>
      </c>
      <c r="FH104" s="22">
        <f t="shared" si="76"/>
        <v>369.787034973218</v>
      </c>
      <c r="FI104" s="62">
        <f t="shared" si="77"/>
        <v>647.4674275202924</v>
      </c>
      <c r="FJ104" s="62">
        <f ca="1">AVERAGE(OFFSET($FI$3,0,0,'Données projet'!$E$16+1,1))-AVERAGE(OFFSET($H$3,0,0,'Données projet'!$E$16+1,1))</f>
        <v>207.66160354686221</v>
      </c>
      <c r="FK104" s="62">
        <f t="shared" si="102"/>
        <v>260.45879589483525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projet'!$B$16,Paramètres!$A$1:$I$88,3,0)*0.475*44/12</f>
        <v>1.2688688530150232</v>
      </c>
      <c r="FR104" s="23">
        <f>EXP(-LN(2)/25)*FR103+(1-EXP(-LN(2)/25))/(LN(2)/25)*Calculateur!FM104*Calculateur!FO104*VLOOKUP('Données projet'!$B$16,Paramètres!$A$1:$I$88,3,0)*0.475*44/12</f>
        <v>0</v>
      </c>
      <c r="FS104" s="23">
        <f>EXP(-LN(2)/2)*FS103+(1-EXP(-LN(2)/2))/(LN(2)/2)*FM104*FP104*VLOOKUP('Données projet'!$B$16,Paramètres!$A$1:$I$88,3,0)*0.475*44/12</f>
        <v>0</v>
      </c>
      <c r="FT104" s="24">
        <f t="shared" si="78"/>
        <v>1.2688688530150232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projet'!$B$9,Paramètres!$A$1:$I$88,3,0)*VLOOKUP('Données projet'!$B$9,Paramètres!$A$1:$I$88,5,0)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378.13552372917843</v>
      </c>
      <c r="T105" s="62">
        <f t="shared" si="88"/>
        <v>528.97123645404952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96.001564178381457</v>
      </c>
      <c r="AA105" s="23">
        <f>EXP(-LN(2)/25)*AA104+(1-EXP(-LN(2)/25))/(LN(2)/25)*Calculateur!V105*Calculateur!X105*VLOOKUP('Données projet'!$B$9,Paramètres!$A$1:$I$88,3,0)*0.475*44/12</f>
        <v>34.220829711675911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130.22239389005736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6.8888888888888893</v>
      </c>
      <c r="AI105" s="14">
        <f>IF('Données projet'!$A$62&gt;35,AI104+AH105-AQ104,IF(A105&lt;'Données projet'!$A$62,$AF$205^A105,IF(A105='Données projet'!$A$62,'Données projet'!$B$62,AI104+AH105-AQ104)))</f>
        <v>270.88888888888891</v>
      </c>
      <c r="AJ105" s="14">
        <f>AI105*VLOOKUP('Données projet'!$B$10,Paramètres!$A$1:$I$88,3,0)*VLOOKUP('Données projet'!$B$10,Paramètres!$A$1:$I$88,5,0)</f>
        <v>245.10026666666667</v>
      </c>
      <c r="AK105" s="14">
        <f t="shared" si="89"/>
        <v>59.535531099895856</v>
      </c>
      <c r="AL105" s="22">
        <f t="shared" si="58"/>
        <v>530.57401444342975</v>
      </c>
      <c r="AM105" s="62">
        <f t="shared" si="59"/>
        <v>808.52595051841263</v>
      </c>
      <c r="AN105" s="62">
        <f ca="1">AVERAGE(OFFSET($AM$3,0,0,'Données projet'!$E$10+1,1))-AVERAGE(OFFSET($H$3,0,0,'Données projet'!$E$10+1,1))</f>
        <v>536.3707066106856</v>
      </c>
      <c r="AO105" s="62">
        <f t="shared" si="90"/>
        <v>217.6280015974086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24.548946664928057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24.548946664928057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302.3</v>
      </c>
      <c r="BE105" s="14">
        <f>BD105*VLOOKUP('Données projet'!$B$11,Paramètres!$A$1:$I$88,3,0)*VLOOKUP('Données projet'!$B$11,Paramètres!$A$1:$I$88,5,0)</f>
        <v>180.77540000000005</v>
      </c>
      <c r="BF105" s="14">
        <f t="shared" si="91"/>
        <v>45.494655198846154</v>
      </c>
      <c r="BG105" s="22">
        <f t="shared" si="61"/>
        <v>394.08701280465715</v>
      </c>
      <c r="BH105" s="62">
        <f t="shared" si="62"/>
        <v>672.03894887964009</v>
      </c>
      <c r="BI105" s="62">
        <f ca="1">AVERAGE(OFFSET($BH$3,0,0,'Données projet'!$E$11+1,1))-AVERAGE(OFFSET($H$3,0,0,'Données projet'!$E$11+1,1))</f>
        <v>248.66193174773525</v>
      </c>
      <c r="BJ105" s="62">
        <f t="shared" si="92"/>
        <v>249.61655682981151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9.0288228185993376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1.9795289186695007E-6</v>
      </c>
      <c r="BS105" s="24">
        <f t="shared" si="63"/>
        <v>9.028824798128257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860.00000000000023</v>
      </c>
      <c r="BZ105" s="14">
        <f>BY105*VLOOKUP('Données projet'!$B$12,Paramètres!$A$1:$I$88,3,0)*VLOOKUP('Données projet'!$B$12,Paramètres!$A$1:$I$88,5,0)</f>
        <v>346.5800000000001</v>
      </c>
      <c r="CA105" s="14">
        <f t="shared" si="93"/>
        <v>80.857895771535127</v>
      </c>
      <c r="CB105" s="22">
        <f t="shared" si="64"/>
        <v>744.45433513542378</v>
      </c>
      <c r="CC105" s="62">
        <f t="shared" si="65"/>
        <v>1022.4062712104067</v>
      </c>
      <c r="CD105" s="62">
        <f ca="1">AVERAGE(OFFSET($CC$3,0,0,'Données projet'!$E$12+1,1))-AVERAGE(OFFSET($H$3,0,0,'Données projet'!$E$12+1,1))</f>
        <v>432.59662347701629</v>
      </c>
      <c r="CE105" s="62">
        <f t="shared" si="94"/>
        <v>348.67401091099748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40.671796310376209</v>
      </c>
      <c r="CL105" s="23">
        <f>EXP(-LN(2)/25)*CL104+(1-EXP(-LN(2)/25))/(LN(2)/25)*Calculateur!CG105*Calculateur!CI105*VLOOKUP('Données projet'!$B$12,Paramètres!$A$1:$I$88,3,0)*0.475*44/12</f>
        <v>37.781067792735378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78.45286410311158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1099.9999999999998</v>
      </c>
      <c r="CU105" s="18">
        <f>CT105*VLOOKUP('Données projet'!$B$13,Paramètres!$A$1:$I$88,3,0)*VLOOKUP('Données projet'!$B$13,Paramètres!$A$1:$I$88,5,0)</f>
        <v>486.19999999999993</v>
      </c>
      <c r="CV105" s="14">
        <f t="shared" si="95"/>
        <v>109.0490179035375</v>
      </c>
      <c r="CW105" s="22">
        <f t="shared" si="67"/>
        <v>1036.725372848661</v>
      </c>
      <c r="CX105" s="62">
        <f t="shared" si="68"/>
        <v>1314.677308923644</v>
      </c>
      <c r="CY105" s="62">
        <f ca="1">AVERAGE(OFFSET($CX$3,0,0,'Données projet'!$E$13+1,1))-AVERAGE(OFFSET($H$3,0,0,'Données projet'!$E$13+1,1))</f>
        <v>582.26951914082088</v>
      </c>
      <c r="CZ105" s="62">
        <f t="shared" si="96"/>
        <v>434.80429932654715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40.982472092200595</v>
      </c>
      <c r="DG105" s="23">
        <f>EXP(-LN(2)/25)*DG104+(1-EXP(-LN(2)/25))/(LN(2)/25)*Calculateur!DB105*Calculateur!DD105*VLOOKUP('Données projet'!$B$13,Paramètres!$A$1:$I$88,3,0)*0.475*44/12</f>
        <v>33.949230236588214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74.931702328788816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498.99999999999955</v>
      </c>
      <c r="DP105" s="18">
        <f>DO105*VLOOKUP('Données projet'!$B$14,Paramètres!$A$1:$I$88,3,0)*VLOOKUP('Données projet'!$B$14,Paramètres!$A$1:$I$88,5,0)</f>
        <v>240.01899999999978</v>
      </c>
      <c r="DQ105" s="14">
        <f t="shared" si="97"/>
        <v>58.443618405936313</v>
      </c>
      <c r="DR105" s="22">
        <f t="shared" si="70"/>
        <v>519.82239372367201</v>
      </c>
      <c r="DS105" s="62">
        <f t="shared" si="71"/>
        <v>797.77432979865489</v>
      </c>
      <c r="DT105" s="62">
        <f ca="1">AVERAGE(OFFSET($DS$3,0,0,'Données projet'!$E$14+1,1))-AVERAGE(OFFSET($H$3,0,0,'Données projet'!$E$14+1,1))</f>
        <v>273.24375559399846</v>
      </c>
      <c r="DU105" s="62">
        <f t="shared" si="98"/>
        <v>270.77718895097848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projet'!$B$14,Paramètres!$A$1:$I$88,3,0)*0.475*44/12</f>
        <v>20.927895938886547</v>
      </c>
      <c r="EB105" s="23">
        <f>EXP(-LN(2)/25)*EB104+(1-EXP(-LN(2)/25))/(LN(2)/25)*Calculateur!DW105*Calculateur!DY105*VLOOKUP('Données projet'!$B$14,Paramètres!$A$1:$I$88,3,0)*0.475*44/12</f>
        <v>16.558171542064649</v>
      </c>
      <c r="EC105" s="23">
        <f>EXP(-LN(2)/2)*EC104+(1-EXP(-LN(2)/2))/(LN(2)/2)*DW105*DZ105*VLOOKUP('Données projet'!$B$14,Paramètres!$A$1:$I$88,3,0)*0.475*44/12</f>
        <v>0</v>
      </c>
      <c r="ED105" s="24">
        <f t="shared" si="72"/>
        <v>37.486067480951192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498.99999999999955</v>
      </c>
      <c r="EK105" s="18">
        <f>EJ105*VLOOKUP('Données projet'!$B$15,Paramètres!$A$1:$I$88,3,0)*VLOOKUP('Données projet'!$B$15,Paramètres!$A$1:$I$88,5,0)</f>
        <v>233.53199999999975</v>
      </c>
      <c r="EL105" s="14">
        <f t="shared" si="99"/>
        <v>57.04570382109803</v>
      </c>
      <c r="EM105" s="22">
        <f t="shared" si="73"/>
        <v>506.08950082174533</v>
      </c>
      <c r="EN105" s="62">
        <f t="shared" si="74"/>
        <v>784.04143689672833</v>
      </c>
      <c r="EO105" s="62">
        <f ca="1">AVERAGE(OFFSET($EN$3,0,0,'Données projet'!$E$15+1,1))-AVERAGE(OFFSET($H$3,0,0,'Données projet'!$E$15+1,1))</f>
        <v>267.26203506406682</v>
      </c>
      <c r="EP105" s="62">
        <f t="shared" si="100"/>
        <v>265.10857635664843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projet'!$B$15,Paramètres!$A$1:$I$88,3,0)*0.475*44/12</f>
        <v>20.362277129727442</v>
      </c>
      <c r="EW105" s="23">
        <f>EXP(-LN(2)/25)*EW104+(1-EXP(-LN(2)/25))/(LN(2)/25)*Calculateur!ER105*Calculateur!ET105*VLOOKUP('Données projet'!$B$15,Paramètres!$A$1:$I$88,3,0)*0.475*44/12</f>
        <v>16.110653392279115</v>
      </c>
      <c r="EX105" s="23">
        <f>EXP(-LN(2)/2)*EX104+(1-EXP(-LN(2)/2))/(LN(2)/2)*ER105*EU105*VLOOKUP('Données projet'!$B$15,Paramètres!$A$1:$I$88,3,0)*0.475*44/12</f>
        <v>0</v>
      </c>
      <c r="EY105" s="24">
        <f t="shared" si="75"/>
        <v>36.472930522006557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231</v>
      </c>
      <c r="FF105" s="18">
        <f>FE105*VLOOKUP('Données projet'!$B$16,Paramètres!$A$1:$I$88,3,0)*VLOOKUP('Données projet'!$B$16,Paramètres!$A$1:$I$88,5,0)</f>
        <v>169.36920000000001</v>
      </c>
      <c r="FG105" s="14">
        <f t="shared" si="101"/>
        <v>42.948714817158674</v>
      </c>
      <c r="FH105" s="22">
        <f t="shared" si="76"/>
        <v>369.787034973218</v>
      </c>
      <c r="FI105" s="62">
        <f t="shared" si="77"/>
        <v>647.73897104820094</v>
      </c>
      <c r="FJ105" s="62">
        <f ca="1">AVERAGE(OFFSET($FI$3,0,0,'Données projet'!$E$16+1,1))-AVERAGE(OFFSET($H$3,0,0,'Données projet'!$E$16+1,1))</f>
        <v>207.66160354686221</v>
      </c>
      <c r="FK105" s="62">
        <f t="shared" si="102"/>
        <v>260.45879589483525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projet'!$B$16,Paramètres!$A$1:$I$88,3,0)*0.475*44/12</f>
        <v>1.2439871087409793</v>
      </c>
      <c r="FR105" s="23">
        <f>EXP(-LN(2)/25)*FR104+(1-EXP(-LN(2)/25))/(LN(2)/25)*Calculateur!FM105*Calculateur!FO105*VLOOKUP('Données projet'!$B$16,Paramètres!$A$1:$I$88,3,0)*0.475*44/12</f>
        <v>0</v>
      </c>
      <c r="FS105" s="23">
        <f>EXP(-LN(2)/2)*FS104+(1-EXP(-LN(2)/2))/(LN(2)/2)*FM105*FP105*VLOOKUP('Données projet'!$B$16,Paramètres!$A$1:$I$88,3,0)*0.475*44/12</f>
        <v>0</v>
      </c>
      <c r="FT105" s="24">
        <f t="shared" si="78"/>
        <v>1.2439871087409793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projet'!$B$9,Paramètres!$A$1:$I$88,3,0)*VLOOKUP('Données projet'!$B$9,Paramètres!$A$1:$I$88,5,0)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378.13552372917843</v>
      </c>
      <c r="T106" s="62">
        <f t="shared" si="88"/>
        <v>528.97123645404952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94.119032060015698</v>
      </c>
      <c r="AA106" s="23">
        <f>EXP(-LN(2)/25)*AA105+(1-EXP(-LN(2)/25))/(LN(2)/25)*Calculateur!V106*Calculateur!X106*VLOOKUP('Données projet'!$B$9,Paramètres!$A$1:$I$88,3,0)*0.475*44/12</f>
        <v>33.285059323614909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127.4040913836306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6.8888888888888893</v>
      </c>
      <c r="AI106" s="14">
        <f>IF('Données projet'!$A$62&gt;35,AI105+AH106-AQ105,IF(A106&lt;'Données projet'!$A$62,$AF$205^A106,IF(A106='Données projet'!$A$62,'Données projet'!$B$62,AI105+AH106-AQ105)))</f>
        <v>277.77777777777783</v>
      </c>
      <c r="AJ106" s="14">
        <f>AI106*VLOOKUP('Données projet'!$B$10,Paramètres!$A$1:$I$88,3,0)*VLOOKUP('Données projet'!$B$10,Paramètres!$A$1:$I$88,5,0)</f>
        <v>251.3333333333334</v>
      </c>
      <c r="AK106" s="14">
        <f t="shared" si="89"/>
        <v>60.871365670222062</v>
      </c>
      <c r="AL106" s="22">
        <f t="shared" si="58"/>
        <v>543.75651743119226</v>
      </c>
      <c r="AM106" s="62">
        <f t="shared" si="59"/>
        <v>821.9752863609549</v>
      </c>
      <c r="AN106" s="62">
        <f ca="1">AVERAGE(OFFSET($AM$3,0,0,'Données projet'!$E$10+1,1))-AVERAGE(OFFSET($H$3,0,0,'Données projet'!$E$10+1,1))</f>
        <v>536.3707066106856</v>
      </c>
      <c r="AO106" s="62">
        <f t="shared" si="90"/>
        <v>217.6280015974086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24.067556794207785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24.067556794207785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302.3</v>
      </c>
      <c r="BE106" s="14">
        <f>BD106*VLOOKUP('Données projet'!$B$11,Paramètres!$A$1:$I$88,3,0)*VLOOKUP('Données projet'!$B$11,Paramètres!$A$1:$I$88,5,0)</f>
        <v>180.77540000000005</v>
      </c>
      <c r="BF106" s="14">
        <f t="shared" si="91"/>
        <v>45.494655198846154</v>
      </c>
      <c r="BG106" s="22">
        <f t="shared" si="61"/>
        <v>394.08701280465715</v>
      </c>
      <c r="BH106" s="62">
        <f t="shared" si="62"/>
        <v>672.30578173441984</v>
      </c>
      <c r="BI106" s="62">
        <f ca="1">AVERAGE(OFFSET($BH$3,0,0,'Données projet'!$E$11+1,1))-AVERAGE(OFFSET($H$3,0,0,'Données projet'!$E$11+1,1))</f>
        <v>248.66193174773525</v>
      </c>
      <c r="BJ106" s="62">
        <f t="shared" si="92"/>
        <v>249.61655682981151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8.8517731101647499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1.3997383219460777E-6</v>
      </c>
      <c r="BS106" s="24">
        <f t="shared" si="63"/>
        <v>8.8517745099030716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860.00000000000023</v>
      </c>
      <c r="BZ106" s="14">
        <f>BY106*VLOOKUP('Données projet'!$B$12,Paramètres!$A$1:$I$88,3,0)*VLOOKUP('Données projet'!$B$12,Paramètres!$A$1:$I$88,5,0)</f>
        <v>346.5800000000001</v>
      </c>
      <c r="CA106" s="14">
        <f t="shared" si="93"/>
        <v>80.857895771535127</v>
      </c>
      <c r="CB106" s="22">
        <f t="shared" si="64"/>
        <v>744.45433513542378</v>
      </c>
      <c r="CC106" s="62">
        <f t="shared" si="65"/>
        <v>1022.6731040651864</v>
      </c>
      <c r="CD106" s="62">
        <f ca="1">AVERAGE(OFFSET($CC$3,0,0,'Données projet'!$E$12+1,1))-AVERAGE(OFFSET($H$3,0,0,'Données projet'!$E$12+1,1))</f>
        <v>432.59662347701629</v>
      </c>
      <c r="CE106" s="62">
        <f t="shared" si="94"/>
        <v>348.67401091099748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39.874247192075956</v>
      </c>
      <c r="CL106" s="23">
        <f>EXP(-LN(2)/25)*CL105+(1-EXP(-LN(2)/25))/(LN(2)/25)*Calculateur!CG106*Calculateur!CI106*VLOOKUP('Données projet'!$B$12,Paramètres!$A$1:$I$88,3,0)*0.475*44/12</f>
        <v>36.747942507123021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76.622189699198969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1099.9999999999998</v>
      </c>
      <c r="CU106" s="18">
        <f>CT106*VLOOKUP('Données projet'!$B$13,Paramètres!$A$1:$I$88,3,0)*VLOOKUP('Données projet'!$B$13,Paramètres!$A$1:$I$88,5,0)</f>
        <v>486.19999999999993</v>
      </c>
      <c r="CV106" s="14">
        <f t="shared" si="95"/>
        <v>109.0490179035375</v>
      </c>
      <c r="CW106" s="22">
        <f t="shared" si="67"/>
        <v>1036.725372848661</v>
      </c>
      <c r="CX106" s="62">
        <f t="shared" si="68"/>
        <v>1314.9441417784237</v>
      </c>
      <c r="CY106" s="62">
        <f ca="1">AVERAGE(OFFSET($CX$3,0,0,'Données projet'!$E$13+1,1))-AVERAGE(OFFSET($H$3,0,0,'Données projet'!$E$13+1,1))</f>
        <v>582.26951914082088</v>
      </c>
      <c r="CZ106" s="62">
        <f t="shared" si="96"/>
        <v>434.80429932654715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40.178830811312288</v>
      </c>
      <c r="DG106" s="23">
        <f>EXP(-LN(2)/25)*DG105+(1-EXP(-LN(2)/25))/(LN(2)/25)*Calculateur!DB106*Calculateur!DD106*VLOOKUP('Données projet'!$B$13,Paramètres!$A$1:$I$88,3,0)*0.475*44/12</f>
        <v>33.020886750456285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73.19971756176858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498.99999999999955</v>
      </c>
      <c r="DP106" s="18">
        <f>DO106*VLOOKUP('Données projet'!$B$14,Paramètres!$A$1:$I$88,3,0)*VLOOKUP('Données projet'!$B$14,Paramètres!$A$1:$I$88,5,0)</f>
        <v>240.01899999999978</v>
      </c>
      <c r="DQ106" s="14">
        <f t="shared" si="97"/>
        <v>58.443618405936313</v>
      </c>
      <c r="DR106" s="22">
        <f t="shared" si="70"/>
        <v>519.82239372367201</v>
      </c>
      <c r="DS106" s="62">
        <f t="shared" si="71"/>
        <v>798.04116265343464</v>
      </c>
      <c r="DT106" s="62">
        <f ca="1">AVERAGE(OFFSET($DS$3,0,0,'Données projet'!$E$14+1,1))-AVERAGE(OFFSET($H$3,0,0,'Données projet'!$E$14+1,1))</f>
        <v>273.24375559399846</v>
      </c>
      <c r="DU106" s="62">
        <f t="shared" si="98"/>
        <v>270.77718895097848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projet'!$B$14,Paramètres!$A$1:$I$88,3,0)*0.475*44/12</f>
        <v>20.517512664281089</v>
      </c>
      <c r="EB106" s="23">
        <f>EXP(-LN(2)/25)*EB105+(1-EXP(-LN(2)/25))/(LN(2)/25)*Calculateur!DW106*Calculateur!DY106*VLOOKUP('Données projet'!$B$14,Paramètres!$A$1:$I$88,3,0)*0.475*44/12</f>
        <v>16.105387470490495</v>
      </c>
      <c r="EC106" s="23">
        <f>EXP(-LN(2)/2)*EC105+(1-EXP(-LN(2)/2))/(LN(2)/2)*DW106*DZ106*VLOOKUP('Données projet'!$B$14,Paramètres!$A$1:$I$88,3,0)*0.475*44/12</f>
        <v>0</v>
      </c>
      <c r="ED106" s="24">
        <f t="shared" si="72"/>
        <v>36.622900134771584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498.99999999999955</v>
      </c>
      <c r="EK106" s="18">
        <f>EJ106*VLOOKUP('Données projet'!$B$15,Paramètres!$A$1:$I$88,3,0)*VLOOKUP('Données projet'!$B$15,Paramètres!$A$1:$I$88,5,0)</f>
        <v>233.53199999999975</v>
      </c>
      <c r="EL106" s="14">
        <f t="shared" si="99"/>
        <v>57.04570382109803</v>
      </c>
      <c r="EM106" s="22">
        <f t="shared" si="73"/>
        <v>506.08950082174533</v>
      </c>
      <c r="EN106" s="62">
        <f t="shared" si="74"/>
        <v>784.30826975150808</v>
      </c>
      <c r="EO106" s="62">
        <f ca="1">AVERAGE(OFFSET($EN$3,0,0,'Données projet'!$E$15+1,1))-AVERAGE(OFFSET($H$3,0,0,'Données projet'!$E$15+1,1))</f>
        <v>267.26203506406682</v>
      </c>
      <c r="EP106" s="62">
        <f t="shared" si="100"/>
        <v>265.10857635664843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projet'!$B$15,Paramètres!$A$1:$I$88,3,0)*0.475*44/12</f>
        <v>19.962985294976185</v>
      </c>
      <c r="EW106" s="23">
        <f>EXP(-LN(2)/25)*EW105+(1-EXP(-LN(2)/25))/(LN(2)/25)*Calculateur!ER106*Calculateur!ET106*VLOOKUP('Données projet'!$B$15,Paramètres!$A$1:$I$88,3,0)*0.475*44/12</f>
        <v>15.670106728044802</v>
      </c>
      <c r="EX106" s="23">
        <f>EXP(-LN(2)/2)*EX105+(1-EXP(-LN(2)/2))/(LN(2)/2)*ER106*EU106*VLOOKUP('Données projet'!$B$15,Paramètres!$A$1:$I$88,3,0)*0.475*44/12</f>
        <v>0</v>
      </c>
      <c r="EY106" s="24">
        <f t="shared" si="75"/>
        <v>35.633092023020986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231</v>
      </c>
      <c r="FF106" s="18">
        <f>FE106*VLOOKUP('Données projet'!$B$16,Paramètres!$A$1:$I$88,3,0)*VLOOKUP('Données projet'!$B$16,Paramètres!$A$1:$I$88,5,0)</f>
        <v>169.36920000000001</v>
      </c>
      <c r="FG106" s="14">
        <f t="shared" si="101"/>
        <v>42.948714817158674</v>
      </c>
      <c r="FH106" s="22">
        <f t="shared" si="76"/>
        <v>369.787034973218</v>
      </c>
      <c r="FI106" s="62">
        <f t="shared" si="77"/>
        <v>648.00580390298069</v>
      </c>
      <c r="FJ106" s="62">
        <f ca="1">AVERAGE(OFFSET($FI$3,0,0,'Données projet'!$E$16+1,1))-AVERAGE(OFFSET($H$3,0,0,'Données projet'!$E$16+1,1))</f>
        <v>207.66160354686221</v>
      </c>
      <c r="FK106" s="62">
        <f t="shared" si="102"/>
        <v>260.45879589483525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projet'!$B$16,Paramètres!$A$1:$I$88,3,0)*0.475*44/12</f>
        <v>1.2195932802957841</v>
      </c>
      <c r="FR106" s="23">
        <f>EXP(-LN(2)/25)*FR105+(1-EXP(-LN(2)/25))/(LN(2)/25)*Calculateur!FM106*Calculateur!FO106*VLOOKUP('Données projet'!$B$16,Paramètres!$A$1:$I$88,3,0)*0.475*44/12</f>
        <v>0</v>
      </c>
      <c r="FS106" s="23">
        <f>EXP(-LN(2)/2)*FS105+(1-EXP(-LN(2)/2))/(LN(2)/2)*FM106*FP106*VLOOKUP('Données projet'!$B$16,Paramètres!$A$1:$I$88,3,0)*0.475*44/12</f>
        <v>0</v>
      </c>
      <c r="FT106" s="24">
        <f t="shared" si="78"/>
        <v>1.2195932802957841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projet'!$B$9,Paramètres!$A$1:$I$88,3,0)*VLOOKUP('Données projet'!$B$9,Paramètres!$A$1:$I$88,5,0)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378.13552372917843</v>
      </c>
      <c r="T107" s="62">
        <f t="shared" si="88"/>
        <v>528.97123645404952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92.27341524825988</v>
      </c>
      <c r="AA107" s="23">
        <f>EXP(-LN(2)/25)*AA106+(1-EXP(-LN(2)/25))/(LN(2)/25)*Calculateur!V107*Calculateur!X107*VLOOKUP('Données projet'!$B$9,Paramètres!$A$1:$I$88,3,0)*0.475*44/12</f>
        <v>32.374877626025466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124.64829287428535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6.8888888888888893</v>
      </c>
      <c r="AI107" s="14">
        <f>IF('Données projet'!$A$62&gt;35,AI106+AH107-AQ106,IF(A107&lt;'Données projet'!$A$62,$AF$205^A107,IF(A107='Données projet'!$A$62,'Données projet'!$B$62,AI106+AH107-AQ106)))</f>
        <v>284.66666666666674</v>
      </c>
      <c r="AJ107" s="14">
        <f>AI107*VLOOKUP('Données projet'!$B$10,Paramètres!$A$1:$I$88,3,0)*VLOOKUP('Données projet'!$B$10,Paramètres!$A$1:$I$88,5,0)</f>
        <v>257.5664000000001</v>
      </c>
      <c r="AK107" s="14">
        <f t="shared" si="89"/>
        <v>62.203349203490781</v>
      </c>
      <c r="AL107" s="22">
        <f t="shared" si="58"/>
        <v>556.93231319607992</v>
      </c>
      <c r="AM107" s="62">
        <f t="shared" si="59"/>
        <v>835.41328602714088</v>
      </c>
      <c r="AN107" s="62">
        <f ca="1">AVERAGE(OFFSET($AM$3,0,0,'Données projet'!$E$10+1,1))-AVERAGE(OFFSET($H$3,0,0,'Données projet'!$E$10+1,1))</f>
        <v>536.3707066106856</v>
      </c>
      <c r="AO107" s="62">
        <f t="shared" si="90"/>
        <v>217.6280015974086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23.595606685233509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23.595606685233509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302.3</v>
      </c>
      <c r="BE107" s="14">
        <f>BD107*VLOOKUP('Données projet'!$B$11,Paramètres!$A$1:$I$88,3,0)*VLOOKUP('Données projet'!$B$11,Paramètres!$A$1:$I$88,5,0)</f>
        <v>180.77540000000005</v>
      </c>
      <c r="BF107" s="14">
        <f t="shared" si="91"/>
        <v>45.494655198846154</v>
      </c>
      <c r="BG107" s="22">
        <f t="shared" si="61"/>
        <v>394.08701280465715</v>
      </c>
      <c r="BH107" s="62">
        <f t="shared" si="62"/>
        <v>672.56798563571806</v>
      </c>
      <c r="BI107" s="62">
        <f ca="1">AVERAGE(OFFSET($BH$3,0,0,'Données projet'!$E$11+1,1))-AVERAGE(OFFSET($H$3,0,0,'Données projet'!$E$11+1,1))</f>
        <v>248.66193174773525</v>
      </c>
      <c r="BJ107" s="62">
        <f t="shared" si="92"/>
        <v>249.61655682981151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8.6781952385229051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9.8976445933475035E-7</v>
      </c>
      <c r="BS107" s="24">
        <f t="shared" si="63"/>
        <v>8.6781962282873639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860.00000000000023</v>
      </c>
      <c r="BZ107" s="14">
        <f>BY107*VLOOKUP('Données projet'!$B$12,Paramètres!$A$1:$I$88,3,0)*VLOOKUP('Données projet'!$B$12,Paramètres!$A$1:$I$88,5,0)</f>
        <v>346.5800000000001</v>
      </c>
      <c r="CA107" s="14">
        <f t="shared" si="93"/>
        <v>80.857895771535127</v>
      </c>
      <c r="CB107" s="22">
        <f t="shared" si="64"/>
        <v>744.45433513542378</v>
      </c>
      <c r="CC107" s="62">
        <f t="shared" si="65"/>
        <v>1022.9353079664847</v>
      </c>
      <c r="CD107" s="62">
        <f ca="1">AVERAGE(OFFSET($CC$3,0,0,'Données projet'!$E$12+1,1))-AVERAGE(OFFSET($H$3,0,0,'Données projet'!$E$12+1,1))</f>
        <v>432.59662347701629</v>
      </c>
      <c r="CE107" s="62">
        <f t="shared" si="94"/>
        <v>348.67401091099748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39.092337525528642</v>
      </c>
      <c r="CL107" s="23">
        <f>EXP(-LN(2)/25)*CL106+(1-EXP(-LN(2)/25))/(LN(2)/25)*Calculateur!CG107*Calculateur!CI107*VLOOKUP('Données projet'!$B$12,Paramètres!$A$1:$I$88,3,0)*0.475*44/12</f>
        <v>35.743068086775438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74.835405612304072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1099.9999999999998</v>
      </c>
      <c r="CU107" s="18">
        <f>CT107*VLOOKUP('Données projet'!$B$13,Paramètres!$A$1:$I$88,3,0)*VLOOKUP('Données projet'!$B$13,Paramètres!$A$1:$I$88,5,0)</f>
        <v>486.19999999999993</v>
      </c>
      <c r="CV107" s="14">
        <f t="shared" si="95"/>
        <v>109.0490179035375</v>
      </c>
      <c r="CW107" s="22">
        <f t="shared" si="67"/>
        <v>1036.725372848661</v>
      </c>
      <c r="CX107" s="62">
        <f t="shared" si="68"/>
        <v>1315.2063456797218</v>
      </c>
      <c r="CY107" s="62">
        <f ca="1">AVERAGE(OFFSET($CX$3,0,0,'Données projet'!$E$13+1,1))-AVERAGE(OFFSET($H$3,0,0,'Données projet'!$E$13+1,1))</f>
        <v>582.26951914082088</v>
      </c>
      <c r="CZ107" s="62">
        <f t="shared" si="96"/>
        <v>434.80429932654715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39.390948445769418</v>
      </c>
      <c r="DG107" s="23">
        <f>EXP(-LN(2)/25)*DG106+(1-EXP(-LN(2)/25))/(LN(2)/25)*Calculateur!DB107*Calculateur!DD107*VLOOKUP('Données projet'!$B$13,Paramètres!$A$1:$I$88,3,0)*0.475*44/12</f>
        <v>32.117928865772093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71.508877311541511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498.99999999999955</v>
      </c>
      <c r="DP107" s="18">
        <f>DO107*VLOOKUP('Données projet'!$B$14,Paramètres!$A$1:$I$88,3,0)*VLOOKUP('Données projet'!$B$14,Paramètres!$A$1:$I$88,5,0)</f>
        <v>240.01899999999978</v>
      </c>
      <c r="DQ107" s="14">
        <f t="shared" si="97"/>
        <v>58.443618405936313</v>
      </c>
      <c r="DR107" s="22">
        <f t="shared" si="70"/>
        <v>519.82239372367201</v>
      </c>
      <c r="DS107" s="62">
        <f t="shared" si="71"/>
        <v>798.30336655473297</v>
      </c>
      <c r="DT107" s="62">
        <f ca="1">AVERAGE(OFFSET($DS$3,0,0,'Données projet'!$E$14+1,1))-AVERAGE(OFFSET($H$3,0,0,'Données projet'!$E$14+1,1))</f>
        <v>273.24375559399846</v>
      </c>
      <c r="DU107" s="62">
        <f t="shared" si="98"/>
        <v>270.77718895097848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projet'!$B$14,Paramètres!$A$1:$I$88,3,0)*0.475*44/12</f>
        <v>20.115176755381562</v>
      </c>
      <c r="EB107" s="23">
        <f>EXP(-LN(2)/25)*EB106+(1-EXP(-LN(2)/25))/(LN(2)/25)*Calculateur!DW107*Calculateur!DY107*VLOOKUP('Données projet'!$B$14,Paramètres!$A$1:$I$88,3,0)*0.475*44/12</f>
        <v>15.664984803164415</v>
      </c>
      <c r="EC107" s="23">
        <f>EXP(-LN(2)/2)*EC106+(1-EXP(-LN(2)/2))/(LN(2)/2)*DW107*DZ107*VLOOKUP('Données projet'!$B$14,Paramètres!$A$1:$I$88,3,0)*0.475*44/12</f>
        <v>0</v>
      </c>
      <c r="ED107" s="24">
        <f t="shared" si="72"/>
        <v>35.780161558545977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498.99999999999955</v>
      </c>
      <c r="EK107" s="18">
        <f>EJ107*VLOOKUP('Données projet'!$B$15,Paramètres!$A$1:$I$88,3,0)*VLOOKUP('Données projet'!$B$15,Paramètres!$A$1:$I$88,5,0)</f>
        <v>233.53199999999975</v>
      </c>
      <c r="EL107" s="14">
        <f t="shared" si="99"/>
        <v>57.04570382109803</v>
      </c>
      <c r="EM107" s="22">
        <f t="shared" si="73"/>
        <v>506.08950082174533</v>
      </c>
      <c r="EN107" s="62">
        <f t="shared" si="74"/>
        <v>784.57047365280619</v>
      </c>
      <c r="EO107" s="62">
        <f ca="1">AVERAGE(OFFSET($EN$3,0,0,'Données projet'!$E$15+1,1))-AVERAGE(OFFSET($H$3,0,0,'Données projet'!$E$15+1,1))</f>
        <v>267.26203506406682</v>
      </c>
      <c r="EP107" s="62">
        <f t="shared" si="100"/>
        <v>265.10857635664843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projet'!$B$15,Paramètres!$A$1:$I$88,3,0)*0.475*44/12</f>
        <v>19.571523329560431</v>
      </c>
      <c r="EW107" s="23">
        <f>EXP(-LN(2)/25)*EW106+(1-EXP(-LN(2)/25))/(LN(2)/25)*Calculateur!ER107*Calculateur!ET107*VLOOKUP('Données projet'!$B$15,Paramètres!$A$1:$I$88,3,0)*0.475*44/12</f>
        <v>15.241606835511318</v>
      </c>
      <c r="EX107" s="23">
        <f>EXP(-LN(2)/2)*EX106+(1-EXP(-LN(2)/2))/(LN(2)/2)*ER107*EU107*VLOOKUP('Données projet'!$B$15,Paramètres!$A$1:$I$88,3,0)*0.475*44/12</f>
        <v>0</v>
      </c>
      <c r="EY107" s="24">
        <f t="shared" si="75"/>
        <v>34.813130165071748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231</v>
      </c>
      <c r="FF107" s="18">
        <f>FE107*VLOOKUP('Données projet'!$B$16,Paramètres!$A$1:$I$88,3,0)*VLOOKUP('Données projet'!$B$16,Paramètres!$A$1:$I$88,5,0)</f>
        <v>169.36920000000001</v>
      </c>
      <c r="FG107" s="14">
        <f t="shared" si="101"/>
        <v>42.948714817158674</v>
      </c>
      <c r="FH107" s="22">
        <f t="shared" si="76"/>
        <v>369.787034973218</v>
      </c>
      <c r="FI107" s="62">
        <f t="shared" si="77"/>
        <v>648.26800780427891</v>
      </c>
      <c r="FJ107" s="62">
        <f ca="1">AVERAGE(OFFSET($FI$3,0,0,'Données projet'!$E$16+1,1))-AVERAGE(OFFSET($H$3,0,0,'Données projet'!$E$16+1,1))</f>
        <v>207.66160354686221</v>
      </c>
      <c r="FK107" s="62">
        <f t="shared" si="102"/>
        <v>260.45879589483525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projet'!$B$16,Paramètres!$A$1:$I$88,3,0)*0.475*44/12</f>
        <v>1.1956777999476329</v>
      </c>
      <c r="FR107" s="23">
        <f>EXP(-LN(2)/25)*FR106+(1-EXP(-LN(2)/25))/(LN(2)/25)*Calculateur!FM107*Calculateur!FO107*VLOOKUP('Données projet'!$B$16,Paramètres!$A$1:$I$88,3,0)*0.475*44/12</f>
        <v>0</v>
      </c>
      <c r="FS107" s="23">
        <f>EXP(-LN(2)/2)*FS106+(1-EXP(-LN(2)/2))/(LN(2)/2)*FM107*FP107*VLOOKUP('Données projet'!$B$16,Paramètres!$A$1:$I$88,3,0)*0.475*44/12</f>
        <v>0</v>
      </c>
      <c r="FT107" s="24">
        <f t="shared" si="78"/>
        <v>1.1956777999476329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projet'!$B$9,Paramètres!$A$1:$I$88,3,0)*VLOOKUP('Données projet'!$B$9,Paramètres!$A$1:$I$88,5,0)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378.13552372917843</v>
      </c>
      <c r="T108" s="62">
        <f t="shared" si="88"/>
        <v>528.97123645404952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90.463989856467492</v>
      </c>
      <c r="AA108" s="23">
        <f>EXP(-LN(2)/25)*AA107+(1-EXP(-LN(2)/25))/(LN(2)/25)*Calculateur!V108*Calculateur!X108*VLOOKUP('Données projet'!$B$9,Paramètres!$A$1:$I$88,3,0)*0.475*44/12</f>
        <v>31.489584894820979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121.95357475128847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6.8888888888888893</v>
      </c>
      <c r="AI108" s="14">
        <f>IF('Données projet'!$A$62&gt;35,AI107+AH108-AQ107,IF(A108&lt;'Données projet'!$A$62,$AF$205^A108,IF(A108='Données projet'!$A$62,'Données projet'!$B$62,AI107+AH108-AQ107)))</f>
        <v>291.55555555555566</v>
      </c>
      <c r="AJ108" s="14">
        <f>AI108*VLOOKUP('Données projet'!$B$10,Paramètres!$A$1:$I$88,3,0)*VLOOKUP('Données projet'!$B$10,Paramètres!$A$1:$I$88,5,0)</f>
        <v>263.79946666666677</v>
      </c>
      <c r="AK108" s="14">
        <f t="shared" si="89"/>
        <v>63.531585616149037</v>
      </c>
      <c r="AL108" s="22">
        <f t="shared" si="58"/>
        <v>570.10158272590422</v>
      </c>
      <c r="AM108" s="62">
        <f t="shared" si="59"/>
        <v>848.84021080677599</v>
      </c>
      <c r="AN108" s="62">
        <f ca="1">AVERAGE(OFFSET($AM$3,0,0,'Données projet'!$E$10+1,1))-AVERAGE(OFFSET($H$3,0,0,'Données projet'!$E$10+1,1))</f>
        <v>536.3707066106856</v>
      </c>
      <c r="AO108" s="62">
        <f t="shared" si="90"/>
        <v>217.6280015974086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23.132911230035077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23.132911230035077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302.3</v>
      </c>
      <c r="BE108" s="14">
        <f>BD108*VLOOKUP('Données projet'!$B$11,Paramètres!$A$1:$I$88,3,0)*VLOOKUP('Données projet'!$B$11,Paramètres!$A$1:$I$88,5,0)</f>
        <v>180.77540000000005</v>
      </c>
      <c r="BF108" s="14">
        <f t="shared" si="91"/>
        <v>45.494655198846154</v>
      </c>
      <c r="BG108" s="22">
        <f t="shared" si="61"/>
        <v>394.08701280465715</v>
      </c>
      <c r="BH108" s="62">
        <f t="shared" si="62"/>
        <v>672.82564088552886</v>
      </c>
      <c r="BI108" s="62">
        <f ca="1">AVERAGE(OFFSET($BH$3,0,0,'Données projet'!$E$11+1,1))-AVERAGE(OFFSET($H$3,0,0,'Données projet'!$E$11+1,1))</f>
        <v>248.66193174773525</v>
      </c>
      <c r="BJ108" s="62">
        <f t="shared" si="92"/>
        <v>249.61655682981151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8.5080211230719094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6.9986916097303884E-7</v>
      </c>
      <c r="BS108" s="24">
        <f t="shared" si="63"/>
        <v>8.5080218229410711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860.00000000000023</v>
      </c>
      <c r="BZ108" s="14">
        <f>BY108*VLOOKUP('Données projet'!$B$12,Paramètres!$A$1:$I$88,3,0)*VLOOKUP('Données projet'!$B$12,Paramètres!$A$1:$I$88,5,0)</f>
        <v>346.5800000000001</v>
      </c>
      <c r="CA108" s="14">
        <f t="shared" si="93"/>
        <v>80.857895771535127</v>
      </c>
      <c r="CB108" s="22">
        <f t="shared" si="64"/>
        <v>744.45433513542378</v>
      </c>
      <c r="CC108" s="62">
        <f t="shared" si="65"/>
        <v>1023.1929632162955</v>
      </c>
      <c r="CD108" s="62">
        <f ca="1">AVERAGE(OFFSET($CC$3,0,0,'Données projet'!$E$12+1,1))-AVERAGE(OFFSET($H$3,0,0,'Données projet'!$E$12+1,1))</f>
        <v>432.59662347701629</v>
      </c>
      <c r="CE108" s="62">
        <f t="shared" si="94"/>
        <v>348.67401091099748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38.325760630624522</v>
      </c>
      <c r="CL108" s="23">
        <f>EXP(-LN(2)/25)*CL107+(1-EXP(-LN(2)/25))/(LN(2)/25)*Calculateur!CG108*Calculateur!CI108*VLOOKUP('Données projet'!$B$12,Paramètres!$A$1:$I$88,3,0)*0.475*44/12</f>
        <v>34.765672010296306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73.091432640920829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1099.9999999999998</v>
      </c>
      <c r="CU108" s="18">
        <f>CT108*VLOOKUP('Données projet'!$B$13,Paramètres!$A$1:$I$88,3,0)*VLOOKUP('Données projet'!$B$13,Paramètres!$A$1:$I$88,5,0)</f>
        <v>486.19999999999993</v>
      </c>
      <c r="CV108" s="14">
        <f t="shared" si="95"/>
        <v>109.0490179035375</v>
      </c>
      <c r="CW108" s="22">
        <f t="shared" si="67"/>
        <v>1036.725372848661</v>
      </c>
      <c r="CX108" s="62">
        <f t="shared" si="68"/>
        <v>1315.4640009295326</v>
      </c>
      <c r="CY108" s="62">
        <f ca="1">AVERAGE(OFFSET($CX$3,0,0,'Données projet'!$E$13+1,1))-AVERAGE(OFFSET($H$3,0,0,'Données projet'!$E$13+1,1))</f>
        <v>582.26951914082088</v>
      </c>
      <c r="CZ108" s="62">
        <f t="shared" si="96"/>
        <v>434.80429932654715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38.618515972854048</v>
      </c>
      <c r="DG108" s="23">
        <f>EXP(-LN(2)/25)*DG107+(1-EXP(-LN(2)/25))/(LN(2)/25)*Calculateur!DB108*Calculateur!DD108*VLOOKUP('Données projet'!$B$13,Paramètres!$A$1:$I$88,3,0)*0.475*44/12</f>
        <v>31.239662411929082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69.85817838478313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498.99999999999955</v>
      </c>
      <c r="DP108" s="18">
        <f>DO108*VLOOKUP('Données projet'!$B$14,Paramètres!$A$1:$I$88,3,0)*VLOOKUP('Données projet'!$B$14,Paramètres!$A$1:$I$88,5,0)</f>
        <v>240.01899999999978</v>
      </c>
      <c r="DQ108" s="14">
        <f t="shared" si="97"/>
        <v>58.443618405936313</v>
      </c>
      <c r="DR108" s="22">
        <f t="shared" si="70"/>
        <v>519.82239372367201</v>
      </c>
      <c r="DS108" s="62">
        <f t="shared" si="71"/>
        <v>798.56102180454377</v>
      </c>
      <c r="DT108" s="62">
        <f ca="1">AVERAGE(OFFSET($DS$3,0,0,'Données projet'!$E$14+1,1))-AVERAGE(OFFSET($H$3,0,0,'Données projet'!$E$14+1,1))</f>
        <v>273.24375559399846</v>
      </c>
      <c r="DU108" s="62">
        <f t="shared" si="98"/>
        <v>270.77718895097848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projet'!$B$14,Paramètres!$A$1:$I$88,3,0)*0.475*44/12</f>
        <v>19.720730408254884</v>
      </c>
      <c r="EB108" s="23">
        <f>EXP(-LN(2)/25)*EB107+(1-EXP(-LN(2)/25))/(LN(2)/25)*Calculateur!DW108*Calculateur!DY108*VLOOKUP('Données projet'!$B$14,Paramètres!$A$1:$I$88,3,0)*0.475*44/12</f>
        <v>15.236624969936136</v>
      </c>
      <c r="EC108" s="23">
        <f>EXP(-LN(2)/2)*EC107+(1-EXP(-LN(2)/2))/(LN(2)/2)*DW108*DZ108*VLOOKUP('Données projet'!$B$14,Paramètres!$A$1:$I$88,3,0)*0.475*44/12</f>
        <v>0</v>
      </c>
      <c r="ED108" s="24">
        <f t="shared" si="72"/>
        <v>34.957355378191018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498.99999999999955</v>
      </c>
      <c r="EK108" s="18">
        <f>EJ108*VLOOKUP('Données projet'!$B$15,Paramètres!$A$1:$I$88,3,0)*VLOOKUP('Données projet'!$B$15,Paramètres!$A$1:$I$88,5,0)</f>
        <v>233.53199999999975</v>
      </c>
      <c r="EL108" s="14">
        <f t="shared" si="99"/>
        <v>57.04570382109803</v>
      </c>
      <c r="EM108" s="22">
        <f t="shared" si="73"/>
        <v>506.08950082174533</v>
      </c>
      <c r="EN108" s="62">
        <f t="shared" si="74"/>
        <v>784.8281289026171</v>
      </c>
      <c r="EO108" s="62">
        <f ca="1">AVERAGE(OFFSET($EN$3,0,0,'Données projet'!$E$15+1,1))-AVERAGE(OFFSET($H$3,0,0,'Données projet'!$E$15+1,1))</f>
        <v>267.26203506406682</v>
      </c>
      <c r="EP108" s="62">
        <f t="shared" si="100"/>
        <v>265.10857635664843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projet'!$B$15,Paramètres!$A$1:$I$88,3,0)*0.475*44/12</f>
        <v>19.187737694518258</v>
      </c>
      <c r="EW108" s="23">
        <f>EXP(-LN(2)/25)*EW107+(1-EXP(-LN(2)/25))/(LN(2)/25)*Calculateur!ER108*Calculateur!ET108*VLOOKUP('Données projet'!$B$15,Paramètres!$A$1:$I$88,3,0)*0.475*44/12</f>
        <v>14.824824295072993</v>
      </c>
      <c r="EX108" s="23">
        <f>EXP(-LN(2)/2)*EX107+(1-EXP(-LN(2)/2))/(LN(2)/2)*ER108*EU108*VLOOKUP('Données projet'!$B$15,Paramètres!$A$1:$I$88,3,0)*0.475*44/12</f>
        <v>0</v>
      </c>
      <c r="EY108" s="24">
        <f t="shared" si="75"/>
        <v>34.012561989591248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231</v>
      </c>
      <c r="FF108" s="18">
        <f>FE108*VLOOKUP('Données projet'!$B$16,Paramètres!$A$1:$I$88,3,0)*VLOOKUP('Données projet'!$B$16,Paramètres!$A$1:$I$88,5,0)</f>
        <v>169.36920000000001</v>
      </c>
      <c r="FG108" s="14">
        <f t="shared" si="101"/>
        <v>42.948714817158674</v>
      </c>
      <c r="FH108" s="22">
        <f t="shared" si="76"/>
        <v>369.787034973218</v>
      </c>
      <c r="FI108" s="62">
        <f t="shared" si="77"/>
        <v>648.52566305408982</v>
      </c>
      <c r="FJ108" s="62">
        <f ca="1">AVERAGE(OFFSET($FI$3,0,0,'Données projet'!$E$16+1,1))-AVERAGE(OFFSET($H$3,0,0,'Données projet'!$E$16+1,1))</f>
        <v>207.66160354686221</v>
      </c>
      <c r="FK108" s="62">
        <f t="shared" si="102"/>
        <v>260.45879589483525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projet'!$B$16,Paramètres!$A$1:$I$88,3,0)*0.475*44/12</f>
        <v>1.1722312875821062</v>
      </c>
      <c r="FR108" s="23">
        <f>EXP(-LN(2)/25)*FR107+(1-EXP(-LN(2)/25))/(LN(2)/25)*Calculateur!FM108*Calculateur!FO108*VLOOKUP('Données projet'!$B$16,Paramètres!$A$1:$I$88,3,0)*0.475*44/12</f>
        <v>0</v>
      </c>
      <c r="FS108" s="23">
        <f>EXP(-LN(2)/2)*FS107+(1-EXP(-LN(2)/2))/(LN(2)/2)*FM108*FP108*VLOOKUP('Données projet'!$B$16,Paramètres!$A$1:$I$88,3,0)*0.475*44/12</f>
        <v>0</v>
      </c>
      <c r="FT108" s="24">
        <f t="shared" si="78"/>
        <v>1.1722312875821062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projet'!$B$9,Paramètres!$A$1:$I$88,3,0)*VLOOKUP('Données projet'!$B$9,Paramètres!$A$1:$I$88,5,0)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378.13552372917843</v>
      </c>
      <c r="T109" s="62">
        <f t="shared" si="88"/>
        <v>528.97123645404952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88.690046192967642</v>
      </c>
      <c r="AA109" s="23">
        <f>EXP(-LN(2)/25)*AA108+(1-EXP(-LN(2)/25))/(LN(2)/25)*Calculateur!V109*Calculateur!X109*VLOOKUP('Données projet'!$B$9,Paramètres!$A$1:$I$88,3,0)*0.475*44/12</f>
        <v>30.628500539906799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119.31854673287444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6.8888888888888893</v>
      </c>
      <c r="AI109" s="14">
        <f>IF('Données projet'!$A$62&gt;35,AI108+AH109-AQ108,IF(A109&lt;'Données projet'!$A$62,$AF$205^A109,IF(A109='Données projet'!$A$62,'Données projet'!$B$62,AI108+AH109-AQ108)))</f>
        <v>298.44444444444457</v>
      </c>
      <c r="AJ109" s="14">
        <f>AI109*VLOOKUP('Données projet'!$B$10,Paramètres!$A$1:$I$88,3,0)*VLOOKUP('Données projet'!$B$10,Paramètres!$A$1:$I$88,5,0)</f>
        <v>270.03253333333345</v>
      </c>
      <c r="AK109" s="14">
        <f t="shared" si="89"/>
        <v>64.856173633841721</v>
      </c>
      <c r="AL109" s="22">
        <f t="shared" si="58"/>
        <v>583.26449796783004</v>
      </c>
      <c r="AM109" s="62">
        <f t="shared" si="59"/>
        <v>862.2563115559592</v>
      </c>
      <c r="AN109" s="62">
        <f ca="1">AVERAGE(OFFSET($AM$3,0,0,'Données projet'!$E$10+1,1))-AVERAGE(OFFSET($H$3,0,0,'Données projet'!$E$10+1,1))</f>
        <v>536.3707066106856</v>
      </c>
      <c r="AO109" s="62">
        <f t="shared" si="90"/>
        <v>217.6280015974086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22.679288950496723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22.679288950496723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302.3</v>
      </c>
      <c r="BE109" s="14">
        <f>BD109*VLOOKUP('Données projet'!$B$11,Paramètres!$A$1:$I$88,3,0)*VLOOKUP('Données projet'!$B$11,Paramètres!$A$1:$I$88,5,0)</f>
        <v>180.77540000000005</v>
      </c>
      <c r="BF109" s="14">
        <f t="shared" si="91"/>
        <v>45.494655198846154</v>
      </c>
      <c r="BG109" s="22">
        <f t="shared" si="61"/>
        <v>394.08701280465715</v>
      </c>
      <c r="BH109" s="62">
        <f t="shared" si="62"/>
        <v>673.07882639278625</v>
      </c>
      <c r="BI109" s="62">
        <f ca="1">AVERAGE(OFFSET($BH$3,0,0,'Données projet'!$E$11+1,1))-AVERAGE(OFFSET($H$3,0,0,'Données projet'!$E$11+1,1))</f>
        <v>248.66193174773525</v>
      </c>
      <c r="BJ109" s="62">
        <f t="shared" si="92"/>
        <v>249.61655682981151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8.3411840182289456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4.9488222966737518E-7</v>
      </c>
      <c r="BS109" s="24">
        <f t="shared" si="63"/>
        <v>8.341184513111175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860.00000000000023</v>
      </c>
      <c r="BZ109" s="14">
        <f>BY109*VLOOKUP('Données projet'!$B$12,Paramètres!$A$1:$I$88,3,0)*VLOOKUP('Données projet'!$B$12,Paramètres!$A$1:$I$88,5,0)</f>
        <v>346.5800000000001</v>
      </c>
      <c r="CA109" s="14">
        <f t="shared" si="93"/>
        <v>80.857895771535127</v>
      </c>
      <c r="CB109" s="22">
        <f t="shared" si="64"/>
        <v>744.45433513542378</v>
      </c>
      <c r="CC109" s="62">
        <f t="shared" si="65"/>
        <v>1023.4461487235528</v>
      </c>
      <c r="CD109" s="62">
        <f ca="1">AVERAGE(OFFSET($CC$3,0,0,'Données projet'!$E$12+1,1))-AVERAGE(OFFSET($H$3,0,0,'Données projet'!$E$12+1,1))</f>
        <v>432.59662347701629</v>
      </c>
      <c r="CE109" s="62">
        <f t="shared" si="94"/>
        <v>348.67401091099748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37.574215841063733</v>
      </c>
      <c r="CL109" s="23">
        <f>EXP(-LN(2)/25)*CL108+(1-EXP(-LN(2)/25))/(LN(2)/25)*Calculateur!CG109*Calculateur!CI109*VLOOKUP('Données projet'!$B$12,Paramètres!$A$1:$I$88,3,0)*0.475*44/12</f>
        <v>33.815002880927523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71.389218721991256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1099.9999999999998</v>
      </c>
      <c r="CU109" s="18">
        <f>CT109*VLOOKUP('Données projet'!$B$13,Paramètres!$A$1:$I$88,3,0)*VLOOKUP('Données projet'!$B$13,Paramètres!$A$1:$I$88,5,0)</f>
        <v>486.19999999999993</v>
      </c>
      <c r="CV109" s="14">
        <f t="shared" si="95"/>
        <v>109.0490179035375</v>
      </c>
      <c r="CW109" s="22">
        <f t="shared" si="67"/>
        <v>1036.725372848661</v>
      </c>
      <c r="CX109" s="62">
        <f t="shared" si="68"/>
        <v>1315.7171864367901</v>
      </c>
      <c r="CY109" s="62">
        <f ca="1">AVERAGE(OFFSET($CX$3,0,0,'Données projet'!$E$13+1,1))-AVERAGE(OFFSET($H$3,0,0,'Données projet'!$E$13+1,1))</f>
        <v>582.26951914082088</v>
      </c>
      <c r="CZ109" s="62">
        <f t="shared" si="96"/>
        <v>434.80429932654715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37.861230429595267</v>
      </c>
      <c r="DG109" s="23">
        <f>EXP(-LN(2)/25)*DG108+(1-EXP(-LN(2)/25))/(LN(2)/25)*Calculateur!DB109*Calculateur!DD109*VLOOKUP('Données projet'!$B$13,Paramètres!$A$1:$I$88,3,0)*0.475*44/12</f>
        <v>30.385412200452436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68.246642630047702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498.99999999999955</v>
      </c>
      <c r="DP109" s="18">
        <f>DO109*VLOOKUP('Données projet'!$B$14,Paramètres!$A$1:$I$88,3,0)*VLOOKUP('Données projet'!$B$14,Paramètres!$A$1:$I$88,5,0)</f>
        <v>240.01899999999978</v>
      </c>
      <c r="DQ109" s="14">
        <f t="shared" si="97"/>
        <v>58.443618405936313</v>
      </c>
      <c r="DR109" s="22">
        <f t="shared" si="70"/>
        <v>519.82239372367201</v>
      </c>
      <c r="DS109" s="62">
        <f t="shared" si="71"/>
        <v>798.81420731180106</v>
      </c>
      <c r="DT109" s="62">
        <f ca="1">AVERAGE(OFFSET($DS$3,0,0,'Données projet'!$E$14+1,1))-AVERAGE(OFFSET($H$3,0,0,'Données projet'!$E$14+1,1))</f>
        <v>273.24375559399846</v>
      </c>
      <c r="DU109" s="62">
        <f t="shared" si="98"/>
        <v>270.77718895097848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projet'!$B$14,Paramètres!$A$1:$I$88,3,0)*0.475*44/12</f>
        <v>19.334018913406844</v>
      </c>
      <c r="EB109" s="23">
        <f>EXP(-LN(2)/25)*EB108+(1-EXP(-LN(2)/25))/(LN(2)/25)*Calculateur!DW109*Calculateur!DY109*VLOOKUP('Données projet'!$B$14,Paramètres!$A$1:$I$88,3,0)*0.475*44/12</f>
        <v>14.819978658873948</v>
      </c>
      <c r="EC109" s="23">
        <f>EXP(-LN(2)/2)*EC108+(1-EXP(-LN(2)/2))/(LN(2)/2)*DW109*DZ109*VLOOKUP('Données projet'!$B$14,Paramètres!$A$1:$I$88,3,0)*0.475*44/12</f>
        <v>0</v>
      </c>
      <c r="ED109" s="24">
        <f t="shared" si="72"/>
        <v>34.153997572280794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498.99999999999955</v>
      </c>
      <c r="EK109" s="18">
        <f>EJ109*VLOOKUP('Données projet'!$B$15,Paramètres!$A$1:$I$88,3,0)*VLOOKUP('Données projet'!$B$15,Paramètres!$A$1:$I$88,5,0)</f>
        <v>233.53199999999975</v>
      </c>
      <c r="EL109" s="14">
        <f t="shared" si="99"/>
        <v>57.04570382109803</v>
      </c>
      <c r="EM109" s="22">
        <f t="shared" si="73"/>
        <v>506.08950082174533</v>
      </c>
      <c r="EN109" s="62">
        <f t="shared" si="74"/>
        <v>785.08131440987449</v>
      </c>
      <c r="EO109" s="62">
        <f ca="1">AVERAGE(OFFSET($EN$3,0,0,'Données projet'!$E$15+1,1))-AVERAGE(OFFSET($H$3,0,0,'Données projet'!$E$15+1,1))</f>
        <v>267.26203506406682</v>
      </c>
      <c r="EP109" s="62">
        <f t="shared" si="100"/>
        <v>265.10857635664843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projet'!$B$15,Paramètres!$A$1:$I$88,3,0)*0.475*44/12</f>
        <v>18.811477861693138</v>
      </c>
      <c r="EW109" s="23">
        <f>EXP(-LN(2)/25)*EW108+(1-EXP(-LN(2)/25))/(LN(2)/25)*Calculateur!ER109*Calculateur!ET109*VLOOKUP('Données projet'!$B$15,Paramètres!$A$1:$I$88,3,0)*0.475*44/12</f>
        <v>14.419438695120595</v>
      </c>
      <c r="EX109" s="23">
        <f>EXP(-LN(2)/2)*EX108+(1-EXP(-LN(2)/2))/(LN(2)/2)*ER109*EU109*VLOOKUP('Données projet'!$B$15,Paramètres!$A$1:$I$88,3,0)*0.475*44/12</f>
        <v>0</v>
      </c>
      <c r="EY109" s="24">
        <f t="shared" si="75"/>
        <v>33.230916556813732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231</v>
      </c>
      <c r="FF109" s="18">
        <f>FE109*VLOOKUP('Données projet'!$B$16,Paramètres!$A$1:$I$88,3,0)*VLOOKUP('Données projet'!$B$16,Paramètres!$A$1:$I$88,5,0)</f>
        <v>169.36920000000001</v>
      </c>
      <c r="FG109" s="14">
        <f t="shared" si="101"/>
        <v>42.948714817158674</v>
      </c>
      <c r="FH109" s="22">
        <f t="shared" si="76"/>
        <v>369.787034973218</v>
      </c>
      <c r="FI109" s="62">
        <f t="shared" si="77"/>
        <v>648.7788485613471</v>
      </c>
      <c r="FJ109" s="62">
        <f ca="1">AVERAGE(OFFSET($FI$3,0,0,'Données projet'!$E$16+1,1))-AVERAGE(OFFSET($H$3,0,0,'Données projet'!$E$16+1,1))</f>
        <v>207.66160354686221</v>
      </c>
      <c r="FK109" s="62">
        <f t="shared" si="102"/>
        <v>260.45879589483525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projet'!$B$16,Paramètres!$A$1:$I$88,3,0)*0.475*44/12</f>
        <v>1.149244547023107</v>
      </c>
      <c r="FR109" s="23">
        <f>EXP(-LN(2)/25)*FR108+(1-EXP(-LN(2)/25))/(LN(2)/25)*Calculateur!FM109*Calculateur!FO109*VLOOKUP('Données projet'!$B$16,Paramètres!$A$1:$I$88,3,0)*0.475*44/12</f>
        <v>0</v>
      </c>
      <c r="FS109" s="23">
        <f>EXP(-LN(2)/2)*FS108+(1-EXP(-LN(2)/2))/(LN(2)/2)*FM109*FP109*VLOOKUP('Données projet'!$B$16,Paramètres!$A$1:$I$88,3,0)*0.475*44/12</f>
        <v>0</v>
      </c>
      <c r="FT109" s="24">
        <f t="shared" si="78"/>
        <v>1.149244547023107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projet'!$B$9,Paramètres!$A$1:$I$88,3,0)*VLOOKUP('Données projet'!$B$9,Paramètres!$A$1:$I$88,5,0)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378.13552372917843</v>
      </c>
      <c r="T110" s="62">
        <f t="shared" si="88"/>
        <v>528.97123645404952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86.950888482710226</v>
      </c>
      <c r="AA110" s="23">
        <f>EXP(-LN(2)/25)*AA109+(1-EXP(-LN(2)/25))/(LN(2)/25)*Calculateur!V110*Calculateur!X110*VLOOKUP('Données projet'!$B$9,Paramètres!$A$1:$I$88,3,0)*0.475*44/12</f>
        <v>29.790962581960208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116.74185106467044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6.8888888888888893</v>
      </c>
      <c r="AI110" s="14">
        <f>IF('Données projet'!$A$62&gt;35,AI109+AH110-AQ109,IF(A110&lt;'Données projet'!$A$62,$AF$205^A110,IF(A110='Données projet'!$A$62,'Données projet'!$B$62,AI109+AH110-AQ109)))</f>
        <v>305.33333333333348</v>
      </c>
      <c r="AJ110" s="14">
        <f>AI110*VLOOKUP('Données projet'!$B$10,Paramètres!$A$1:$I$88,3,0)*VLOOKUP('Données projet'!$B$10,Paramètres!$A$1:$I$88,5,0)</f>
        <v>276.26560000000012</v>
      </c>
      <c r="AK110" s="14">
        <f t="shared" si="89"/>
        <v>66.177207164442621</v>
      </c>
      <c r="AL110" s="22">
        <f t="shared" si="58"/>
        <v>596.42122247807106</v>
      </c>
      <c r="AM110" s="62">
        <f t="shared" si="59"/>
        <v>875.6618293709447</v>
      </c>
      <c r="AN110" s="62">
        <f ca="1">AVERAGE(OFFSET($AM$3,0,0,'Données projet'!$E$10+1,1))-AVERAGE(OFFSET($H$3,0,0,'Données projet'!$E$10+1,1))</f>
        <v>536.3707066106856</v>
      </c>
      <c r="AO110" s="62">
        <f t="shared" si="90"/>
        <v>217.6280015974086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22.234561927177847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22.234561927177847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302.3</v>
      </c>
      <c r="BE110" s="14">
        <f>BD110*VLOOKUP('Données projet'!$B$11,Paramètres!$A$1:$I$88,3,0)*VLOOKUP('Données projet'!$B$11,Paramètres!$A$1:$I$88,5,0)</f>
        <v>180.77540000000005</v>
      </c>
      <c r="BF110" s="14">
        <f t="shared" si="91"/>
        <v>45.494655198846154</v>
      </c>
      <c r="BG110" s="22">
        <f t="shared" si="61"/>
        <v>394.08701280465715</v>
      </c>
      <c r="BH110" s="62">
        <f t="shared" si="62"/>
        <v>673.32761969753074</v>
      </c>
      <c r="BI110" s="62">
        <f ca="1">AVERAGE(OFFSET($BH$3,0,0,'Données projet'!$E$11+1,1))-AVERAGE(OFFSET($H$3,0,0,'Données projet'!$E$11+1,1))</f>
        <v>248.66193174773525</v>
      </c>
      <c r="BJ110" s="62">
        <f t="shared" si="92"/>
        <v>249.61655682981151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8.1776184872513671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3.4993458048651942E-7</v>
      </c>
      <c r="BS110" s="24">
        <f t="shared" si="63"/>
        <v>8.177618837185948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860.00000000000023</v>
      </c>
      <c r="BZ110" s="14">
        <f>BY110*VLOOKUP('Données projet'!$B$12,Paramètres!$A$1:$I$88,3,0)*VLOOKUP('Données projet'!$B$12,Paramètres!$A$1:$I$88,5,0)</f>
        <v>346.5800000000001</v>
      </c>
      <c r="CA110" s="14">
        <f t="shared" si="93"/>
        <v>80.857895771535127</v>
      </c>
      <c r="CB110" s="22">
        <f t="shared" si="64"/>
        <v>744.45433513542378</v>
      </c>
      <c r="CC110" s="62">
        <f t="shared" si="65"/>
        <v>1023.6949420282974</v>
      </c>
      <c r="CD110" s="62">
        <f ca="1">AVERAGE(OFFSET($CC$3,0,0,'Données projet'!$E$12+1,1))-AVERAGE(OFFSET($H$3,0,0,'Données projet'!$E$12+1,1))</f>
        <v>432.59662347701629</v>
      </c>
      <c r="CE110" s="62">
        <f t="shared" si="94"/>
        <v>348.67401091099748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36.837408386429168</v>
      </c>
      <c r="CL110" s="23">
        <f>EXP(-LN(2)/25)*CL109+(1-EXP(-LN(2)/25))/(LN(2)/25)*Calculateur!CG110*Calculateur!CI110*VLOOKUP('Données projet'!$B$12,Paramètres!$A$1:$I$88,3,0)*0.475*44/12</f>
        <v>32.890329848894844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69.727738235324011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1099.9999999999998</v>
      </c>
      <c r="CU110" s="18">
        <f>CT110*VLOOKUP('Données projet'!$B$13,Paramètres!$A$1:$I$88,3,0)*VLOOKUP('Données projet'!$B$13,Paramètres!$A$1:$I$88,5,0)</f>
        <v>486.19999999999993</v>
      </c>
      <c r="CV110" s="14">
        <f t="shared" si="95"/>
        <v>109.0490179035375</v>
      </c>
      <c r="CW110" s="22">
        <f t="shared" si="67"/>
        <v>1036.725372848661</v>
      </c>
      <c r="CX110" s="62">
        <f t="shared" si="68"/>
        <v>1315.9659797415347</v>
      </c>
      <c r="CY110" s="62">
        <f ca="1">AVERAGE(OFFSET($CX$3,0,0,'Données projet'!$E$13+1,1))-AVERAGE(OFFSET($H$3,0,0,'Données projet'!$E$13+1,1))</f>
        <v>582.26951914082088</v>
      </c>
      <c r="CZ110" s="62">
        <f t="shared" si="96"/>
        <v>434.80429932654715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37.118794793941213</v>
      </c>
      <c r="DG110" s="23">
        <f>EXP(-LN(2)/25)*DG109+(1-EXP(-LN(2)/25))/(LN(2)/25)*Calculateur!DB110*Calculateur!DD110*VLOOKUP('Données projet'!$B$13,Paramètres!$A$1:$I$88,3,0)*0.475*44/12</f>
        <v>29.554521505931682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66.673316299872894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498.99999999999955</v>
      </c>
      <c r="DP110" s="18">
        <f>DO110*VLOOKUP('Données projet'!$B$14,Paramètres!$A$1:$I$88,3,0)*VLOOKUP('Données projet'!$B$14,Paramètres!$A$1:$I$88,5,0)</f>
        <v>240.01899999999978</v>
      </c>
      <c r="DQ110" s="14">
        <f t="shared" si="97"/>
        <v>58.443618405936313</v>
      </c>
      <c r="DR110" s="22">
        <f t="shared" si="70"/>
        <v>519.82239372367201</v>
      </c>
      <c r="DS110" s="62">
        <f t="shared" si="71"/>
        <v>799.06300061654565</v>
      </c>
      <c r="DT110" s="62">
        <f ca="1">AVERAGE(OFFSET($DS$3,0,0,'Données projet'!$E$14+1,1))-AVERAGE(OFFSET($H$3,0,0,'Données projet'!$E$14+1,1))</f>
        <v>273.24375559399846</v>
      </c>
      <c r="DU110" s="62">
        <f t="shared" si="98"/>
        <v>270.77718895097848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projet'!$B$14,Paramètres!$A$1:$I$88,3,0)*0.475*44/12</f>
        <v>18.95489059510205</v>
      </c>
      <c r="EB110" s="23">
        <f>EXP(-LN(2)/25)*EB109+(1-EXP(-LN(2)/25))/(LN(2)/25)*Calculateur!DW110*Calculateur!DY110*VLOOKUP('Données projet'!$B$14,Paramètres!$A$1:$I$88,3,0)*0.475*44/12</f>
        <v>14.414725563098234</v>
      </c>
      <c r="EC110" s="23">
        <f>EXP(-LN(2)/2)*EC109+(1-EXP(-LN(2)/2))/(LN(2)/2)*DW110*DZ110*VLOOKUP('Données projet'!$B$14,Paramètres!$A$1:$I$88,3,0)*0.475*44/12</f>
        <v>0</v>
      </c>
      <c r="ED110" s="24">
        <f t="shared" si="72"/>
        <v>33.369616158200287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498.99999999999955</v>
      </c>
      <c r="EK110" s="18">
        <f>EJ110*VLOOKUP('Données projet'!$B$15,Paramètres!$A$1:$I$88,3,0)*VLOOKUP('Données projet'!$B$15,Paramètres!$A$1:$I$88,5,0)</f>
        <v>233.53199999999975</v>
      </c>
      <c r="EL110" s="14">
        <f t="shared" si="99"/>
        <v>57.04570382109803</v>
      </c>
      <c r="EM110" s="22">
        <f t="shared" si="73"/>
        <v>506.08950082174533</v>
      </c>
      <c r="EN110" s="62">
        <f t="shared" si="74"/>
        <v>785.33010771461898</v>
      </c>
      <c r="EO110" s="62">
        <f ca="1">AVERAGE(OFFSET($EN$3,0,0,'Données projet'!$E$15+1,1))-AVERAGE(OFFSET($H$3,0,0,'Données projet'!$E$15+1,1))</f>
        <v>267.26203506406682</v>
      </c>
      <c r="EP110" s="62">
        <f t="shared" si="100"/>
        <v>265.10857635664843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projet'!$B$15,Paramètres!$A$1:$I$88,3,0)*0.475*44/12</f>
        <v>18.442596254693882</v>
      </c>
      <c r="EW110" s="23">
        <f>EXP(-LN(2)/25)*EW109+(1-EXP(-LN(2)/25))/(LN(2)/25)*Calculateur!ER110*Calculateur!ET110*VLOOKUP('Données projet'!$B$15,Paramètres!$A$1:$I$88,3,0)*0.475*44/12</f>
        <v>14.025138385717197</v>
      </c>
      <c r="EX110" s="23">
        <f>EXP(-LN(2)/2)*EX109+(1-EXP(-LN(2)/2))/(LN(2)/2)*ER110*EU110*VLOOKUP('Données projet'!$B$15,Paramètres!$A$1:$I$88,3,0)*0.475*44/12</f>
        <v>0</v>
      </c>
      <c r="EY110" s="24">
        <f t="shared" si="75"/>
        <v>32.467734640411081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231</v>
      </c>
      <c r="FF110" s="18">
        <f>FE110*VLOOKUP('Données projet'!$B$16,Paramètres!$A$1:$I$88,3,0)*VLOOKUP('Données projet'!$B$16,Paramètres!$A$1:$I$88,5,0)</f>
        <v>169.36920000000001</v>
      </c>
      <c r="FG110" s="14">
        <f t="shared" si="101"/>
        <v>42.948714817158674</v>
      </c>
      <c r="FH110" s="22">
        <f t="shared" si="76"/>
        <v>369.787034973218</v>
      </c>
      <c r="FI110" s="62">
        <f t="shared" si="77"/>
        <v>649.0276418660917</v>
      </c>
      <c r="FJ110" s="62">
        <f ca="1">AVERAGE(OFFSET($FI$3,0,0,'Données projet'!$E$16+1,1))-AVERAGE(OFFSET($H$3,0,0,'Données projet'!$E$16+1,1))</f>
        <v>207.66160354686221</v>
      </c>
      <c r="FK110" s="62">
        <f t="shared" si="102"/>
        <v>260.45879589483525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projet'!$B$16,Paramètres!$A$1:$I$88,3,0)*0.475*44/12</f>
        <v>1.1267085624259425</v>
      </c>
      <c r="FR110" s="23">
        <f>EXP(-LN(2)/25)*FR109+(1-EXP(-LN(2)/25))/(LN(2)/25)*Calculateur!FM110*Calculateur!FO110*VLOOKUP('Données projet'!$B$16,Paramètres!$A$1:$I$88,3,0)*0.475*44/12</f>
        <v>0</v>
      </c>
      <c r="FS110" s="23">
        <f>EXP(-LN(2)/2)*FS109+(1-EXP(-LN(2)/2))/(LN(2)/2)*FM110*FP110*VLOOKUP('Données projet'!$B$16,Paramètres!$A$1:$I$88,3,0)*0.475*44/12</f>
        <v>0</v>
      </c>
      <c r="FT110" s="24">
        <f t="shared" si="78"/>
        <v>1.1267085624259425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projet'!$B$9,Paramètres!$A$1:$I$88,3,0)*VLOOKUP('Données projet'!$B$9,Paramètres!$A$1:$I$88,5,0)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378.13552372917843</v>
      </c>
      <c r="T111" s="62">
        <f t="shared" si="88"/>
        <v>528.97123645404952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85.245834594369498</v>
      </c>
      <c r="AA111" s="23">
        <f>EXP(-LN(2)/25)*AA110+(1-EXP(-LN(2)/25))/(LN(2)/25)*Calculateur!V111*Calculateur!X111*VLOOKUP('Données projet'!$B$9,Paramètres!$A$1:$I$88,3,0)*0.475*44/12</f>
        <v>28.976327143517871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114.22216173788738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6.8888888888888893</v>
      </c>
      <c r="AI111" s="14">
        <f>IF('Données projet'!$A$62&gt;35,AI110+AH111-AQ110,IF(A111&lt;'Données projet'!$A$62,$AF$205^A111,IF(A111='Données projet'!$A$62,'Données projet'!$B$62,AI110+AH111-AQ110)))</f>
        <v>312.2222222222224</v>
      </c>
      <c r="AJ111" s="14">
        <f>AI111*VLOOKUP('Données projet'!$B$10,Paramètres!$A$1:$I$88,3,0)*VLOOKUP('Données projet'!$B$10,Paramètres!$A$1:$I$88,5,0)</f>
        <v>282.49866666666685</v>
      </c>
      <c r="AK111" s="14">
        <f t="shared" si="89"/>
        <v>67.494775636471516</v>
      </c>
      <c r="AL111" s="22">
        <f t="shared" si="58"/>
        <v>609.57191201129922</v>
      </c>
      <c r="AM111" s="62">
        <f t="shared" si="59"/>
        <v>889.05699620129849</v>
      </c>
      <c r="AN111" s="62">
        <f ca="1">AVERAGE(OFFSET($AM$3,0,0,'Données projet'!$E$10+1,1))-AVERAGE(OFFSET($H$3,0,0,'Données projet'!$E$10+1,1))</f>
        <v>536.3707066106856</v>
      </c>
      <c r="AO111" s="62">
        <f t="shared" si="90"/>
        <v>217.6280015974086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21.798555729529554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21.798555729529554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302.3</v>
      </c>
      <c r="BE111" s="14">
        <f>BD111*VLOOKUP('Données projet'!$B$11,Paramètres!$A$1:$I$88,3,0)*VLOOKUP('Données projet'!$B$11,Paramètres!$A$1:$I$88,5,0)</f>
        <v>180.77540000000005</v>
      </c>
      <c r="BF111" s="14">
        <f t="shared" si="91"/>
        <v>45.494655198846154</v>
      </c>
      <c r="BG111" s="22">
        <f t="shared" si="61"/>
        <v>394.08701280465715</v>
      </c>
      <c r="BH111" s="62">
        <f t="shared" si="62"/>
        <v>673.57209699465648</v>
      </c>
      <c r="BI111" s="62">
        <f ca="1">AVERAGE(OFFSET($BH$3,0,0,'Données projet'!$E$11+1,1))-AVERAGE(OFFSET($H$3,0,0,'Données projet'!$E$11+1,1))</f>
        <v>248.66193174773525</v>
      </c>
      <c r="BJ111" s="62">
        <f t="shared" si="92"/>
        <v>249.61655682981151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8.0172603765711354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2.4744111483368759E-7</v>
      </c>
      <c r="BS111" s="24">
        <f t="shared" si="63"/>
        <v>8.0172606240122501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860.00000000000023</v>
      </c>
      <c r="BZ111" s="14">
        <f>BY111*VLOOKUP('Données projet'!$B$12,Paramètres!$A$1:$I$88,3,0)*VLOOKUP('Données projet'!$B$12,Paramètres!$A$1:$I$88,5,0)</f>
        <v>346.5800000000001</v>
      </c>
      <c r="CA111" s="14">
        <f t="shared" si="93"/>
        <v>80.857895771535127</v>
      </c>
      <c r="CB111" s="22">
        <f t="shared" si="64"/>
        <v>744.45433513542378</v>
      </c>
      <c r="CC111" s="62">
        <f t="shared" si="65"/>
        <v>1023.9394193254232</v>
      </c>
      <c r="CD111" s="62">
        <f ca="1">AVERAGE(OFFSET($CC$3,0,0,'Données projet'!$E$12+1,1))-AVERAGE(OFFSET($H$3,0,0,'Données projet'!$E$12+1,1))</f>
        <v>432.59662347701629</v>
      </c>
      <c r="CE111" s="62">
        <f t="shared" si="94"/>
        <v>348.67401091099748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36.115049276571817</v>
      </c>
      <c r="CL111" s="23">
        <f>EXP(-LN(2)/25)*CL110+(1-EXP(-LN(2)/25))/(LN(2)/25)*Calculateur!CG111*Calculateur!CI111*VLOOKUP('Données projet'!$B$12,Paramètres!$A$1:$I$88,3,0)*0.475*44/12</f>
        <v>31.990942049549538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68.105991326121355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1099.9999999999998</v>
      </c>
      <c r="CU111" s="18">
        <f>CT111*VLOOKUP('Données projet'!$B$13,Paramètres!$A$1:$I$88,3,0)*VLOOKUP('Données projet'!$B$13,Paramètres!$A$1:$I$88,5,0)</f>
        <v>486.19999999999993</v>
      </c>
      <c r="CV111" s="14">
        <f t="shared" si="95"/>
        <v>109.0490179035375</v>
      </c>
      <c r="CW111" s="22">
        <f t="shared" si="67"/>
        <v>1036.725372848661</v>
      </c>
      <c r="CX111" s="62">
        <f t="shared" si="68"/>
        <v>1316.2104570386603</v>
      </c>
      <c r="CY111" s="62">
        <f ca="1">AVERAGE(OFFSET($CX$3,0,0,'Données projet'!$E$13+1,1))-AVERAGE(OFFSET($H$3,0,0,'Données projet'!$E$13+1,1))</f>
        <v>582.26951914082088</v>
      </c>
      <c r="CZ111" s="62">
        <f t="shared" si="96"/>
        <v>434.80429932654715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36.390917868261312</v>
      </c>
      <c r="DG111" s="23">
        <f>EXP(-LN(2)/25)*DG110+(1-EXP(-LN(2)/25))/(LN(2)/25)*Calculateur!DB111*Calculateur!DD111*VLOOKUP('Données projet'!$B$13,Paramètres!$A$1:$I$88,3,0)*0.475*44/12</f>
        <v>28.746351561147243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65.137269429408548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498.99999999999955</v>
      </c>
      <c r="DP111" s="18">
        <f>DO111*VLOOKUP('Données projet'!$B$14,Paramètres!$A$1:$I$88,3,0)*VLOOKUP('Données projet'!$B$14,Paramètres!$A$1:$I$88,5,0)</f>
        <v>240.01899999999978</v>
      </c>
      <c r="DQ111" s="14">
        <f t="shared" si="97"/>
        <v>58.443618405936313</v>
      </c>
      <c r="DR111" s="22">
        <f t="shared" si="70"/>
        <v>519.82239372367201</v>
      </c>
      <c r="DS111" s="62">
        <f t="shared" si="71"/>
        <v>799.30747791367139</v>
      </c>
      <c r="DT111" s="62">
        <f ca="1">AVERAGE(OFFSET($DS$3,0,0,'Données projet'!$E$14+1,1))-AVERAGE(OFFSET($H$3,0,0,'Données projet'!$E$14+1,1))</f>
        <v>273.24375559399846</v>
      </c>
      <c r="DU111" s="62">
        <f t="shared" si="98"/>
        <v>270.77718895097848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projet'!$B$14,Paramètres!$A$1:$I$88,3,0)*0.475*44/12</f>
        <v>18.583196751873775</v>
      </c>
      <c r="EB111" s="23">
        <f>EXP(-LN(2)/25)*EB110+(1-EXP(-LN(2)/25))/(LN(2)/25)*Calculateur!DW111*Calculateur!DY111*VLOOKUP('Données projet'!$B$14,Paramètres!$A$1:$I$88,3,0)*0.475*44/12</f>
        <v>14.020554134537841</v>
      </c>
      <c r="EC111" s="23">
        <f>EXP(-LN(2)/2)*EC110+(1-EXP(-LN(2)/2))/(LN(2)/2)*DW111*DZ111*VLOOKUP('Données projet'!$B$14,Paramètres!$A$1:$I$88,3,0)*0.475*44/12</f>
        <v>0</v>
      </c>
      <c r="ED111" s="24">
        <f t="shared" si="72"/>
        <v>32.603750886411618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498.99999999999955</v>
      </c>
      <c r="EK111" s="18">
        <f>EJ111*VLOOKUP('Données projet'!$B$15,Paramètres!$A$1:$I$88,3,0)*VLOOKUP('Données projet'!$B$15,Paramètres!$A$1:$I$88,5,0)</f>
        <v>233.53199999999975</v>
      </c>
      <c r="EL111" s="14">
        <f t="shared" si="99"/>
        <v>57.04570382109803</v>
      </c>
      <c r="EM111" s="22">
        <f t="shared" si="73"/>
        <v>506.08950082174533</v>
      </c>
      <c r="EN111" s="62">
        <f t="shared" si="74"/>
        <v>785.5745850117446</v>
      </c>
      <c r="EO111" s="62">
        <f ca="1">AVERAGE(OFFSET($EN$3,0,0,'Données projet'!$E$15+1,1))-AVERAGE(OFFSET($H$3,0,0,'Données projet'!$E$15+1,1))</f>
        <v>267.26203506406682</v>
      </c>
      <c r="EP111" s="62">
        <f t="shared" si="100"/>
        <v>265.10857635664843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projet'!$B$15,Paramètres!$A$1:$I$88,3,0)*0.475*44/12</f>
        <v>18.080948191012315</v>
      </c>
      <c r="EW111" s="23">
        <f>EXP(-LN(2)/25)*EW110+(1-EXP(-LN(2)/25))/(LN(2)/25)*Calculateur!ER111*Calculateur!ET111*VLOOKUP('Données projet'!$B$15,Paramètres!$A$1:$I$88,3,0)*0.475*44/12</f>
        <v>13.641620239009788</v>
      </c>
      <c r="EX111" s="23">
        <f>EXP(-LN(2)/2)*EX110+(1-EXP(-LN(2)/2))/(LN(2)/2)*ER111*EU111*VLOOKUP('Données projet'!$B$15,Paramètres!$A$1:$I$88,3,0)*0.475*44/12</f>
        <v>0</v>
      </c>
      <c r="EY111" s="24">
        <f t="shared" si="75"/>
        <v>31.7225684300221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231</v>
      </c>
      <c r="FF111" s="18">
        <f>FE111*VLOOKUP('Données projet'!$B$16,Paramètres!$A$1:$I$88,3,0)*VLOOKUP('Données projet'!$B$16,Paramètres!$A$1:$I$88,5,0)</f>
        <v>169.36920000000001</v>
      </c>
      <c r="FG111" s="14">
        <f t="shared" si="101"/>
        <v>42.948714817158674</v>
      </c>
      <c r="FH111" s="22">
        <f t="shared" si="76"/>
        <v>369.787034973218</v>
      </c>
      <c r="FI111" s="62">
        <f t="shared" si="77"/>
        <v>649.27211916321733</v>
      </c>
      <c r="FJ111" s="62">
        <f ca="1">AVERAGE(OFFSET($FI$3,0,0,'Données projet'!$E$16+1,1))-AVERAGE(OFFSET($H$3,0,0,'Données projet'!$E$16+1,1))</f>
        <v>207.66160354686221</v>
      </c>
      <c r="FK111" s="62">
        <f t="shared" si="102"/>
        <v>260.45879589483525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projet'!$B$16,Paramètres!$A$1:$I$88,3,0)*0.475*44/12</f>
        <v>1.1046144947411352</v>
      </c>
      <c r="FR111" s="23">
        <f>EXP(-LN(2)/25)*FR110+(1-EXP(-LN(2)/25))/(LN(2)/25)*Calculateur!FM111*Calculateur!FO111*VLOOKUP('Données projet'!$B$16,Paramètres!$A$1:$I$88,3,0)*0.475*44/12</f>
        <v>0</v>
      </c>
      <c r="FS111" s="23">
        <f>EXP(-LN(2)/2)*FS110+(1-EXP(-LN(2)/2))/(LN(2)/2)*FM111*FP111*VLOOKUP('Données projet'!$B$16,Paramètres!$A$1:$I$88,3,0)*0.475*44/12</f>
        <v>0</v>
      </c>
      <c r="FT111" s="24">
        <f t="shared" si="78"/>
        <v>1.1046144947411352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projet'!$B$9,Paramètres!$A$1:$I$88,3,0)*VLOOKUP('Données projet'!$B$9,Paramètres!$A$1:$I$88,5,0)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378.13552372917843</v>
      </c>
      <c r="T112" s="62">
        <f t="shared" si="88"/>
        <v>528.97123645404952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83.574215772798951</v>
      </c>
      <c r="AA112" s="23">
        <f>EXP(-LN(2)/25)*AA111+(1-EXP(-LN(2)/25))/(LN(2)/25)*Calculateur!V112*Calculateur!X112*VLOOKUP('Données projet'!$B$9,Paramètres!$A$1:$I$88,3,0)*0.475*44/12</f>
        <v>28.183967953979558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111.75818372677851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6.8888888888888893</v>
      </c>
      <c r="AI112" s="14">
        <f>IF('Données projet'!$A$62&gt;35,AI111+AH112-AQ111,IF(A112&lt;'Données projet'!$A$62,$AF$205^A112,IF(A112='Données projet'!$A$62,'Données projet'!$B$62,AI111+AH112-AQ111)))</f>
        <v>319.11111111111131</v>
      </c>
      <c r="AJ112" s="14">
        <f>AI112*VLOOKUP('Données projet'!$B$10,Paramètres!$A$1:$I$88,3,0)*VLOOKUP('Données projet'!$B$10,Paramètres!$A$1:$I$88,5,0)</f>
        <v>288.73173333333352</v>
      </c>
      <c r="AK112" s="14">
        <f t="shared" si="89"/>
        <v>68.808964306801215</v>
      </c>
      <c r="AL112" s="22">
        <f t="shared" si="58"/>
        <v>622.71671505656798</v>
      </c>
      <c r="AM112" s="62">
        <f t="shared" si="59"/>
        <v>902.44203540915726</v>
      </c>
      <c r="AN112" s="62">
        <f ca="1">AVERAGE(OFFSET($AM$3,0,0,'Données projet'!$E$10+1,1))-AVERAGE(OFFSET($H$3,0,0,'Données projet'!$E$10+1,1))</f>
        <v>536.3707066106856</v>
      </c>
      <c r="AO112" s="62">
        <f t="shared" si="90"/>
        <v>217.6280015974086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21.371099347479621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21.371099347479621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302.3</v>
      </c>
      <c r="BE112" s="14">
        <f>BD112*VLOOKUP('Données projet'!$B$11,Paramètres!$A$1:$I$88,3,0)*VLOOKUP('Données projet'!$B$11,Paramètres!$A$1:$I$88,5,0)</f>
        <v>180.77540000000005</v>
      </c>
      <c r="BF112" s="14">
        <f t="shared" si="91"/>
        <v>45.494655198846154</v>
      </c>
      <c r="BG112" s="22">
        <f t="shared" si="61"/>
        <v>394.08701280465715</v>
      </c>
      <c r="BH112" s="62">
        <f t="shared" si="62"/>
        <v>673.81233315724648</v>
      </c>
      <c r="BI112" s="62">
        <f ca="1">AVERAGE(OFFSET($BH$3,0,0,'Données projet'!$E$11+1,1))-AVERAGE(OFFSET($H$3,0,0,'Données projet'!$E$11+1,1))</f>
        <v>248.66193174773525</v>
      </c>
      <c r="BJ112" s="62">
        <f t="shared" si="92"/>
        <v>249.61655682981151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7.8600467906325528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1.7496729024325971E-7</v>
      </c>
      <c r="BS112" s="24">
        <f t="shared" si="63"/>
        <v>7.8600469655998433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860.00000000000023</v>
      </c>
      <c r="BZ112" s="14">
        <f>BY112*VLOOKUP('Données projet'!$B$12,Paramètres!$A$1:$I$88,3,0)*VLOOKUP('Données projet'!$B$12,Paramètres!$A$1:$I$88,5,0)</f>
        <v>346.5800000000001</v>
      </c>
      <c r="CA112" s="14">
        <f t="shared" si="93"/>
        <v>80.857895771535127</v>
      </c>
      <c r="CB112" s="22">
        <f t="shared" si="64"/>
        <v>744.45433513542378</v>
      </c>
      <c r="CC112" s="62">
        <f t="shared" si="65"/>
        <v>1024.1796554880129</v>
      </c>
      <c r="CD112" s="62">
        <f ca="1">AVERAGE(OFFSET($CC$3,0,0,'Données projet'!$E$12+1,1))-AVERAGE(OFFSET($H$3,0,0,'Données projet'!$E$12+1,1))</f>
        <v>432.59662347701629</v>
      </c>
      <c r="CE112" s="62">
        <f t="shared" si="94"/>
        <v>348.67401091099748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35.406855188263215</v>
      </c>
      <c r="CL112" s="23">
        <f>EXP(-LN(2)/25)*CL111+(1-EXP(-LN(2)/25))/(LN(2)/25)*Calculateur!CG112*Calculateur!CI112*VLOOKUP('Données projet'!$B$12,Paramètres!$A$1:$I$88,3,0)*0.475*44/12</f>
        <v>31.116148056874081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66.523003245137289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1099.9999999999998</v>
      </c>
      <c r="CU112" s="18">
        <f>CT112*VLOOKUP('Données projet'!$B$13,Paramètres!$A$1:$I$88,3,0)*VLOOKUP('Données projet'!$B$13,Paramètres!$A$1:$I$88,5,0)</f>
        <v>486.19999999999993</v>
      </c>
      <c r="CV112" s="14">
        <f t="shared" si="95"/>
        <v>109.0490179035375</v>
      </c>
      <c r="CW112" s="22">
        <f t="shared" si="67"/>
        <v>1036.725372848661</v>
      </c>
      <c r="CX112" s="62">
        <f t="shared" si="68"/>
        <v>1316.4506932012503</v>
      </c>
      <c r="CY112" s="62">
        <f ca="1">AVERAGE(OFFSET($CX$3,0,0,'Données projet'!$E$13+1,1))-AVERAGE(OFFSET($H$3,0,0,'Données projet'!$E$13+1,1))</f>
        <v>582.26951914082088</v>
      </c>
      <c r="CZ112" s="62">
        <f t="shared" si="96"/>
        <v>434.80429932654715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35.677314165132906</v>
      </c>
      <c r="DG112" s="23">
        <f>EXP(-LN(2)/25)*DG111+(1-EXP(-LN(2)/25))/(LN(2)/25)*Calculateur!DB112*Calculateur!DD112*VLOOKUP('Données projet'!$B$13,Paramètres!$A$1:$I$88,3,0)*0.475*44/12</f>
        <v>27.960281066002743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63.637595231135649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498.99999999999955</v>
      </c>
      <c r="DP112" s="18">
        <f>DO112*VLOOKUP('Données projet'!$B$14,Paramètres!$A$1:$I$88,3,0)*VLOOKUP('Données projet'!$B$14,Paramètres!$A$1:$I$88,5,0)</f>
        <v>240.01899999999978</v>
      </c>
      <c r="DQ112" s="14">
        <f t="shared" si="97"/>
        <v>58.443618405936313</v>
      </c>
      <c r="DR112" s="22">
        <f t="shared" si="70"/>
        <v>519.82239372367201</v>
      </c>
      <c r="DS112" s="62">
        <f t="shared" si="71"/>
        <v>799.54771407626129</v>
      </c>
      <c r="DT112" s="62">
        <f ca="1">AVERAGE(OFFSET($DS$3,0,0,'Données projet'!$E$14+1,1))-AVERAGE(OFFSET($H$3,0,0,'Données projet'!$E$14+1,1))</f>
        <v>273.24375559399846</v>
      </c>
      <c r="DU112" s="62">
        <f t="shared" si="98"/>
        <v>270.77718895097848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projet'!$B$14,Paramètres!$A$1:$I$88,3,0)*0.475*44/12</f>
        <v>18.218791598200347</v>
      </c>
      <c r="EB112" s="23">
        <f>EXP(-LN(2)/25)*EB111+(1-EXP(-LN(2)/25))/(LN(2)/25)*Calculateur!DW112*Calculateur!DY112*VLOOKUP('Données projet'!$B$14,Paramètres!$A$1:$I$88,3,0)*0.475*44/12</f>
        <v>13.637161344420006</v>
      </c>
      <c r="EC112" s="23">
        <f>EXP(-LN(2)/2)*EC111+(1-EXP(-LN(2)/2))/(LN(2)/2)*DW112*DZ112*VLOOKUP('Données projet'!$B$14,Paramètres!$A$1:$I$88,3,0)*0.475*44/12</f>
        <v>0</v>
      </c>
      <c r="ED112" s="24">
        <f t="shared" si="72"/>
        <v>31.855952942620355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498.99999999999955</v>
      </c>
      <c r="EK112" s="18">
        <f>EJ112*VLOOKUP('Données projet'!$B$15,Paramètres!$A$1:$I$88,3,0)*VLOOKUP('Données projet'!$B$15,Paramètres!$A$1:$I$88,5,0)</f>
        <v>233.53199999999975</v>
      </c>
      <c r="EL112" s="14">
        <f t="shared" si="99"/>
        <v>57.04570382109803</v>
      </c>
      <c r="EM112" s="22">
        <f t="shared" si="73"/>
        <v>506.08950082174533</v>
      </c>
      <c r="EN112" s="62">
        <f t="shared" si="74"/>
        <v>785.81482117433461</v>
      </c>
      <c r="EO112" s="62">
        <f ca="1">AVERAGE(OFFSET($EN$3,0,0,'Données projet'!$E$15+1,1))-AVERAGE(OFFSET($H$3,0,0,'Données projet'!$E$15+1,1))</f>
        <v>267.26203506406682</v>
      </c>
      <c r="EP112" s="62">
        <f t="shared" si="100"/>
        <v>265.10857635664843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projet'!$B$15,Paramètres!$A$1:$I$88,3,0)*0.475*44/12</f>
        <v>17.726391825276007</v>
      </c>
      <c r="EW112" s="23">
        <f>EXP(-LN(2)/25)*EW111+(1-EXP(-LN(2)/25))/(LN(2)/25)*Calculateur!ER112*Calculateur!ET112*VLOOKUP('Données projet'!$B$15,Paramètres!$A$1:$I$88,3,0)*0.475*44/12</f>
        <v>13.268589416192436</v>
      </c>
      <c r="EX112" s="23">
        <f>EXP(-LN(2)/2)*EX111+(1-EXP(-LN(2)/2))/(LN(2)/2)*ER112*EU112*VLOOKUP('Données projet'!$B$15,Paramètres!$A$1:$I$88,3,0)*0.475*44/12</f>
        <v>0</v>
      </c>
      <c r="EY112" s="24">
        <f t="shared" si="75"/>
        <v>30.994981241468444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231</v>
      </c>
      <c r="FF112" s="18">
        <f>FE112*VLOOKUP('Données projet'!$B$16,Paramètres!$A$1:$I$88,3,0)*VLOOKUP('Données projet'!$B$16,Paramètres!$A$1:$I$88,5,0)</f>
        <v>169.36920000000001</v>
      </c>
      <c r="FG112" s="14">
        <f t="shared" si="101"/>
        <v>42.948714817158674</v>
      </c>
      <c r="FH112" s="22">
        <f t="shared" si="76"/>
        <v>369.787034973218</v>
      </c>
      <c r="FI112" s="62">
        <f t="shared" si="77"/>
        <v>649.51235532580722</v>
      </c>
      <c r="FJ112" s="62">
        <f ca="1">AVERAGE(OFFSET($FI$3,0,0,'Données projet'!$E$16+1,1))-AVERAGE(OFFSET($H$3,0,0,'Données projet'!$E$16+1,1))</f>
        <v>207.66160354686221</v>
      </c>
      <c r="FK112" s="62">
        <f t="shared" si="102"/>
        <v>260.45879589483525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projet'!$B$16,Paramètres!$A$1:$I$88,3,0)*0.475*44/12</f>
        <v>1.0829536782475762</v>
      </c>
      <c r="FR112" s="23">
        <f>EXP(-LN(2)/25)*FR111+(1-EXP(-LN(2)/25))/(LN(2)/25)*Calculateur!FM112*Calculateur!FO112*VLOOKUP('Données projet'!$B$16,Paramètres!$A$1:$I$88,3,0)*0.475*44/12</f>
        <v>0</v>
      </c>
      <c r="FS112" s="23">
        <f>EXP(-LN(2)/2)*FS111+(1-EXP(-LN(2)/2))/(LN(2)/2)*FM112*FP112*VLOOKUP('Données projet'!$B$16,Paramètres!$A$1:$I$88,3,0)*0.475*44/12</f>
        <v>0</v>
      </c>
      <c r="FT112" s="24">
        <f t="shared" si="78"/>
        <v>1.0829536782475762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projet'!$B$9,Paramètres!$A$1:$I$88,3,0)*VLOOKUP('Données projet'!$B$9,Paramètres!$A$1:$I$88,5,0)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378.13552372917843</v>
      </c>
      <c r="T113" s="62">
        <f t="shared" si="88"/>
        <v>528.97123645404952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81.935376376732592</v>
      </c>
      <c r="AA113" s="23">
        <f>EXP(-LN(2)/25)*AA112+(1-EXP(-LN(2)/25))/(LN(2)/25)*Calculateur!V113*Calculateur!X113*VLOOKUP('Données projet'!$B$9,Paramètres!$A$1:$I$88,3,0)*0.475*44/12</f>
        <v>27.413275868147526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109.34865224488011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326</v>
      </c>
      <c r="AG113" s="13">
        <f>VLOOKUP(A113,'Données projet'!$A$61:$I$81,9,0)</f>
        <v>6.8888888888888893</v>
      </c>
      <c r="AH113" s="13">
        <f t="array" ref="AH113">INDEX(AG:AG,MIN(IF(ISNUMBER(AG113:AG309),ROW(AG113:AG309),"")))</f>
        <v>6.8888888888888893</v>
      </c>
      <c r="AI113" s="14">
        <f>IF('Données projet'!$A$62&gt;35,AI112+AH113-AQ112,IF(A113&lt;'Données projet'!$A$62,$AF$205^A113,IF(A113='Données projet'!$A$62,'Données projet'!$B$62,AI112+AH113-AQ112)))</f>
        <v>326.00000000000023</v>
      </c>
      <c r="AJ113" s="14">
        <f>AI113*VLOOKUP('Données projet'!$B$10,Paramètres!$A$1:$I$88,3,0)*VLOOKUP('Données projet'!$B$10,Paramètres!$A$1:$I$88,5,0)</f>
        <v>294.9648000000002</v>
      </c>
      <c r="AK113" s="14">
        <f t="shared" si="89"/>
        <v>70.119854541045058</v>
      </c>
      <c r="AL113" s="22">
        <f t="shared" si="58"/>
        <v>635.85577332565379</v>
      </c>
      <c r="AM113" s="62">
        <f t="shared" si="59"/>
        <v>915.81716228049959</v>
      </c>
      <c r="AN113" s="62">
        <f ca="1">AVERAGE(OFFSET($AM$3,0,0,'Données projet'!$E$10+1,1))-AVERAGE(OFFSET($H$3,0,0,'Données projet'!$E$10+1,1))</f>
        <v>536.3707066106856</v>
      </c>
      <c r="AO113" s="62">
        <f t="shared" si="90"/>
        <v>217.6280015974086</v>
      </c>
      <c r="AP113" s="16">
        <f>IF(ISNA(VLOOKUP(A113,'Données projet'!$A$61:$I$81,3,0)),0,VLOOKUP(A113,'Données projet'!$A$61:$I$81,3,0))</f>
        <v>13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projet'!$B$10,Paramètres!$A$1:$I$88,7,0))</f>
        <v>0.23650000000000002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30.177642834437975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30.177642834437975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302.3</v>
      </c>
      <c r="BE113" s="14">
        <f>BD113*VLOOKUP('Données projet'!$B$11,Paramètres!$A$1:$I$88,3,0)*VLOOKUP('Données projet'!$B$11,Paramètres!$A$1:$I$88,5,0)</f>
        <v>180.77540000000005</v>
      </c>
      <c r="BF113" s="14">
        <f t="shared" si="91"/>
        <v>45.494655198846154</v>
      </c>
      <c r="BG113" s="22">
        <f t="shared" si="61"/>
        <v>394.08701280465715</v>
      </c>
      <c r="BH113" s="62">
        <f t="shared" si="62"/>
        <v>674.04840175950301</v>
      </c>
      <c r="BI113" s="62">
        <f ca="1">AVERAGE(OFFSET($BH$3,0,0,'Données projet'!$E$11+1,1))-AVERAGE(OFFSET($H$3,0,0,'Données projet'!$E$11+1,1))</f>
        <v>248.66193174773525</v>
      </c>
      <c r="BJ113" s="62">
        <f t="shared" si="92"/>
        <v>249.61655682981151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7.7059160672234075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1.2372055741684379E-7</v>
      </c>
      <c r="BS113" s="24">
        <f t="shared" si="63"/>
        <v>7.7059161909439648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860.00000000000023</v>
      </c>
      <c r="BZ113" s="14">
        <f>BY113*VLOOKUP('Données projet'!$B$12,Paramètres!$A$1:$I$88,3,0)*VLOOKUP('Données projet'!$B$12,Paramètres!$A$1:$I$88,5,0)</f>
        <v>346.5800000000001</v>
      </c>
      <c r="CA113" s="14">
        <f t="shared" si="93"/>
        <v>80.857895771535127</v>
      </c>
      <c r="CB113" s="22">
        <f t="shared" si="64"/>
        <v>744.45433513542378</v>
      </c>
      <c r="CC113" s="62">
        <f t="shared" si="65"/>
        <v>1024.4157240902696</v>
      </c>
      <c r="CD113" s="62">
        <f ca="1">AVERAGE(OFFSET($CC$3,0,0,'Données projet'!$E$12+1,1))-AVERAGE(OFFSET($H$3,0,0,'Données projet'!$E$12+1,1))</f>
        <v>432.59662347701629</v>
      </c>
      <c r="CE113" s="62">
        <f t="shared" si="94"/>
        <v>348.67401091099748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34.712548354070606</v>
      </c>
      <c r="CL113" s="23">
        <f>EXP(-LN(2)/25)*CL112+(1-EXP(-LN(2)/25))/(LN(2)/25)*Calculateur!CG113*Calculateur!CI113*VLOOKUP('Données projet'!$B$12,Paramètres!$A$1:$I$88,3,0)*0.475*44/12</f>
        <v>30.265275351931749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64.977823706002354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1099.9999999999998</v>
      </c>
      <c r="CU113" s="18">
        <f>CT113*VLOOKUP('Données projet'!$B$13,Paramètres!$A$1:$I$88,3,0)*VLOOKUP('Données projet'!$B$13,Paramètres!$A$1:$I$88,5,0)</f>
        <v>486.19999999999993</v>
      </c>
      <c r="CV113" s="14">
        <f t="shared" si="95"/>
        <v>109.0490179035375</v>
      </c>
      <c r="CW113" s="22">
        <f t="shared" si="67"/>
        <v>1036.725372848661</v>
      </c>
      <c r="CX113" s="62">
        <f t="shared" si="68"/>
        <v>1316.6867618035069</v>
      </c>
      <c r="CY113" s="62">
        <f ca="1">AVERAGE(OFFSET($CX$3,0,0,'Données projet'!$E$13+1,1))-AVERAGE(OFFSET($H$3,0,0,'Données projet'!$E$13+1,1))</f>
        <v>582.26951914082088</v>
      </c>
      <c r="CZ113" s="62">
        <f t="shared" si="96"/>
        <v>434.80429932654715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34.977703795367567</v>
      </c>
      <c r="DG113" s="23">
        <f>EXP(-LN(2)/25)*DG112+(1-EXP(-LN(2)/25))/(LN(2)/25)*Calculateur!DB113*Calculateur!DD113*VLOOKUP('Données projet'!$B$13,Paramètres!$A$1:$I$88,3,0)*0.475*44/12</f>
        <v>27.195705709885623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62.17340950525319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498.99999999999955</v>
      </c>
      <c r="DP113" s="18">
        <f>DO113*VLOOKUP('Données projet'!$B$14,Paramètres!$A$1:$I$88,3,0)*VLOOKUP('Données projet'!$B$14,Paramètres!$A$1:$I$88,5,0)</f>
        <v>240.01899999999978</v>
      </c>
      <c r="DQ113" s="14">
        <f t="shared" si="97"/>
        <v>58.443618405936313</v>
      </c>
      <c r="DR113" s="22">
        <f t="shared" si="70"/>
        <v>519.82239372367201</v>
      </c>
      <c r="DS113" s="62">
        <f t="shared" si="71"/>
        <v>799.78378267851781</v>
      </c>
      <c r="DT113" s="62">
        <f ca="1">AVERAGE(OFFSET($DS$3,0,0,'Données projet'!$E$14+1,1))-AVERAGE(OFFSET($H$3,0,0,'Données projet'!$E$14+1,1))</f>
        <v>273.24375559399846</v>
      </c>
      <c r="DU113" s="62">
        <f t="shared" si="98"/>
        <v>270.77718895097848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projet'!$B$14,Paramètres!$A$1:$I$88,3,0)*0.475*44/12</f>
        <v>17.861532207325258</v>
      </c>
      <c r="EB113" s="23">
        <f>EXP(-LN(2)/25)*EB112+(1-EXP(-LN(2)/25))/(LN(2)/25)*Calculateur!DW113*Calculateur!DY113*VLOOKUP('Données projet'!$B$14,Paramètres!$A$1:$I$88,3,0)*0.475*44/12</f>
        <v>13.264252450309694</v>
      </c>
      <c r="EC113" s="23">
        <f>EXP(-LN(2)/2)*EC112+(1-EXP(-LN(2)/2))/(LN(2)/2)*DW113*DZ113*VLOOKUP('Données projet'!$B$14,Paramètres!$A$1:$I$88,3,0)*0.475*44/12</f>
        <v>0</v>
      </c>
      <c r="ED113" s="24">
        <f t="shared" si="72"/>
        <v>31.125784657634952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498.99999999999955</v>
      </c>
      <c r="EK113" s="18">
        <f>EJ113*VLOOKUP('Données projet'!$B$15,Paramètres!$A$1:$I$88,3,0)*VLOOKUP('Données projet'!$B$15,Paramètres!$A$1:$I$88,5,0)</f>
        <v>233.53199999999975</v>
      </c>
      <c r="EL113" s="14">
        <f t="shared" si="99"/>
        <v>57.04570382109803</v>
      </c>
      <c r="EM113" s="22">
        <f t="shared" si="73"/>
        <v>506.08950082174533</v>
      </c>
      <c r="EN113" s="62">
        <f t="shared" si="74"/>
        <v>786.05088977659125</v>
      </c>
      <c r="EO113" s="62">
        <f ca="1">AVERAGE(OFFSET($EN$3,0,0,'Données projet'!$E$15+1,1))-AVERAGE(OFFSET($H$3,0,0,'Données projet'!$E$15+1,1))</f>
        <v>267.26203506406682</v>
      </c>
      <c r="EP113" s="62">
        <f t="shared" si="100"/>
        <v>265.10857635664843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projet'!$B$15,Paramètres!$A$1:$I$88,3,0)*0.475*44/12</f>
        <v>17.378788093613757</v>
      </c>
      <c r="EW113" s="23">
        <f>EXP(-LN(2)/25)*EW112+(1-EXP(-LN(2)/25))/(LN(2)/25)*Calculateur!ER113*Calculateur!ET113*VLOOKUP('Données projet'!$B$15,Paramètres!$A$1:$I$88,3,0)*0.475*44/12</f>
        <v>12.905759140841862</v>
      </c>
      <c r="EX113" s="23">
        <f>EXP(-LN(2)/2)*EX112+(1-EXP(-LN(2)/2))/(LN(2)/2)*ER113*EU113*VLOOKUP('Données projet'!$B$15,Paramètres!$A$1:$I$88,3,0)*0.475*44/12</f>
        <v>0</v>
      </c>
      <c r="EY113" s="24">
        <f t="shared" si="75"/>
        <v>30.284547234455619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231</v>
      </c>
      <c r="FF113" s="18">
        <f>FE113*VLOOKUP('Données projet'!$B$16,Paramètres!$A$1:$I$88,3,0)*VLOOKUP('Données projet'!$B$16,Paramètres!$A$1:$I$88,5,0)</f>
        <v>169.36920000000001</v>
      </c>
      <c r="FG113" s="14">
        <f t="shared" si="101"/>
        <v>42.948714817158674</v>
      </c>
      <c r="FH113" s="22">
        <f t="shared" si="76"/>
        <v>369.787034973218</v>
      </c>
      <c r="FI113" s="62">
        <f t="shared" si="77"/>
        <v>649.74842392806386</v>
      </c>
      <c r="FJ113" s="62">
        <f ca="1">AVERAGE(OFFSET($FI$3,0,0,'Données projet'!$E$16+1,1))-AVERAGE(OFFSET($H$3,0,0,'Données projet'!$E$16+1,1))</f>
        <v>207.66160354686221</v>
      </c>
      <c r="FK113" s="62">
        <f t="shared" si="102"/>
        <v>260.45879589483525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projet'!$B$16,Paramètres!$A$1:$I$88,3,0)*0.475*44/12</f>
        <v>1.0617176171536624</v>
      </c>
      <c r="FR113" s="23">
        <f>EXP(-LN(2)/25)*FR112+(1-EXP(-LN(2)/25))/(LN(2)/25)*Calculateur!FM113*Calculateur!FO113*VLOOKUP('Données projet'!$B$16,Paramètres!$A$1:$I$88,3,0)*0.475*44/12</f>
        <v>0</v>
      </c>
      <c r="FS113" s="23">
        <f>EXP(-LN(2)/2)*FS112+(1-EXP(-LN(2)/2))/(LN(2)/2)*FM113*FP113*VLOOKUP('Données projet'!$B$16,Paramètres!$A$1:$I$88,3,0)*0.475*44/12</f>
        <v>0</v>
      </c>
      <c r="FT113" s="24">
        <f t="shared" si="78"/>
        <v>1.0617176171536624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projet'!$B$9,Paramètres!$A$1:$I$88,3,0)*VLOOKUP('Données projet'!$B$9,Paramètres!$A$1:$I$88,5,0)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378.13552372917843</v>
      </c>
      <c r="T114" s="62">
        <f t="shared" si="88"/>
        <v>528.97123645404952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80.328673621629775</v>
      </c>
      <c r="AA114" s="23">
        <f>EXP(-LN(2)/25)*AA113+(1-EXP(-LN(2)/25))/(LN(2)/25)*Calculateur!V114*Calculateur!X114*VLOOKUP('Données projet'!$B$9,Paramètres!$A$1:$I$88,3,0)*0.475*44/12</f>
        <v>26.663658397931506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106.99233201956127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291.80000000000024</v>
      </c>
      <c r="AJ114" s="14">
        <f>AI114*VLOOKUP('Données projet'!$B$10,Paramètres!$A$1:$I$88,3,0)*VLOOKUP('Données projet'!$B$10,Paramètres!$A$1:$I$88,5,0)</f>
        <v>264.02064000000018</v>
      </c>
      <c r="AK114" s="14">
        <f t="shared" si="89"/>
        <v>63.578648990959231</v>
      </c>
      <c r="AL114" s="22">
        <f t="shared" si="58"/>
        <v>570.56876165925428</v>
      </c>
      <c r="AM114" s="62">
        <f t="shared" si="59"/>
        <v>850.76212395387779</v>
      </c>
      <c r="AN114" s="62">
        <f ca="1">AVERAGE(OFFSET($AM$3,0,0,'Données projet'!$E$10+1,1))-AVERAGE(OFFSET($H$3,0,0,'Données projet'!$E$10+1,1))</f>
        <v>536.3707066106856</v>
      </c>
      <c r="AO114" s="62">
        <f t="shared" si="90"/>
        <v>217.6280015974086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29.585877664999281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29.585877664999281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302.3</v>
      </c>
      <c r="BE114" s="14">
        <f>BD114*VLOOKUP('Données projet'!$B$11,Paramètres!$A$1:$I$88,3,0)*VLOOKUP('Données projet'!$B$11,Paramètres!$A$1:$I$88,5,0)</f>
        <v>180.77540000000005</v>
      </c>
      <c r="BF114" s="14">
        <f t="shared" si="91"/>
        <v>45.494655198846154</v>
      </c>
      <c r="BG114" s="22">
        <f t="shared" si="61"/>
        <v>394.08701280465715</v>
      </c>
      <c r="BH114" s="62">
        <f t="shared" si="62"/>
        <v>674.28037509928072</v>
      </c>
      <c r="BI114" s="62">
        <f ca="1">AVERAGE(OFFSET($BH$3,0,0,'Données projet'!$E$11+1,1))-AVERAGE(OFFSET($H$3,0,0,'Données projet'!$E$11+1,1))</f>
        <v>248.66193174773525</v>
      </c>
      <c r="BJ114" s="62">
        <f t="shared" si="92"/>
        <v>249.61655682981151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7.5548077532898565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8.7483645121629855E-8</v>
      </c>
      <c r="BS114" s="24">
        <f t="shared" si="63"/>
        <v>7.5548078407735018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860.00000000000023</v>
      </c>
      <c r="BZ114" s="14">
        <f>BY114*VLOOKUP('Données projet'!$B$12,Paramètres!$A$1:$I$88,3,0)*VLOOKUP('Données projet'!$B$12,Paramètres!$A$1:$I$88,5,0)</f>
        <v>346.5800000000001</v>
      </c>
      <c r="CA114" s="14">
        <f t="shared" si="93"/>
        <v>80.857895771535127</v>
      </c>
      <c r="CB114" s="22">
        <f t="shared" si="64"/>
        <v>744.45433513542378</v>
      </c>
      <c r="CC114" s="62">
        <f t="shared" si="65"/>
        <v>1024.6476974300474</v>
      </c>
      <c r="CD114" s="62">
        <f ca="1">AVERAGE(OFFSET($CC$3,0,0,'Données projet'!$E$12+1,1))-AVERAGE(OFFSET($H$3,0,0,'Données projet'!$E$12+1,1))</f>
        <v>432.59662347701629</v>
      </c>
      <c r="CE114" s="62">
        <f t="shared" si="94"/>
        <v>348.67401091099748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34.031856453411159</v>
      </c>
      <c r="CL114" s="23">
        <f>EXP(-LN(2)/25)*CL113+(1-EXP(-LN(2)/25))/(LN(2)/25)*Calculateur!CG114*Calculateur!CI114*VLOOKUP('Données projet'!$B$12,Paramètres!$A$1:$I$88,3,0)*0.475*44/12</f>
        <v>29.437669805851517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63.469526259262679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1099.9999999999998</v>
      </c>
      <c r="CU114" s="18">
        <f>CT114*VLOOKUP('Données projet'!$B$13,Paramètres!$A$1:$I$88,3,0)*VLOOKUP('Données projet'!$B$13,Paramètres!$A$1:$I$88,5,0)</f>
        <v>486.19999999999993</v>
      </c>
      <c r="CV114" s="14">
        <f t="shared" si="95"/>
        <v>109.0490179035375</v>
      </c>
      <c r="CW114" s="22">
        <f t="shared" si="67"/>
        <v>1036.725372848661</v>
      </c>
      <c r="CX114" s="62">
        <f t="shared" si="68"/>
        <v>1316.9187351432845</v>
      </c>
      <c r="CY114" s="62">
        <f ca="1">AVERAGE(OFFSET($CX$3,0,0,'Données projet'!$E$13+1,1))-AVERAGE(OFFSET($H$3,0,0,'Données projet'!$E$13+1,1))</f>
        <v>582.26951914082088</v>
      </c>
      <c r="CZ114" s="62">
        <f t="shared" si="96"/>
        <v>434.80429932654715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34.291812358233138</v>
      </c>
      <c r="DG114" s="23">
        <f>EXP(-LN(2)/25)*DG113+(1-EXP(-LN(2)/25))/(LN(2)/25)*Calculateur!DB114*Calculateur!DD114*VLOOKUP('Données projet'!$B$13,Paramètres!$A$1:$I$88,3,0)*0.475*44/12</f>
        <v>26.452037707088792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60.743850065321929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498.99999999999955</v>
      </c>
      <c r="DP114" s="18">
        <f>DO114*VLOOKUP('Données projet'!$B$14,Paramètres!$A$1:$I$88,3,0)*VLOOKUP('Données projet'!$B$14,Paramètres!$A$1:$I$88,5,0)</f>
        <v>240.01899999999978</v>
      </c>
      <c r="DQ114" s="14">
        <f t="shared" si="97"/>
        <v>58.443618405936313</v>
      </c>
      <c r="DR114" s="22">
        <f t="shared" si="70"/>
        <v>519.82239372367201</v>
      </c>
      <c r="DS114" s="62">
        <f t="shared" si="71"/>
        <v>800.01575601829563</v>
      </c>
      <c r="DT114" s="62">
        <f ca="1">AVERAGE(OFFSET($DS$3,0,0,'Données projet'!$E$14+1,1))-AVERAGE(OFFSET($H$3,0,0,'Données projet'!$E$14+1,1))</f>
        <v>273.24375559399846</v>
      </c>
      <c r="DU114" s="62">
        <f t="shared" si="98"/>
        <v>270.77718895097848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projet'!$B$14,Paramètres!$A$1:$I$88,3,0)*0.475*44/12</f>
        <v>17.511278455198518</v>
      </c>
      <c r="EB114" s="23">
        <f>EXP(-LN(2)/25)*EB113+(1-EXP(-LN(2)/25))/(LN(2)/25)*Calculateur!DW114*Calculateur!DY114*VLOOKUP('Données projet'!$B$14,Paramètres!$A$1:$I$88,3,0)*0.475*44/12</f>
        <v>12.901540769519256</v>
      </c>
      <c r="EC114" s="23">
        <f>EXP(-LN(2)/2)*EC113+(1-EXP(-LN(2)/2))/(LN(2)/2)*DW114*DZ114*VLOOKUP('Données projet'!$B$14,Paramètres!$A$1:$I$88,3,0)*0.475*44/12</f>
        <v>0</v>
      </c>
      <c r="ED114" s="24">
        <f t="shared" si="72"/>
        <v>30.412819224717772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498.99999999999955</v>
      </c>
      <c r="EK114" s="18">
        <f>EJ114*VLOOKUP('Données projet'!$B$15,Paramètres!$A$1:$I$88,3,0)*VLOOKUP('Données projet'!$B$15,Paramètres!$A$1:$I$88,5,0)</f>
        <v>233.53199999999975</v>
      </c>
      <c r="EL114" s="14">
        <f t="shared" si="99"/>
        <v>57.04570382109803</v>
      </c>
      <c r="EM114" s="22">
        <f t="shared" si="73"/>
        <v>506.08950082174533</v>
      </c>
      <c r="EN114" s="62">
        <f t="shared" si="74"/>
        <v>786.28286311636884</v>
      </c>
      <c r="EO114" s="62">
        <f ca="1">AVERAGE(OFFSET($EN$3,0,0,'Données projet'!$E$15+1,1))-AVERAGE(OFFSET($H$3,0,0,'Données projet'!$E$15+1,1))</f>
        <v>267.26203506406682</v>
      </c>
      <c r="EP114" s="62">
        <f t="shared" si="100"/>
        <v>265.10857635664843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projet'!$B$15,Paramètres!$A$1:$I$88,3,0)*0.475*44/12</f>
        <v>17.038000659112065</v>
      </c>
      <c r="EW114" s="23">
        <f>EXP(-LN(2)/25)*EW113+(1-EXP(-LN(2)/25))/(LN(2)/25)*Calculateur!ER114*Calculateur!ET114*VLOOKUP('Données projet'!$B$15,Paramètres!$A$1:$I$88,3,0)*0.475*44/12</f>
        <v>12.552850478451164</v>
      </c>
      <c r="EX114" s="23">
        <f>EXP(-LN(2)/2)*EX113+(1-EXP(-LN(2)/2))/(LN(2)/2)*ER114*EU114*VLOOKUP('Données projet'!$B$15,Paramètres!$A$1:$I$88,3,0)*0.475*44/12</f>
        <v>0</v>
      </c>
      <c r="EY114" s="24">
        <f t="shared" si="75"/>
        <v>29.590851137563227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231</v>
      </c>
      <c r="FF114" s="18">
        <f>FE114*VLOOKUP('Données projet'!$B$16,Paramètres!$A$1:$I$88,3,0)*VLOOKUP('Données projet'!$B$16,Paramètres!$A$1:$I$88,5,0)</f>
        <v>169.36920000000001</v>
      </c>
      <c r="FG114" s="14">
        <f t="shared" si="101"/>
        <v>42.948714817158674</v>
      </c>
      <c r="FH114" s="22">
        <f t="shared" si="76"/>
        <v>369.787034973218</v>
      </c>
      <c r="FI114" s="62">
        <f t="shared" si="77"/>
        <v>649.98039726784157</v>
      </c>
      <c r="FJ114" s="62">
        <f ca="1">AVERAGE(OFFSET($FI$3,0,0,'Données projet'!$E$16+1,1))-AVERAGE(OFFSET($H$3,0,0,'Données projet'!$E$16+1,1))</f>
        <v>207.66160354686221</v>
      </c>
      <c r="FK114" s="62">
        <f t="shared" si="102"/>
        <v>260.45879589483525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projet'!$B$16,Paramètres!$A$1:$I$88,3,0)*0.475*44/12</f>
        <v>1.0408979822650819</v>
      </c>
      <c r="FR114" s="23">
        <f>EXP(-LN(2)/25)*FR113+(1-EXP(-LN(2)/25))/(LN(2)/25)*Calculateur!FM114*Calculateur!FO114*VLOOKUP('Données projet'!$B$16,Paramètres!$A$1:$I$88,3,0)*0.475*44/12</f>
        <v>0</v>
      </c>
      <c r="FS114" s="23">
        <f>EXP(-LN(2)/2)*FS113+(1-EXP(-LN(2)/2))/(LN(2)/2)*FM114*FP114*VLOOKUP('Données projet'!$B$16,Paramètres!$A$1:$I$88,3,0)*0.475*44/12</f>
        <v>0</v>
      </c>
      <c r="FT114" s="24">
        <f t="shared" si="78"/>
        <v>1.0408979822650819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projet'!$B$9,Paramètres!$A$1:$I$88,3,0)*VLOOKUP('Données projet'!$B$9,Paramètres!$A$1:$I$88,5,0)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378.13552372917843</v>
      </c>
      <c r="T115" s="62">
        <f t="shared" si="88"/>
        <v>528.97123645404952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78.753477327562607</v>
      </c>
      <c r="AA115" s="23">
        <f>EXP(-LN(2)/25)*AA114+(1-EXP(-LN(2)/25))/(LN(2)/25)*Calculateur!V115*Calculateur!X115*VLOOKUP('Données projet'!$B$9,Paramètres!$A$1:$I$88,3,0)*0.475*44/12</f>
        <v>25.934539256859214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104.68801658442182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296.60000000000025</v>
      </c>
      <c r="AJ115" s="14">
        <f>AI115*VLOOKUP('Données projet'!$B$10,Paramètres!$A$1:$I$88,3,0)*VLOOKUP('Données projet'!$B$10,Paramètres!$A$1:$I$88,5,0)</f>
        <v>268.36368000000022</v>
      </c>
      <c r="AK115" s="14">
        <f t="shared" si="89"/>
        <v>64.50187812098828</v>
      </c>
      <c r="AL115" s="22">
        <f t="shared" si="58"/>
        <v>579.74084706072165</v>
      </c>
      <c r="AM115" s="62">
        <f t="shared" si="59"/>
        <v>860.16215847629246</v>
      </c>
      <c r="AN115" s="62">
        <f ca="1">AVERAGE(OFFSET($AM$3,0,0,'Données projet'!$E$10+1,1))-AVERAGE(OFFSET($H$3,0,0,'Données projet'!$E$10+1,1))</f>
        <v>536.3707066106856</v>
      </c>
      <c r="AO115" s="62">
        <f t="shared" si="90"/>
        <v>217.6280015974086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29.005716649592166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29.005716649592166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302.3</v>
      </c>
      <c r="BE115" s="14">
        <f>BD115*VLOOKUP('Données projet'!$B$11,Paramètres!$A$1:$I$88,3,0)*VLOOKUP('Données projet'!$B$11,Paramètres!$A$1:$I$88,5,0)</f>
        <v>180.77540000000005</v>
      </c>
      <c r="BF115" s="14">
        <f t="shared" si="91"/>
        <v>45.494655198846154</v>
      </c>
      <c r="BG115" s="22">
        <f t="shared" si="61"/>
        <v>394.08701280465715</v>
      </c>
      <c r="BH115" s="62">
        <f t="shared" si="62"/>
        <v>674.50832422022802</v>
      </c>
      <c r="BI115" s="62">
        <f ca="1">AVERAGE(OFFSET($BH$3,0,0,'Données projet'!$E$11+1,1))-AVERAGE(OFFSET($H$3,0,0,'Données projet'!$E$11+1,1))</f>
        <v>248.66193174773525</v>
      </c>
      <c r="BJ115" s="62">
        <f t="shared" si="92"/>
        <v>249.61655682981151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7.4066625812255715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6.1860278708421897E-8</v>
      </c>
      <c r="BS115" s="24">
        <f t="shared" si="63"/>
        <v>7.4066626430858502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860.00000000000023</v>
      </c>
      <c r="BZ115" s="14">
        <f>BY115*VLOOKUP('Données projet'!$B$12,Paramètres!$A$1:$I$88,3,0)*VLOOKUP('Données projet'!$B$12,Paramètres!$A$1:$I$88,5,0)</f>
        <v>346.5800000000001</v>
      </c>
      <c r="CA115" s="14">
        <f t="shared" si="93"/>
        <v>80.857895771535127</v>
      </c>
      <c r="CB115" s="22">
        <f t="shared" si="64"/>
        <v>744.45433513542378</v>
      </c>
      <c r="CC115" s="62">
        <f t="shared" si="65"/>
        <v>1024.8756465509946</v>
      </c>
      <c r="CD115" s="62">
        <f ca="1">AVERAGE(OFFSET($CC$3,0,0,'Données projet'!$E$12+1,1))-AVERAGE(OFFSET($H$3,0,0,'Données projet'!$E$12+1,1))</f>
        <v>432.59662347701629</v>
      </c>
      <c r="CE115" s="62">
        <f t="shared" si="94"/>
        <v>348.67401091099748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33.364512505742582</v>
      </c>
      <c r="CL115" s="23">
        <f>EXP(-LN(2)/25)*CL114+(1-EXP(-LN(2)/25))/(LN(2)/25)*Calculateur!CG115*Calculateur!CI115*VLOOKUP('Données projet'!$B$12,Paramètres!$A$1:$I$88,3,0)*0.475*44/12</f>
        <v>28.632695176950733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61.997207682693315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1099.9999999999998</v>
      </c>
      <c r="CU115" s="18">
        <f>CT115*VLOOKUP('Données projet'!$B$13,Paramètres!$A$1:$I$88,3,0)*VLOOKUP('Données projet'!$B$13,Paramètres!$A$1:$I$88,5,0)</f>
        <v>486.19999999999993</v>
      </c>
      <c r="CV115" s="14">
        <f t="shared" si="95"/>
        <v>109.0490179035375</v>
      </c>
      <c r="CW115" s="22">
        <f t="shared" si="67"/>
        <v>1036.725372848661</v>
      </c>
      <c r="CX115" s="62">
        <f t="shared" si="68"/>
        <v>1317.1466842642319</v>
      </c>
      <c r="CY115" s="62">
        <f ca="1">AVERAGE(OFFSET($CX$3,0,0,'Données projet'!$E$13+1,1))-AVERAGE(OFFSET($H$3,0,0,'Données projet'!$E$13+1,1))</f>
        <v>582.26951914082088</v>
      </c>
      <c r="CZ115" s="62">
        <f t="shared" si="96"/>
        <v>434.80429932654715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33.619370833828448</v>
      </c>
      <c r="DG115" s="23">
        <f>EXP(-LN(2)/25)*DG114+(1-EXP(-LN(2)/25))/(LN(2)/25)*Calculateur!DB115*Calculateur!DD115*VLOOKUP('Données projet'!$B$13,Paramètres!$A$1:$I$88,3,0)*0.475*44/12</f>
        <v>25.728705344936241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59.348076178764686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498.99999999999955</v>
      </c>
      <c r="DP115" s="18">
        <f>DO115*VLOOKUP('Données projet'!$B$14,Paramètres!$A$1:$I$88,3,0)*VLOOKUP('Données projet'!$B$14,Paramètres!$A$1:$I$88,5,0)</f>
        <v>240.01899999999978</v>
      </c>
      <c r="DQ115" s="14">
        <f t="shared" si="97"/>
        <v>58.443618405936313</v>
      </c>
      <c r="DR115" s="22">
        <f t="shared" si="70"/>
        <v>519.82239372367201</v>
      </c>
      <c r="DS115" s="62">
        <f t="shared" si="71"/>
        <v>800.24370513924282</v>
      </c>
      <c r="DT115" s="62">
        <f ca="1">AVERAGE(OFFSET($DS$3,0,0,'Données projet'!$E$14+1,1))-AVERAGE(OFFSET($H$3,0,0,'Données projet'!$E$14+1,1))</f>
        <v>273.24375559399846</v>
      </c>
      <c r="DU115" s="62">
        <f t="shared" si="98"/>
        <v>270.77718895097848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projet'!$B$14,Paramètres!$A$1:$I$88,3,0)*0.475*44/12</f>
        <v>17.167892965517289</v>
      </c>
      <c r="EB115" s="23">
        <f>EXP(-LN(2)/25)*EB114+(1-EXP(-LN(2)/25))/(LN(2)/25)*Calculateur!DW115*Calculateur!DY115*VLOOKUP('Données projet'!$B$14,Paramètres!$A$1:$I$88,3,0)*0.475*44/12</f>
        <v>12.54874745871421</v>
      </c>
      <c r="EC115" s="23">
        <f>EXP(-LN(2)/2)*EC114+(1-EXP(-LN(2)/2))/(LN(2)/2)*DW115*DZ115*VLOOKUP('Données projet'!$B$14,Paramètres!$A$1:$I$88,3,0)*0.475*44/12</f>
        <v>0</v>
      </c>
      <c r="ED115" s="24">
        <f t="shared" si="72"/>
        <v>29.7166404242315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498.99999999999955</v>
      </c>
      <c r="EK115" s="18">
        <f>EJ115*VLOOKUP('Données projet'!$B$15,Paramètres!$A$1:$I$88,3,0)*VLOOKUP('Données projet'!$B$15,Paramètres!$A$1:$I$88,5,0)</f>
        <v>233.53199999999975</v>
      </c>
      <c r="EL115" s="14">
        <f t="shared" si="99"/>
        <v>57.04570382109803</v>
      </c>
      <c r="EM115" s="22">
        <f t="shared" si="73"/>
        <v>506.08950082174533</v>
      </c>
      <c r="EN115" s="62">
        <f t="shared" si="74"/>
        <v>786.51081223731626</v>
      </c>
      <c r="EO115" s="62">
        <f ca="1">AVERAGE(OFFSET($EN$3,0,0,'Données projet'!$E$15+1,1))-AVERAGE(OFFSET($H$3,0,0,'Données projet'!$E$15+1,1))</f>
        <v>267.26203506406682</v>
      </c>
      <c r="EP115" s="62">
        <f t="shared" si="100"/>
        <v>265.10857635664843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projet'!$B$15,Paramètres!$A$1:$I$88,3,0)*0.475*44/12</f>
        <v>16.703895858341138</v>
      </c>
      <c r="EW115" s="23">
        <f>EXP(-LN(2)/25)*EW114+(1-EXP(-LN(2)/25))/(LN(2)/25)*Calculateur!ER115*Calculateur!ET115*VLOOKUP('Données projet'!$B$15,Paramètres!$A$1:$I$88,3,0)*0.475*44/12</f>
        <v>12.2095921219922</v>
      </c>
      <c r="EX115" s="23">
        <f>EXP(-LN(2)/2)*EX114+(1-EXP(-LN(2)/2))/(LN(2)/2)*ER115*EU115*VLOOKUP('Données projet'!$B$15,Paramètres!$A$1:$I$88,3,0)*0.475*44/12</f>
        <v>0</v>
      </c>
      <c r="EY115" s="24">
        <f t="shared" si="75"/>
        <v>28.913487980333336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231</v>
      </c>
      <c r="FF115" s="18">
        <f>FE115*VLOOKUP('Données projet'!$B$16,Paramètres!$A$1:$I$88,3,0)*VLOOKUP('Données projet'!$B$16,Paramètres!$A$1:$I$88,5,0)</f>
        <v>169.36920000000001</v>
      </c>
      <c r="FG115" s="14">
        <f t="shared" si="101"/>
        <v>42.948714817158674</v>
      </c>
      <c r="FH115" s="22">
        <f t="shared" si="76"/>
        <v>369.787034973218</v>
      </c>
      <c r="FI115" s="62">
        <f t="shared" si="77"/>
        <v>650.20834638878887</v>
      </c>
      <c r="FJ115" s="62">
        <f ca="1">AVERAGE(OFFSET($FI$3,0,0,'Données projet'!$E$16+1,1))-AVERAGE(OFFSET($H$3,0,0,'Données projet'!$E$16+1,1))</f>
        <v>207.66160354686221</v>
      </c>
      <c r="FK115" s="62">
        <f t="shared" si="102"/>
        <v>260.45879589483525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projet'!$B$16,Paramètres!$A$1:$I$88,3,0)*0.475*44/12</f>
        <v>1.0204866077179431</v>
      </c>
      <c r="FR115" s="23">
        <f>EXP(-LN(2)/25)*FR114+(1-EXP(-LN(2)/25))/(LN(2)/25)*Calculateur!FM115*Calculateur!FO115*VLOOKUP('Données projet'!$B$16,Paramètres!$A$1:$I$88,3,0)*0.475*44/12</f>
        <v>0</v>
      </c>
      <c r="FS115" s="23">
        <f>EXP(-LN(2)/2)*FS114+(1-EXP(-LN(2)/2))/(LN(2)/2)*FM115*FP115*VLOOKUP('Données projet'!$B$16,Paramètres!$A$1:$I$88,3,0)*0.475*44/12</f>
        <v>0</v>
      </c>
      <c r="FT115" s="24">
        <f t="shared" si="78"/>
        <v>1.0204866077179431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projet'!$B$9,Paramètres!$A$1:$I$88,3,0)*VLOOKUP('Données projet'!$B$9,Paramètres!$A$1:$I$88,5,0)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378.13552372917843</v>
      </c>
      <c r="T116" s="62">
        <f t="shared" si="88"/>
        <v>528.97123645404952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77.209169672047224</v>
      </c>
      <c r="AA116" s="23">
        <f>EXP(-LN(2)/25)*AA115+(1-EXP(-LN(2)/25))/(LN(2)/25)*Calculateur!V116*Calculateur!X116*VLOOKUP('Données projet'!$B$9,Paramètres!$A$1:$I$88,3,0)*0.475*44/12</f>
        <v>25.225357917042253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102.43452758908947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301.40000000000026</v>
      </c>
      <c r="AJ116" s="14">
        <f>AI116*VLOOKUP('Données projet'!$B$10,Paramètres!$A$1:$I$88,3,0)*VLOOKUP('Données projet'!$B$10,Paramètres!$A$1:$I$88,5,0)</f>
        <v>272.70672000000019</v>
      </c>
      <c r="AK116" s="14">
        <f t="shared" si="89"/>
        <v>65.423369675748305</v>
      </c>
      <c r="AL116" s="22">
        <f t="shared" si="58"/>
        <v>588.90990618526189</v>
      </c>
      <c r="AM116" s="62">
        <f t="shared" si="59"/>
        <v>869.55521231414946</v>
      </c>
      <c r="AN116" s="62">
        <f ca="1">AVERAGE(OFFSET($AM$3,0,0,'Données projet'!$E$10+1,1))-AVERAGE(OFFSET($H$3,0,0,'Données projet'!$E$10+1,1))</f>
        <v>536.3707066106856</v>
      </c>
      <c r="AO116" s="62">
        <f t="shared" si="90"/>
        <v>217.6280015974086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28.436932237833904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28.436932237833904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302.3</v>
      </c>
      <c r="BE116" s="14">
        <f>BD116*VLOOKUP('Données projet'!$B$11,Paramètres!$A$1:$I$88,3,0)*VLOOKUP('Données projet'!$B$11,Paramètres!$A$1:$I$88,5,0)</f>
        <v>180.77540000000005</v>
      </c>
      <c r="BF116" s="14">
        <f t="shared" si="91"/>
        <v>45.494655198846154</v>
      </c>
      <c r="BG116" s="22">
        <f t="shared" si="61"/>
        <v>394.08701280465715</v>
      </c>
      <c r="BH116" s="62">
        <f t="shared" si="62"/>
        <v>674.73231893354478</v>
      </c>
      <c r="BI116" s="62">
        <f ca="1">AVERAGE(OFFSET($BH$3,0,0,'Données projet'!$E$11+1,1))-AVERAGE(OFFSET($H$3,0,0,'Données projet'!$E$11+1,1))</f>
        <v>248.66193174773525</v>
      </c>
      <c r="BJ116" s="62">
        <f t="shared" si="92"/>
        <v>249.61655682981151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7.2614224456258345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4.3741822560814928E-8</v>
      </c>
      <c r="BS116" s="24">
        <f t="shared" si="63"/>
        <v>7.2614224893676571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860.00000000000023</v>
      </c>
      <c r="BZ116" s="14">
        <f>BY116*VLOOKUP('Données projet'!$B$12,Paramètres!$A$1:$I$88,3,0)*VLOOKUP('Données projet'!$B$12,Paramètres!$A$1:$I$88,5,0)</f>
        <v>346.5800000000001</v>
      </c>
      <c r="CA116" s="14">
        <f t="shared" si="93"/>
        <v>80.857895771535127</v>
      </c>
      <c r="CB116" s="22">
        <f t="shared" si="64"/>
        <v>744.45433513542378</v>
      </c>
      <c r="CC116" s="62">
        <f t="shared" si="65"/>
        <v>1025.0996412643115</v>
      </c>
      <c r="CD116" s="62">
        <f ca="1">AVERAGE(OFFSET($CC$3,0,0,'Données projet'!$E$12+1,1))-AVERAGE(OFFSET($H$3,0,0,'Données projet'!$E$12+1,1))</f>
        <v>432.59662347701629</v>
      </c>
      <c r="CE116" s="62">
        <f t="shared" si="94"/>
        <v>348.67401091099748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32.71025476584817</v>
      </c>
      <c r="CL116" s="23">
        <f>EXP(-LN(2)/25)*CL115+(1-EXP(-LN(2)/25))/(LN(2)/25)*Calculateur!CG116*Calculateur!CI116*VLOOKUP('Données projet'!$B$12,Paramètres!$A$1:$I$88,3,0)*0.475*44/12</f>
        <v>27.849732621609018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60.559987387457184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1099.9999999999998</v>
      </c>
      <c r="CU116" s="18">
        <f>CT116*VLOOKUP('Données projet'!$B$13,Paramètres!$A$1:$I$88,3,0)*VLOOKUP('Données projet'!$B$13,Paramètres!$A$1:$I$88,5,0)</f>
        <v>486.19999999999993</v>
      </c>
      <c r="CV116" s="14">
        <f t="shared" si="95"/>
        <v>109.0490179035375</v>
      </c>
      <c r="CW116" s="22">
        <f t="shared" si="67"/>
        <v>1036.725372848661</v>
      </c>
      <c r="CX116" s="62">
        <f t="shared" si="68"/>
        <v>1317.3706789775486</v>
      </c>
      <c r="CY116" s="62">
        <f ca="1">AVERAGE(OFFSET($CX$3,0,0,'Données projet'!$E$13+1,1))-AVERAGE(OFFSET($H$3,0,0,'Données projet'!$E$13+1,1))</f>
        <v>582.26951914082088</v>
      </c>
      <c r="CZ116" s="62">
        <f t="shared" si="96"/>
        <v>434.80429932654715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32.9601154775685</v>
      </c>
      <c r="DG116" s="23">
        <f>EXP(-LN(2)/25)*DG115+(1-EXP(-LN(2)/25))/(LN(2)/25)*Calculateur!DB116*Calculateur!DD116*VLOOKUP('Données projet'!$B$13,Paramètres!$A$1:$I$88,3,0)*0.475*44/12</f>
        <v>25.025152544265151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57.985268021833647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498.99999999999955</v>
      </c>
      <c r="DP116" s="18">
        <f>DO116*VLOOKUP('Données projet'!$B$14,Paramètres!$A$1:$I$88,3,0)*VLOOKUP('Données projet'!$B$14,Paramètres!$A$1:$I$88,5,0)</f>
        <v>240.01899999999978</v>
      </c>
      <c r="DQ116" s="14">
        <f t="shared" si="97"/>
        <v>58.443618405936313</v>
      </c>
      <c r="DR116" s="22">
        <f t="shared" si="70"/>
        <v>519.82239372367201</v>
      </c>
      <c r="DS116" s="62">
        <f t="shared" si="71"/>
        <v>800.46769985255969</v>
      </c>
      <c r="DT116" s="62">
        <f ca="1">AVERAGE(OFFSET($DS$3,0,0,'Données projet'!$E$14+1,1))-AVERAGE(OFFSET($H$3,0,0,'Données projet'!$E$14+1,1))</f>
        <v>273.24375559399846</v>
      </c>
      <c r="DU116" s="62">
        <f t="shared" si="98"/>
        <v>270.77718895097848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projet'!$B$14,Paramètres!$A$1:$I$88,3,0)*0.475*44/12</f>
        <v>16.831241055844242</v>
      </c>
      <c r="EB116" s="23">
        <f>EXP(-LN(2)/25)*EB115+(1-EXP(-LN(2)/25))/(LN(2)/25)*Calculateur!DW116*Calculateur!DY116*VLOOKUP('Données projet'!$B$14,Paramètres!$A$1:$I$88,3,0)*0.475*44/12</f>
        <v>12.205601299545721</v>
      </c>
      <c r="EC116" s="23">
        <f>EXP(-LN(2)/2)*EC115+(1-EXP(-LN(2)/2))/(LN(2)/2)*DW116*DZ116*VLOOKUP('Données projet'!$B$14,Paramètres!$A$1:$I$88,3,0)*0.475*44/12</f>
        <v>0</v>
      </c>
      <c r="ED116" s="24">
        <f t="shared" si="72"/>
        <v>29.036842355389965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498.99999999999955</v>
      </c>
      <c r="EK116" s="18">
        <f>EJ116*VLOOKUP('Données projet'!$B$15,Paramètres!$A$1:$I$88,3,0)*VLOOKUP('Données projet'!$B$15,Paramètres!$A$1:$I$88,5,0)</f>
        <v>233.53199999999975</v>
      </c>
      <c r="EL116" s="14">
        <f t="shared" si="99"/>
        <v>57.04570382109803</v>
      </c>
      <c r="EM116" s="22">
        <f t="shared" si="73"/>
        <v>506.08950082174533</v>
      </c>
      <c r="EN116" s="62">
        <f t="shared" si="74"/>
        <v>786.7348069506329</v>
      </c>
      <c r="EO116" s="62">
        <f ca="1">AVERAGE(OFFSET($EN$3,0,0,'Données projet'!$E$15+1,1))-AVERAGE(OFFSET($H$3,0,0,'Données projet'!$E$15+1,1))</f>
        <v>267.26203506406682</v>
      </c>
      <c r="EP116" s="62">
        <f t="shared" si="100"/>
        <v>265.10857635664843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projet'!$B$15,Paramètres!$A$1:$I$88,3,0)*0.475*44/12</f>
        <v>16.376342648929523</v>
      </c>
      <c r="EW116" s="23">
        <f>EXP(-LN(2)/25)*EW115+(1-EXP(-LN(2)/25))/(LN(2)/25)*Calculateur!ER116*Calculateur!ET116*VLOOKUP('Données projet'!$B$15,Paramètres!$A$1:$I$88,3,0)*0.475*44/12</f>
        <v>11.875720183341778</v>
      </c>
      <c r="EX116" s="23">
        <f>EXP(-LN(2)/2)*EX115+(1-EXP(-LN(2)/2))/(LN(2)/2)*ER116*EU116*VLOOKUP('Données projet'!$B$15,Paramètres!$A$1:$I$88,3,0)*0.475*44/12</f>
        <v>0</v>
      </c>
      <c r="EY116" s="24">
        <f t="shared" si="75"/>
        <v>28.252062832271299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231</v>
      </c>
      <c r="FF116" s="18">
        <f>FE116*VLOOKUP('Données projet'!$B$16,Paramètres!$A$1:$I$88,3,0)*VLOOKUP('Données projet'!$B$16,Paramètres!$A$1:$I$88,5,0)</f>
        <v>169.36920000000001</v>
      </c>
      <c r="FG116" s="14">
        <f t="shared" si="101"/>
        <v>42.948714817158674</v>
      </c>
      <c r="FH116" s="22">
        <f t="shared" si="76"/>
        <v>369.787034973218</v>
      </c>
      <c r="FI116" s="62">
        <f t="shared" si="77"/>
        <v>650.43234110210562</v>
      </c>
      <c r="FJ116" s="62">
        <f ca="1">AVERAGE(OFFSET($FI$3,0,0,'Données projet'!$E$16+1,1))-AVERAGE(OFFSET($H$3,0,0,'Données projet'!$E$16+1,1))</f>
        <v>207.66160354686221</v>
      </c>
      <c r="FK116" s="62">
        <f t="shared" si="102"/>
        <v>260.45879589483525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projet'!$B$16,Paramètres!$A$1:$I$88,3,0)*0.475*44/12</f>
        <v>1.0004754877759645</v>
      </c>
      <c r="FR116" s="23">
        <f>EXP(-LN(2)/25)*FR115+(1-EXP(-LN(2)/25))/(LN(2)/25)*Calculateur!FM116*Calculateur!FO116*VLOOKUP('Données projet'!$B$16,Paramètres!$A$1:$I$88,3,0)*0.475*44/12</f>
        <v>0</v>
      </c>
      <c r="FS116" s="23">
        <f>EXP(-LN(2)/2)*FS115+(1-EXP(-LN(2)/2))/(LN(2)/2)*FM116*FP116*VLOOKUP('Données projet'!$B$16,Paramètres!$A$1:$I$88,3,0)*0.475*44/12</f>
        <v>0</v>
      </c>
      <c r="FT116" s="24">
        <f t="shared" si="78"/>
        <v>1.0004754877759645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projet'!$B$9,Paramètres!$A$1:$I$88,3,0)*VLOOKUP('Données projet'!$B$9,Paramètres!$A$1:$I$88,5,0)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378.13552372917843</v>
      </c>
      <c r="T117" s="62">
        <f t="shared" si="88"/>
        <v>528.97123645404952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75.695144947721843</v>
      </c>
      <c r="AA117" s="23">
        <f>EXP(-LN(2)/25)*AA116+(1-EXP(-LN(2)/25))/(LN(2)/25)*Calculateur!V117*Calculateur!X117*VLOOKUP('Données projet'!$B$9,Paramètres!$A$1:$I$88,3,0)*0.475*44/12</f>
        <v>24.535569178256814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100.23071412597866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306.20000000000027</v>
      </c>
      <c r="AJ117" s="14">
        <f>AI117*VLOOKUP('Données projet'!$B$10,Paramètres!$A$1:$I$88,3,0)*VLOOKUP('Données projet'!$B$10,Paramètres!$A$1:$I$88,5,0)</f>
        <v>277.04976000000022</v>
      </c>
      <c r="AK117" s="14">
        <f t="shared" si="89"/>
        <v>66.343154522348115</v>
      </c>
      <c r="AL117" s="22">
        <f t="shared" si="58"/>
        <v>598.07599279308999</v>
      </c>
      <c r="AM117" s="62">
        <f t="shared" si="59"/>
        <v>878.9414078277955</v>
      </c>
      <c r="AN117" s="62">
        <f ca="1">AVERAGE(OFFSET($AM$3,0,0,'Données projet'!$E$10+1,1))-AVERAGE(OFFSET($H$3,0,0,'Données projet'!$E$10+1,1))</f>
        <v>536.3707066106856</v>
      </c>
      <c r="AO117" s="62">
        <f t="shared" si="90"/>
        <v>217.6280015974086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27.87930134146599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27.87930134146599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302.3</v>
      </c>
      <c r="BE117" s="14">
        <f>BD117*VLOOKUP('Données projet'!$B$11,Paramètres!$A$1:$I$88,3,0)*VLOOKUP('Données projet'!$B$11,Paramètres!$A$1:$I$88,5,0)</f>
        <v>180.77540000000005</v>
      </c>
      <c r="BF117" s="14">
        <f t="shared" si="91"/>
        <v>45.494655198846154</v>
      </c>
      <c r="BG117" s="22">
        <f t="shared" si="61"/>
        <v>394.08701280465715</v>
      </c>
      <c r="BH117" s="62">
        <f t="shared" si="62"/>
        <v>674.9524278393626</v>
      </c>
      <c r="BI117" s="62">
        <f ca="1">AVERAGE(OFFSET($BH$3,0,0,'Données projet'!$E$11+1,1))-AVERAGE(OFFSET($H$3,0,0,'Données projet'!$E$11+1,1))</f>
        <v>248.66193174773525</v>
      </c>
      <c r="BJ117" s="62">
        <f t="shared" si="92"/>
        <v>249.61655682981151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7.1190303804974731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3.0930139354210948E-8</v>
      </c>
      <c r="BS117" s="24">
        <f t="shared" si="63"/>
        <v>7.1190304114276124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860.00000000000023</v>
      </c>
      <c r="BZ117" s="14">
        <f>BY117*VLOOKUP('Données projet'!$B$12,Paramètres!$A$1:$I$88,3,0)*VLOOKUP('Données projet'!$B$12,Paramètres!$A$1:$I$88,5,0)</f>
        <v>346.5800000000001</v>
      </c>
      <c r="CA117" s="14">
        <f t="shared" si="93"/>
        <v>80.857895771535127</v>
      </c>
      <c r="CB117" s="22">
        <f t="shared" si="64"/>
        <v>744.45433513542378</v>
      </c>
      <c r="CC117" s="62">
        <f t="shared" si="65"/>
        <v>1025.3197501701293</v>
      </c>
      <c r="CD117" s="62">
        <f ca="1">AVERAGE(OFFSET($CC$3,0,0,'Données projet'!$E$12+1,1))-AVERAGE(OFFSET($H$3,0,0,'Données projet'!$E$12+1,1))</f>
        <v>432.59662347701629</v>
      </c>
      <c r="CE117" s="62">
        <f t="shared" si="94"/>
        <v>348.67401091099748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32.068826621175269</v>
      </c>
      <c r="CL117" s="23">
        <f>EXP(-LN(2)/25)*CL116+(1-EXP(-LN(2)/25))/(LN(2)/25)*Calculateur!CG117*Calculateur!CI117*VLOOKUP('Données projet'!$B$12,Paramètres!$A$1:$I$88,3,0)*0.475*44/12</f>
        <v>27.088180218517333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59.157006839692599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1099.9999999999998</v>
      </c>
      <c r="CU117" s="18">
        <f>CT117*VLOOKUP('Données projet'!$B$13,Paramètres!$A$1:$I$88,3,0)*VLOOKUP('Données projet'!$B$13,Paramètres!$A$1:$I$88,5,0)</f>
        <v>486.19999999999993</v>
      </c>
      <c r="CV117" s="14">
        <f t="shared" si="95"/>
        <v>109.0490179035375</v>
      </c>
      <c r="CW117" s="22">
        <f t="shared" si="67"/>
        <v>1036.725372848661</v>
      </c>
      <c r="CX117" s="62">
        <f t="shared" si="68"/>
        <v>1317.5907878833664</v>
      </c>
      <c r="CY117" s="62">
        <f ca="1">AVERAGE(OFFSET($CX$3,0,0,'Données projet'!$E$13+1,1))-AVERAGE(OFFSET($H$3,0,0,'Données projet'!$E$13+1,1))</f>
        <v>582.26951914082088</v>
      </c>
      <c r="CZ117" s="62">
        <f t="shared" si="96"/>
        <v>434.80429932654715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32.313787716738751</v>
      </c>
      <c r="DG117" s="23">
        <f>EXP(-LN(2)/25)*DG116+(1-EXP(-LN(2)/25))/(LN(2)/25)*Calculateur!DB117*Calculateur!DD117*VLOOKUP('Données projet'!$B$13,Paramètres!$A$1:$I$88,3,0)*0.475*44/12</f>
        <v>24.340838431926642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56.654626148665393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498.99999999999955</v>
      </c>
      <c r="DP117" s="18">
        <f>DO117*VLOOKUP('Données projet'!$B$14,Paramètres!$A$1:$I$88,3,0)*VLOOKUP('Données projet'!$B$14,Paramètres!$A$1:$I$88,5,0)</f>
        <v>240.01899999999978</v>
      </c>
      <c r="DQ117" s="14">
        <f t="shared" si="97"/>
        <v>58.443618405936313</v>
      </c>
      <c r="DR117" s="22">
        <f t="shared" si="70"/>
        <v>519.82239372367201</v>
      </c>
      <c r="DS117" s="62">
        <f t="shared" si="71"/>
        <v>800.68780875837751</v>
      </c>
      <c r="DT117" s="62">
        <f ca="1">AVERAGE(OFFSET($DS$3,0,0,'Données projet'!$E$14+1,1))-AVERAGE(OFFSET($H$3,0,0,'Données projet'!$E$14+1,1))</f>
        <v>273.24375559399846</v>
      </c>
      <c r="DU117" s="62">
        <f t="shared" si="98"/>
        <v>270.77718895097848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projet'!$B$14,Paramètres!$A$1:$I$88,3,0)*0.475*44/12</f>
        <v>16.501190684782493</v>
      </c>
      <c r="EB117" s="23">
        <f>EXP(-LN(2)/25)*EB116+(1-EXP(-LN(2)/25))/(LN(2)/25)*Calculateur!DW117*Calculateur!DY117*VLOOKUP('Données projet'!$B$14,Paramètres!$A$1:$I$88,3,0)*0.475*44/12</f>
        <v>11.871838490144967</v>
      </c>
      <c r="EC117" s="23">
        <f>EXP(-LN(2)/2)*EC116+(1-EXP(-LN(2)/2))/(LN(2)/2)*DW117*DZ117*VLOOKUP('Données projet'!$B$14,Paramètres!$A$1:$I$88,3,0)*0.475*44/12</f>
        <v>0</v>
      </c>
      <c r="ED117" s="24">
        <f t="shared" si="72"/>
        <v>28.37302917492746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498.99999999999955</v>
      </c>
      <c r="EK117" s="18">
        <f>EJ117*VLOOKUP('Données projet'!$B$15,Paramètres!$A$1:$I$88,3,0)*VLOOKUP('Données projet'!$B$15,Paramètres!$A$1:$I$88,5,0)</f>
        <v>233.53199999999975</v>
      </c>
      <c r="EL117" s="14">
        <f t="shared" si="99"/>
        <v>57.04570382109803</v>
      </c>
      <c r="EM117" s="22">
        <f t="shared" si="73"/>
        <v>506.08950082174533</v>
      </c>
      <c r="EN117" s="62">
        <f t="shared" si="74"/>
        <v>786.95491585645073</v>
      </c>
      <c r="EO117" s="62">
        <f ca="1">AVERAGE(OFFSET($EN$3,0,0,'Données projet'!$E$15+1,1))-AVERAGE(OFFSET($H$3,0,0,'Données projet'!$E$15+1,1))</f>
        <v>267.26203506406682</v>
      </c>
      <c r="EP117" s="62">
        <f t="shared" si="100"/>
        <v>265.10857635664843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projet'!$B$15,Paramètres!$A$1:$I$88,3,0)*0.475*44/12</f>
        <v>16.05521255816674</v>
      </c>
      <c r="EW117" s="23">
        <f>EXP(-LN(2)/25)*EW116+(1-EXP(-LN(2)/25))/(LN(2)/25)*Calculateur!ER117*Calculateur!ET117*VLOOKUP('Données projet'!$B$15,Paramètres!$A$1:$I$88,3,0)*0.475*44/12</f>
        <v>11.550977990411315</v>
      </c>
      <c r="EX117" s="23">
        <f>EXP(-LN(2)/2)*EX116+(1-EXP(-LN(2)/2))/(LN(2)/2)*ER117*EU117*VLOOKUP('Données projet'!$B$15,Paramètres!$A$1:$I$88,3,0)*0.475*44/12</f>
        <v>0</v>
      </c>
      <c r="EY117" s="24">
        <f t="shared" si="75"/>
        <v>27.606190548578056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231</v>
      </c>
      <c r="FF117" s="18">
        <f>FE117*VLOOKUP('Données projet'!$B$16,Paramètres!$A$1:$I$88,3,0)*VLOOKUP('Données projet'!$B$16,Paramètres!$A$1:$I$88,5,0)</f>
        <v>169.36920000000001</v>
      </c>
      <c r="FG117" s="14">
        <f t="shared" si="101"/>
        <v>42.948714817158674</v>
      </c>
      <c r="FH117" s="22">
        <f t="shared" si="76"/>
        <v>369.787034973218</v>
      </c>
      <c r="FI117" s="62">
        <f t="shared" si="77"/>
        <v>650.65245000792345</v>
      </c>
      <c r="FJ117" s="62">
        <f ca="1">AVERAGE(OFFSET($FI$3,0,0,'Données projet'!$E$16+1,1))-AVERAGE(OFFSET($H$3,0,0,'Données projet'!$E$16+1,1))</f>
        <v>207.66160354686221</v>
      </c>
      <c r="FK117" s="62">
        <f t="shared" si="102"/>
        <v>260.45879589483525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projet'!$B$16,Paramètres!$A$1:$I$88,3,0)*0.475*44/12</f>
        <v>0.9808567736904702</v>
      </c>
      <c r="FR117" s="23">
        <f>EXP(-LN(2)/25)*FR116+(1-EXP(-LN(2)/25))/(LN(2)/25)*Calculateur!FM117*Calculateur!FO117*VLOOKUP('Données projet'!$B$16,Paramètres!$A$1:$I$88,3,0)*0.475*44/12</f>
        <v>0</v>
      </c>
      <c r="FS117" s="23">
        <f>EXP(-LN(2)/2)*FS116+(1-EXP(-LN(2)/2))/(LN(2)/2)*FM117*FP117*VLOOKUP('Données projet'!$B$16,Paramètres!$A$1:$I$88,3,0)*0.475*44/12</f>
        <v>0</v>
      </c>
      <c r="FT117" s="24">
        <f t="shared" si="78"/>
        <v>0.9808567736904702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projet'!$B$9,Paramètres!$A$1:$I$88,3,0)*VLOOKUP('Données projet'!$B$9,Paramètres!$A$1:$I$88,5,0)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378.13552372917843</v>
      </c>
      <c r="T118" s="62">
        <f t="shared" si="88"/>
        <v>528.97123645404952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74.210809324776577</v>
      </c>
      <c r="AA118" s="23">
        <f>EXP(-LN(2)/25)*AA117+(1-EXP(-LN(2)/25))/(LN(2)/25)*Calculateur!V118*Calculateur!X118*VLOOKUP('Données projet'!$B$9,Paramètres!$A$1:$I$88,3,0)*0.475*44/12</f>
        <v>23.864642748807874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98.075452073584444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311.00000000000028</v>
      </c>
      <c r="AJ118" s="14">
        <f>AI118*VLOOKUP('Données projet'!$B$10,Paramètres!$A$1:$I$88,3,0)*VLOOKUP('Données projet'!$B$10,Paramètres!$A$1:$I$88,5,0)</f>
        <v>281.39280000000025</v>
      </c>
      <c r="AK118" s="14">
        <f t="shared" si="89"/>
        <v>67.261262504634715</v>
      </c>
      <c r="AL118" s="22">
        <f t="shared" si="58"/>
        <v>607.23915886223926</v>
      </c>
      <c r="AM118" s="62">
        <f t="shared" si="59"/>
        <v>888.32086440533658</v>
      </c>
      <c r="AN118" s="62">
        <f ca="1">AVERAGE(OFFSET($AM$3,0,0,'Données projet'!$E$10+1,1))-AVERAGE(OFFSET($H$3,0,0,'Données projet'!$E$10+1,1))</f>
        <v>536.3707066106856</v>
      </c>
      <c r="AO118" s="62">
        <f t="shared" si="90"/>
        <v>217.6280015974086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27.332605246854584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27.332605246854584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302.3</v>
      </c>
      <c r="BE118" s="14">
        <f>BD118*VLOOKUP('Données projet'!$B$11,Paramètres!$A$1:$I$88,3,0)*VLOOKUP('Données projet'!$B$11,Paramètres!$A$1:$I$88,5,0)</f>
        <v>180.77540000000005</v>
      </c>
      <c r="BF118" s="14">
        <f t="shared" si="91"/>
        <v>45.494655198846154</v>
      </c>
      <c r="BG118" s="22">
        <f t="shared" si="61"/>
        <v>394.08701280465715</v>
      </c>
      <c r="BH118" s="62">
        <f t="shared" si="62"/>
        <v>675.16871834775441</v>
      </c>
      <c r="BI118" s="62">
        <f ca="1">AVERAGE(OFFSET($BH$3,0,0,'Données projet'!$E$11+1,1))-AVERAGE(OFFSET($H$3,0,0,'Données projet'!$E$11+1,1))</f>
        <v>248.66193174773525</v>
      </c>
      <c r="BJ118" s="62">
        <f t="shared" si="92"/>
        <v>249.61655682981151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6.9794305369156948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2.1870911280407464E-8</v>
      </c>
      <c r="BS118" s="24">
        <f t="shared" si="63"/>
        <v>6.9794305587866061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860.00000000000023</v>
      </c>
      <c r="BZ118" s="14">
        <f>BY118*VLOOKUP('Données projet'!$B$12,Paramètres!$A$1:$I$88,3,0)*VLOOKUP('Données projet'!$B$12,Paramètres!$A$1:$I$88,5,0)</f>
        <v>346.5800000000001</v>
      </c>
      <c r="CA118" s="14">
        <f t="shared" si="93"/>
        <v>80.857895771535127</v>
      </c>
      <c r="CB118" s="22">
        <f t="shared" si="64"/>
        <v>744.45433513542378</v>
      </c>
      <c r="CC118" s="62">
        <f t="shared" si="65"/>
        <v>1025.536040678521</v>
      </c>
      <c r="CD118" s="62">
        <f ca="1">AVERAGE(OFFSET($CC$3,0,0,'Données projet'!$E$12+1,1))-AVERAGE(OFFSET($H$3,0,0,'Données projet'!$E$12+1,1))</f>
        <v>432.59662347701629</v>
      </c>
      <c r="CE118" s="62">
        <f t="shared" si="94"/>
        <v>348.67401091099748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31.439976491186865</v>
      </c>
      <c r="CL118" s="23">
        <f>EXP(-LN(2)/25)*CL117+(1-EXP(-LN(2)/25))/(LN(2)/25)*Calculateur!CG118*Calculateur!CI118*VLOOKUP('Données projet'!$B$12,Paramètres!$A$1:$I$88,3,0)*0.475*44/12</f>
        <v>26.347452505936491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57.787428997123357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1099.9999999999998</v>
      </c>
      <c r="CU118" s="18">
        <f>CT118*VLOOKUP('Données projet'!$B$13,Paramètres!$A$1:$I$88,3,0)*VLOOKUP('Données projet'!$B$13,Paramètres!$A$1:$I$88,5,0)</f>
        <v>486.19999999999993</v>
      </c>
      <c r="CV118" s="14">
        <f t="shared" si="95"/>
        <v>109.0490179035375</v>
      </c>
      <c r="CW118" s="22">
        <f t="shared" si="67"/>
        <v>1036.725372848661</v>
      </c>
      <c r="CX118" s="62">
        <f t="shared" si="68"/>
        <v>1317.8070783917583</v>
      </c>
      <c r="CY118" s="62">
        <f ca="1">AVERAGE(OFFSET($CX$3,0,0,'Données projet'!$E$13+1,1))-AVERAGE(OFFSET($H$3,0,0,'Données projet'!$E$13+1,1))</f>
        <v>582.26951914082088</v>
      </c>
      <c r="CZ118" s="62">
        <f t="shared" si="96"/>
        <v>434.80429932654715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31.680134049077864</v>
      </c>
      <c r="DG118" s="23">
        <f>EXP(-LN(2)/25)*DG117+(1-EXP(-LN(2)/25))/(LN(2)/25)*Calculateur!DB118*Calculateur!DD118*VLOOKUP('Données projet'!$B$13,Paramètres!$A$1:$I$88,3,0)*0.475*44/12</f>
        <v>23.675236924976545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55.355370974054409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498.99999999999955</v>
      </c>
      <c r="DP118" s="18">
        <f>DO118*VLOOKUP('Données projet'!$B$14,Paramètres!$A$1:$I$88,3,0)*VLOOKUP('Données projet'!$B$14,Paramètres!$A$1:$I$88,5,0)</f>
        <v>240.01899999999978</v>
      </c>
      <c r="DQ118" s="14">
        <f t="shared" si="97"/>
        <v>58.443618405936313</v>
      </c>
      <c r="DR118" s="22">
        <f t="shared" si="70"/>
        <v>519.82239372367201</v>
      </c>
      <c r="DS118" s="62">
        <f t="shared" si="71"/>
        <v>800.90409926676921</v>
      </c>
      <c r="DT118" s="62">
        <f ca="1">AVERAGE(OFFSET($DS$3,0,0,'Données projet'!$E$14+1,1))-AVERAGE(OFFSET($H$3,0,0,'Données projet'!$E$14+1,1))</f>
        <v>273.24375559399846</v>
      </c>
      <c r="DU118" s="62">
        <f t="shared" si="98"/>
        <v>270.77718895097848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projet'!$B$14,Paramètres!$A$1:$I$88,3,0)*0.475*44/12</f>
        <v>16.177612400186415</v>
      </c>
      <c r="EB118" s="23">
        <f>EXP(-LN(2)/25)*EB117+(1-EXP(-LN(2)/25))/(LN(2)/25)*Calculateur!DW118*Calculateur!DY118*VLOOKUP('Données projet'!$B$14,Paramètres!$A$1:$I$88,3,0)*0.475*44/12</f>
        <v>11.547202442319099</v>
      </c>
      <c r="EC118" s="23">
        <f>EXP(-LN(2)/2)*EC117+(1-EXP(-LN(2)/2))/(LN(2)/2)*DW118*DZ118*VLOOKUP('Données projet'!$B$14,Paramètres!$A$1:$I$88,3,0)*0.475*44/12</f>
        <v>0</v>
      </c>
      <c r="ED118" s="24">
        <f t="shared" si="72"/>
        <v>27.724814842505516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498.99999999999955</v>
      </c>
      <c r="EK118" s="18">
        <f>EJ118*VLOOKUP('Données projet'!$B$15,Paramètres!$A$1:$I$88,3,0)*VLOOKUP('Données projet'!$B$15,Paramètres!$A$1:$I$88,5,0)</f>
        <v>233.53199999999975</v>
      </c>
      <c r="EL118" s="14">
        <f t="shared" si="99"/>
        <v>57.04570382109803</v>
      </c>
      <c r="EM118" s="22">
        <f t="shared" si="73"/>
        <v>506.08950082174533</v>
      </c>
      <c r="EN118" s="62">
        <f t="shared" si="74"/>
        <v>787.17120636484265</v>
      </c>
      <c r="EO118" s="62">
        <f ca="1">AVERAGE(OFFSET($EN$3,0,0,'Données projet'!$E$15+1,1))-AVERAGE(OFFSET($H$3,0,0,'Données projet'!$E$15+1,1))</f>
        <v>267.26203506406682</v>
      </c>
      <c r="EP118" s="62">
        <f t="shared" si="100"/>
        <v>265.10857635664843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projet'!$B$15,Paramètres!$A$1:$I$88,3,0)*0.475*44/12</f>
        <v>15.7403796326138</v>
      </c>
      <c r="EW118" s="23">
        <f>EXP(-LN(2)/25)*EW117+(1-EXP(-LN(2)/25))/(LN(2)/25)*Calculateur!ER118*Calculateur!ET118*VLOOKUP('Données projet'!$B$15,Paramètres!$A$1:$I$88,3,0)*0.475*44/12</f>
        <v>11.235115889823986</v>
      </c>
      <c r="EX118" s="23">
        <f>EXP(-LN(2)/2)*EX117+(1-EXP(-LN(2)/2))/(LN(2)/2)*ER118*EU118*VLOOKUP('Données projet'!$B$15,Paramètres!$A$1:$I$88,3,0)*0.475*44/12</f>
        <v>0</v>
      </c>
      <c r="EY118" s="24">
        <f t="shared" si="75"/>
        <v>26.975495522437786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231</v>
      </c>
      <c r="FF118" s="18">
        <f>FE118*VLOOKUP('Données projet'!$B$16,Paramètres!$A$1:$I$88,3,0)*VLOOKUP('Données projet'!$B$16,Paramètres!$A$1:$I$88,5,0)</f>
        <v>169.36920000000001</v>
      </c>
      <c r="FG118" s="14">
        <f t="shared" si="101"/>
        <v>42.948714817158674</v>
      </c>
      <c r="FH118" s="22">
        <f t="shared" si="76"/>
        <v>369.787034973218</v>
      </c>
      <c r="FI118" s="62">
        <f t="shared" si="77"/>
        <v>650.86874051631526</v>
      </c>
      <c r="FJ118" s="62">
        <f ca="1">AVERAGE(OFFSET($FI$3,0,0,'Données projet'!$E$16+1,1))-AVERAGE(OFFSET($H$3,0,0,'Données projet'!$E$16+1,1))</f>
        <v>207.66160354686221</v>
      </c>
      <c r="FK118" s="62">
        <f t="shared" si="102"/>
        <v>260.45879589483525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projet'!$B$16,Paramètres!$A$1:$I$88,3,0)*0.475*44/12</f>
        <v>0.96162277062195844</v>
      </c>
      <c r="FR118" s="23">
        <f>EXP(-LN(2)/25)*FR117+(1-EXP(-LN(2)/25))/(LN(2)/25)*Calculateur!FM118*Calculateur!FO118*VLOOKUP('Données projet'!$B$16,Paramètres!$A$1:$I$88,3,0)*0.475*44/12</f>
        <v>0</v>
      </c>
      <c r="FS118" s="23">
        <f>EXP(-LN(2)/2)*FS117+(1-EXP(-LN(2)/2))/(LN(2)/2)*FM118*FP118*VLOOKUP('Données projet'!$B$16,Paramètres!$A$1:$I$88,3,0)*0.475*44/12</f>
        <v>0</v>
      </c>
      <c r="FT118" s="24">
        <f t="shared" si="78"/>
        <v>0.96162277062195844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projet'!$B$9,Paramètres!$A$1:$I$88,3,0)*VLOOKUP('Données projet'!$B$9,Paramètres!$A$1:$I$88,5,0)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378.13552372917843</v>
      </c>
      <c r="T119" s="62">
        <f t="shared" si="88"/>
        <v>528.97123645404952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72.755580618041932</v>
      </c>
      <c r="AA119" s="23">
        <f>EXP(-LN(2)/25)*AA118+(1-EXP(-LN(2)/25))/(LN(2)/25)*Calculateur!V119*Calculateur!X119*VLOOKUP('Données projet'!$B$9,Paramètres!$A$1:$I$88,3,0)*0.475*44/12</f>
        <v>23.212062837854702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95.967643455896635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4.8</v>
      </c>
      <c r="AI119" s="14">
        <f>IF('Données projet'!$A$62&gt;35,AI118+AH119-AQ118,IF(A119&lt;'Données projet'!$A$62,$AF$205^A119,IF(A119='Données projet'!$A$62,'Données projet'!$B$62,AI118+AH119-AQ118)))</f>
        <v>315.8000000000003</v>
      </c>
      <c r="AJ119" s="14">
        <f>AI119*VLOOKUP('Données projet'!$B$10,Paramètres!$A$1:$I$88,3,0)*VLOOKUP('Données projet'!$B$10,Paramètres!$A$1:$I$88,5,0)</f>
        <v>285.73584000000028</v>
      </c>
      <c r="AK119" s="14">
        <f t="shared" si="89"/>
        <v>68.17772249237477</v>
      </c>
      <c r="AL119" s="22">
        <f t="shared" si="58"/>
        <v>616.39945467421978</v>
      </c>
      <c r="AM119" s="62">
        <f t="shared" si="59"/>
        <v>897.69369856894127</v>
      </c>
      <c r="AN119" s="62">
        <f ca="1">AVERAGE(OFFSET($AM$3,0,0,'Données projet'!$E$10+1,1))-AVERAGE(OFFSET($H$3,0,0,'Données projet'!$E$10+1,1))</f>
        <v>536.3707066106856</v>
      </c>
      <c r="AO119" s="62">
        <f t="shared" si="90"/>
        <v>217.6280015974086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26.796629529206818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26.796629529206818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302.3</v>
      </c>
      <c r="BE119" s="14">
        <f>BD119*VLOOKUP('Données projet'!$B$11,Paramètres!$A$1:$I$88,3,0)*VLOOKUP('Données projet'!$B$11,Paramètres!$A$1:$I$88,5,0)</f>
        <v>180.77540000000005</v>
      </c>
      <c r="BF119" s="14">
        <f t="shared" si="91"/>
        <v>45.494655198846154</v>
      </c>
      <c r="BG119" s="22">
        <f t="shared" si="61"/>
        <v>394.08701280465715</v>
      </c>
      <c r="BH119" s="62">
        <f t="shared" si="62"/>
        <v>675.38125669937858</v>
      </c>
      <c r="BI119" s="62">
        <f ca="1">AVERAGE(OFFSET($BH$3,0,0,'Données projet'!$E$11+1,1))-AVERAGE(OFFSET($H$3,0,0,'Données projet'!$E$11+1,1))</f>
        <v>248.66193174773525</v>
      </c>
      <c r="BJ119" s="62">
        <f t="shared" si="92"/>
        <v>249.61655682981151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6.8425681611190585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1.5465069677105474E-8</v>
      </c>
      <c r="BS119" s="24">
        <f t="shared" si="63"/>
        <v>6.8425681765841286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860.00000000000023</v>
      </c>
      <c r="BZ119" s="14">
        <f>BY119*VLOOKUP('Données projet'!$B$12,Paramètres!$A$1:$I$88,3,0)*VLOOKUP('Données projet'!$B$12,Paramètres!$A$1:$I$88,5,0)</f>
        <v>346.5800000000001</v>
      </c>
      <c r="CA119" s="14">
        <f t="shared" si="93"/>
        <v>80.857895771535127</v>
      </c>
      <c r="CB119" s="22">
        <f t="shared" si="64"/>
        <v>744.45433513542378</v>
      </c>
      <c r="CC119" s="62">
        <f t="shared" si="65"/>
        <v>1025.7485790301453</v>
      </c>
      <c r="CD119" s="62">
        <f ca="1">AVERAGE(OFFSET($CC$3,0,0,'Données projet'!$E$12+1,1))-AVERAGE(OFFSET($H$3,0,0,'Données projet'!$E$12+1,1))</f>
        <v>432.59662347701629</v>
      </c>
      <c r="CE119" s="62">
        <f t="shared" si="94"/>
        <v>348.67401091099748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30.823457728686829</v>
      </c>
      <c r="CL119" s="23">
        <f>EXP(-LN(2)/25)*CL118+(1-EXP(-LN(2)/25))/(LN(2)/25)*Calculateur!CG119*Calculateur!CI119*VLOOKUP('Données projet'!$B$12,Paramètres!$A$1:$I$88,3,0)*0.475*44/12</f>
        <v>25.626980031609349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56.450437760296182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1099.9999999999998</v>
      </c>
      <c r="CU119" s="18">
        <f>CT119*VLOOKUP('Données projet'!$B$13,Paramètres!$A$1:$I$88,3,0)*VLOOKUP('Données projet'!$B$13,Paramètres!$A$1:$I$88,5,0)</f>
        <v>486.19999999999993</v>
      </c>
      <c r="CV119" s="14">
        <f t="shared" si="95"/>
        <v>109.0490179035375</v>
      </c>
      <c r="CW119" s="22">
        <f t="shared" si="67"/>
        <v>1036.725372848661</v>
      </c>
      <c r="CX119" s="62">
        <f t="shared" si="68"/>
        <v>1318.0196167433824</v>
      </c>
      <c r="CY119" s="62">
        <f ca="1">AVERAGE(OFFSET($CX$3,0,0,'Données projet'!$E$13+1,1))-AVERAGE(OFFSET($H$3,0,0,'Données projet'!$E$13+1,1))</f>
        <v>582.26951914082088</v>
      </c>
      <c r="CZ119" s="62">
        <f t="shared" si="96"/>
        <v>434.80429932654715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31.058905943349231</v>
      </c>
      <c r="DG119" s="23">
        <f>EXP(-LN(2)/25)*DG118+(1-EXP(-LN(2)/25))/(LN(2)/25)*Calculateur!DB119*Calculateur!DD119*VLOOKUP('Données projet'!$B$13,Paramètres!$A$1:$I$88,3,0)*0.475*44/12</f>
        <v>23.027836326236461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54.086742269585692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498.99999999999955</v>
      </c>
      <c r="DP119" s="18">
        <f>DO119*VLOOKUP('Données projet'!$B$14,Paramètres!$A$1:$I$88,3,0)*VLOOKUP('Données projet'!$B$14,Paramètres!$A$1:$I$88,5,0)</f>
        <v>240.01899999999978</v>
      </c>
      <c r="DQ119" s="14">
        <f t="shared" si="97"/>
        <v>58.443618405936313</v>
      </c>
      <c r="DR119" s="22">
        <f t="shared" si="70"/>
        <v>519.82239372367201</v>
      </c>
      <c r="DS119" s="62">
        <f t="shared" si="71"/>
        <v>801.1166376183935</v>
      </c>
      <c r="DT119" s="62">
        <f ca="1">AVERAGE(OFFSET($DS$3,0,0,'Données projet'!$E$14+1,1))-AVERAGE(OFFSET($H$3,0,0,'Données projet'!$E$14+1,1))</f>
        <v>273.24375559399846</v>
      </c>
      <c r="DU119" s="62">
        <f t="shared" si="98"/>
        <v>270.77718895097848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projet'!$B$14,Paramètres!$A$1:$I$88,3,0)*0.475*44/12</f>
        <v>15.860379288388001</v>
      </c>
      <c r="EB119" s="23">
        <f>EXP(-LN(2)/25)*EB118+(1-EXP(-LN(2)/25))/(LN(2)/25)*Calculateur!DW119*Calculateur!DY119*VLOOKUP('Données projet'!$B$14,Paramètres!$A$1:$I$88,3,0)*0.475*44/12</f>
        <v>11.231443584292899</v>
      </c>
      <c r="EC119" s="23">
        <f>EXP(-LN(2)/2)*EC118+(1-EXP(-LN(2)/2))/(LN(2)/2)*DW119*DZ119*VLOOKUP('Données projet'!$B$14,Paramètres!$A$1:$I$88,3,0)*0.475*44/12</f>
        <v>0</v>
      </c>
      <c r="ED119" s="24">
        <f t="shared" si="72"/>
        <v>27.091822872680901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498.99999999999955</v>
      </c>
      <c r="EK119" s="18">
        <f>EJ119*VLOOKUP('Données projet'!$B$15,Paramètres!$A$1:$I$88,3,0)*VLOOKUP('Données projet'!$B$15,Paramètres!$A$1:$I$88,5,0)</f>
        <v>233.53199999999975</v>
      </c>
      <c r="EL119" s="14">
        <f t="shared" si="99"/>
        <v>57.04570382109803</v>
      </c>
      <c r="EM119" s="22">
        <f t="shared" si="73"/>
        <v>506.08950082174533</v>
      </c>
      <c r="EN119" s="62">
        <f t="shared" si="74"/>
        <v>787.38374471646682</v>
      </c>
      <c r="EO119" s="62">
        <f ca="1">AVERAGE(OFFSET($EN$3,0,0,'Données projet'!$E$15+1,1))-AVERAGE(OFFSET($H$3,0,0,'Données projet'!$E$15+1,1))</f>
        <v>267.26203506406682</v>
      </c>
      <c r="EP119" s="62">
        <f t="shared" si="100"/>
        <v>265.10857635664843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projet'!$B$15,Paramètres!$A$1:$I$88,3,0)*0.475*44/12</f>
        <v>15.43172038870183</v>
      </c>
      <c r="EW119" s="23">
        <f>EXP(-LN(2)/25)*EW118+(1-EXP(-LN(2)/25))/(LN(2)/25)*Calculateur!ER119*Calculateur!ET119*VLOOKUP('Données projet'!$B$15,Paramètres!$A$1:$I$88,3,0)*0.475*44/12</f>
        <v>10.927891054987683</v>
      </c>
      <c r="EX119" s="23">
        <f>EXP(-LN(2)/2)*EX118+(1-EXP(-LN(2)/2))/(LN(2)/2)*ER119*EU119*VLOOKUP('Données projet'!$B$15,Paramètres!$A$1:$I$88,3,0)*0.475*44/12</f>
        <v>0</v>
      </c>
      <c r="EY119" s="24">
        <f t="shared" si="75"/>
        <v>26.359611443689513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231</v>
      </c>
      <c r="FF119" s="18">
        <f>FE119*VLOOKUP('Données projet'!$B$16,Paramètres!$A$1:$I$88,3,0)*VLOOKUP('Données projet'!$B$16,Paramètres!$A$1:$I$88,5,0)</f>
        <v>169.36920000000001</v>
      </c>
      <c r="FG119" s="14">
        <f t="shared" si="101"/>
        <v>42.948714817158674</v>
      </c>
      <c r="FH119" s="22">
        <f t="shared" si="76"/>
        <v>369.787034973218</v>
      </c>
      <c r="FI119" s="62">
        <f t="shared" si="77"/>
        <v>651.08127886793955</v>
      </c>
      <c r="FJ119" s="62">
        <f ca="1">AVERAGE(OFFSET($FI$3,0,0,'Données projet'!$E$16+1,1))-AVERAGE(OFFSET($H$3,0,0,'Données projet'!$E$16+1,1))</f>
        <v>207.66160354686221</v>
      </c>
      <c r="FK119" s="62">
        <f t="shared" si="102"/>
        <v>260.45879589483525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projet'!$B$16,Paramètres!$A$1:$I$88,3,0)*0.475*44/12</f>
        <v>0.94276593462203673</v>
      </c>
      <c r="FR119" s="23">
        <f>EXP(-LN(2)/25)*FR118+(1-EXP(-LN(2)/25))/(LN(2)/25)*Calculateur!FM119*Calculateur!FO119*VLOOKUP('Données projet'!$B$16,Paramètres!$A$1:$I$88,3,0)*0.475*44/12</f>
        <v>0</v>
      </c>
      <c r="FS119" s="23">
        <f>EXP(-LN(2)/2)*FS118+(1-EXP(-LN(2)/2))/(LN(2)/2)*FM119*FP119*VLOOKUP('Données projet'!$B$16,Paramètres!$A$1:$I$88,3,0)*0.475*44/12</f>
        <v>0</v>
      </c>
      <c r="FT119" s="24">
        <f t="shared" si="78"/>
        <v>0.94276593462203673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projet'!$B$9,Paramètres!$A$1:$I$88,3,0)*VLOOKUP('Données projet'!$B$9,Paramètres!$A$1:$I$88,5,0)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378.13552372917843</v>
      </c>
      <c r="T120" s="62">
        <f t="shared" si="88"/>
        <v>528.97123645404952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71.328888058644495</v>
      </c>
      <c r="AA120" s="23">
        <f>EXP(-LN(2)/25)*AA119+(1-EXP(-LN(2)/25))/(LN(2)/25)*Calculateur!V120*Calculateur!X120*VLOOKUP('Données projet'!$B$9,Paramètres!$A$1:$I$88,3,0)*0.475*44/12</f>
        <v>22.577327758884234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93.906215817528732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4.8</v>
      </c>
      <c r="AI120" s="14">
        <f>IF('Données projet'!$A$62&gt;35,AI119+AH120-AQ119,IF(A120&lt;'Données projet'!$A$62,$AF$205^A120,IF(A120='Données projet'!$A$62,'Données projet'!$B$62,AI119+AH120-AQ119)))</f>
        <v>320.60000000000031</v>
      </c>
      <c r="AJ120" s="14">
        <f>AI120*VLOOKUP('Données projet'!$B$10,Paramètres!$A$1:$I$88,3,0)*VLOOKUP('Données projet'!$B$10,Paramètres!$A$1:$I$88,5,0)</f>
        <v>290.07888000000031</v>
      </c>
      <c r="AK120" s="14">
        <f t="shared" si="89"/>
        <v>69.092562427360534</v>
      </c>
      <c r="AL120" s="22">
        <f t="shared" si="58"/>
        <v>625.55692889432009</v>
      </c>
      <c r="AM120" s="62">
        <f t="shared" si="59"/>
        <v>907.06002407542974</v>
      </c>
      <c r="AN120" s="62">
        <f ca="1">AVERAGE(OFFSET($AM$3,0,0,'Données projet'!$E$10+1,1))-AVERAGE(OFFSET($H$3,0,0,'Données projet'!$E$10+1,1))</f>
        <v>536.3707066106856</v>
      </c>
      <c r="AO120" s="62">
        <f t="shared" si="90"/>
        <v>217.6280015974086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26.271163968469217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26.271163968469217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302.3</v>
      </c>
      <c r="BE120" s="14">
        <f>BD120*VLOOKUP('Données projet'!$B$11,Paramètres!$A$1:$I$88,3,0)*VLOOKUP('Données projet'!$B$11,Paramètres!$A$1:$I$88,5,0)</f>
        <v>180.77540000000005</v>
      </c>
      <c r="BF120" s="14">
        <f t="shared" si="91"/>
        <v>45.494655198846154</v>
      </c>
      <c r="BG120" s="22">
        <f t="shared" si="61"/>
        <v>394.08701280465715</v>
      </c>
      <c r="BH120" s="62">
        <f t="shared" si="62"/>
        <v>675.59010798576674</v>
      </c>
      <c r="BI120" s="62">
        <f ca="1">AVERAGE(OFFSET($BH$3,0,0,'Données projet'!$E$11+1,1))-AVERAGE(OFFSET($H$3,0,0,'Données projet'!$E$11+1,1))</f>
        <v>248.66193174773525</v>
      </c>
      <c r="BJ120" s="62">
        <f t="shared" si="92"/>
        <v>249.61655682981151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6.7083895730339878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1.0935455640203732E-8</v>
      </c>
      <c r="BS120" s="24">
        <f t="shared" si="63"/>
        <v>6.708389583969443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860.00000000000023</v>
      </c>
      <c r="BZ120" s="14">
        <f>BY120*VLOOKUP('Données projet'!$B$12,Paramètres!$A$1:$I$88,3,0)*VLOOKUP('Données projet'!$B$12,Paramètres!$A$1:$I$88,5,0)</f>
        <v>346.5800000000001</v>
      </c>
      <c r="CA120" s="14">
        <f t="shared" si="93"/>
        <v>80.857895771535127</v>
      </c>
      <c r="CB120" s="22">
        <f t="shared" si="64"/>
        <v>744.45433513542378</v>
      </c>
      <c r="CC120" s="62">
        <f t="shared" si="65"/>
        <v>1025.9574303165334</v>
      </c>
      <c r="CD120" s="62">
        <f ca="1">AVERAGE(OFFSET($CC$3,0,0,'Données projet'!$E$12+1,1))-AVERAGE(OFFSET($H$3,0,0,'Données projet'!$E$12+1,1))</f>
        <v>432.59662347701629</v>
      </c>
      <c r="CE120" s="62">
        <f t="shared" si="94"/>
        <v>348.67401091099748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30.219028523080105</v>
      </c>
      <c r="CL120" s="23">
        <f>EXP(-LN(2)/25)*CL119+(1-EXP(-LN(2)/25))/(LN(2)/25)*Calculateur!CG120*Calculateur!CI120*VLOOKUP('Données projet'!$B$12,Paramètres!$A$1:$I$88,3,0)*0.475*44/12</f>
        <v>24.926208914980684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55.145237438060789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1099.9999999999998</v>
      </c>
      <c r="CU120" s="18">
        <f>CT120*VLOOKUP('Données projet'!$B$13,Paramètres!$A$1:$I$88,3,0)*VLOOKUP('Données projet'!$B$13,Paramètres!$A$1:$I$88,5,0)</f>
        <v>486.19999999999993</v>
      </c>
      <c r="CV120" s="14">
        <f t="shared" si="95"/>
        <v>109.0490179035375</v>
      </c>
      <c r="CW120" s="22">
        <f t="shared" si="67"/>
        <v>1036.725372848661</v>
      </c>
      <c r="CX120" s="62">
        <f t="shared" si="68"/>
        <v>1318.2284680297707</v>
      </c>
      <c r="CY120" s="62">
        <f ca="1">AVERAGE(OFFSET($CX$3,0,0,'Données projet'!$E$13+1,1))-AVERAGE(OFFSET($H$3,0,0,'Données projet'!$E$13+1,1))</f>
        <v>582.26951914082088</v>
      </c>
      <c r="CZ120" s="62">
        <f t="shared" si="96"/>
        <v>434.80429932654715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30.449859741862205</v>
      </c>
      <c r="DG120" s="23">
        <f>EXP(-LN(2)/25)*DG119+(1-EXP(-LN(2)/25))/(LN(2)/25)*Calculateur!DB120*Calculateur!DD120*VLOOKUP('Données projet'!$B$13,Paramètres!$A$1:$I$88,3,0)*0.475*44/12</f>
        <v>22.398138930914243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52.847998672776448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498.99999999999955</v>
      </c>
      <c r="DP120" s="18">
        <f>DO120*VLOOKUP('Données projet'!$B$14,Paramètres!$A$1:$I$88,3,0)*VLOOKUP('Données projet'!$B$14,Paramètres!$A$1:$I$88,5,0)</f>
        <v>240.01899999999978</v>
      </c>
      <c r="DQ120" s="14">
        <f t="shared" si="97"/>
        <v>58.443618405936313</v>
      </c>
      <c r="DR120" s="22">
        <f t="shared" si="70"/>
        <v>519.82239372367201</v>
      </c>
      <c r="DS120" s="62">
        <f t="shared" si="71"/>
        <v>801.32548890478165</v>
      </c>
      <c r="DT120" s="62">
        <f ca="1">AVERAGE(OFFSET($DS$3,0,0,'Données projet'!$E$14+1,1))-AVERAGE(OFFSET($H$3,0,0,'Données projet'!$E$14+1,1))</f>
        <v>273.24375559399846</v>
      </c>
      <c r="DU120" s="62">
        <f t="shared" si="98"/>
        <v>270.77718895097848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projet'!$B$14,Paramètres!$A$1:$I$88,3,0)*0.475*44/12</f>
        <v>15.549366924418862</v>
      </c>
      <c r="EB120" s="23">
        <f>EXP(-LN(2)/25)*EB119+(1-EXP(-LN(2)/25))/(LN(2)/25)*Calculateur!DW120*Calculateur!DY120*VLOOKUP('Données projet'!$B$14,Paramètres!$A$1:$I$88,3,0)*0.475*44/12</f>
        <v>10.924319168844461</v>
      </c>
      <c r="EC120" s="23">
        <f>EXP(-LN(2)/2)*EC119+(1-EXP(-LN(2)/2))/(LN(2)/2)*DW120*DZ120*VLOOKUP('Données projet'!$B$14,Paramètres!$A$1:$I$88,3,0)*0.475*44/12</f>
        <v>0</v>
      </c>
      <c r="ED120" s="24">
        <f t="shared" si="72"/>
        <v>26.473686093263325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498.99999999999955</v>
      </c>
      <c r="EK120" s="18">
        <f>EJ120*VLOOKUP('Données projet'!$B$15,Paramètres!$A$1:$I$88,3,0)*VLOOKUP('Données projet'!$B$15,Paramètres!$A$1:$I$88,5,0)</f>
        <v>233.53199999999975</v>
      </c>
      <c r="EL120" s="14">
        <f t="shared" si="99"/>
        <v>57.04570382109803</v>
      </c>
      <c r="EM120" s="22">
        <f t="shared" si="73"/>
        <v>506.08950082174533</v>
      </c>
      <c r="EN120" s="62">
        <f t="shared" si="74"/>
        <v>787.59259600285498</v>
      </c>
      <c r="EO120" s="62">
        <f ca="1">AVERAGE(OFFSET($EN$3,0,0,'Données projet'!$E$15+1,1))-AVERAGE(OFFSET($H$3,0,0,'Données projet'!$E$15+1,1))</f>
        <v>267.26203506406682</v>
      </c>
      <c r="EP120" s="62">
        <f t="shared" si="100"/>
        <v>265.10857635664843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projet'!$B$15,Paramètres!$A$1:$I$88,3,0)*0.475*44/12</f>
        <v>15.129113764299426</v>
      </c>
      <c r="EW120" s="23">
        <f>EXP(-LN(2)/25)*EW119+(1-EXP(-LN(2)/25))/(LN(2)/25)*Calculateur!ER120*Calculateur!ET120*VLOOKUP('Données projet'!$B$15,Paramètres!$A$1:$I$88,3,0)*0.475*44/12</f>
        <v>10.62906729941623</v>
      </c>
      <c r="EX120" s="23">
        <f>EXP(-LN(2)/2)*EX119+(1-EXP(-LN(2)/2))/(LN(2)/2)*ER120*EU120*VLOOKUP('Données projet'!$B$15,Paramètres!$A$1:$I$88,3,0)*0.475*44/12</f>
        <v>0</v>
      </c>
      <c r="EY120" s="24">
        <f t="shared" si="75"/>
        <v>25.758181063715654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231</v>
      </c>
      <c r="FF120" s="18">
        <f>FE120*VLOOKUP('Données projet'!$B$16,Paramètres!$A$1:$I$88,3,0)*VLOOKUP('Données projet'!$B$16,Paramètres!$A$1:$I$88,5,0)</f>
        <v>169.36920000000001</v>
      </c>
      <c r="FG120" s="14">
        <f t="shared" si="101"/>
        <v>42.948714817158674</v>
      </c>
      <c r="FH120" s="22">
        <f t="shared" si="76"/>
        <v>369.787034973218</v>
      </c>
      <c r="FI120" s="62">
        <f t="shared" si="77"/>
        <v>651.2901301543277</v>
      </c>
      <c r="FJ120" s="62">
        <f ca="1">AVERAGE(OFFSET($FI$3,0,0,'Données projet'!$E$16+1,1))-AVERAGE(OFFSET($H$3,0,0,'Données projet'!$E$16+1,1))</f>
        <v>207.66160354686221</v>
      </c>
      <c r="FK120" s="62">
        <f t="shared" si="102"/>
        <v>260.45879589483525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projet'!$B$16,Paramètres!$A$1:$I$88,3,0)*0.475*44/12</f>
        <v>0.92427886967453921</v>
      </c>
      <c r="FR120" s="23">
        <f>EXP(-LN(2)/25)*FR119+(1-EXP(-LN(2)/25))/(LN(2)/25)*Calculateur!FM120*Calculateur!FO120*VLOOKUP('Données projet'!$B$16,Paramètres!$A$1:$I$88,3,0)*0.475*44/12</f>
        <v>0</v>
      </c>
      <c r="FS120" s="23">
        <f>EXP(-LN(2)/2)*FS119+(1-EXP(-LN(2)/2))/(LN(2)/2)*FM120*FP120*VLOOKUP('Données projet'!$B$16,Paramètres!$A$1:$I$88,3,0)*0.475*44/12</f>
        <v>0</v>
      </c>
      <c r="FT120" s="24">
        <f t="shared" si="78"/>
        <v>0.92427886967453921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projet'!$B$9,Paramètres!$A$1:$I$88,3,0)*VLOOKUP('Données projet'!$B$9,Paramètres!$A$1:$I$88,5,0)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378.13552372917843</v>
      </c>
      <c r="T121" s="62">
        <f t="shared" si="88"/>
        <v>528.97123645404952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69.930172070140301</v>
      </c>
      <c r="AA121" s="23">
        <f>EXP(-LN(2)/25)*AA120+(1-EXP(-LN(2)/25))/(LN(2)/25)*Calculateur!V121*Calculateur!X121*VLOOKUP('Données projet'!$B$9,Paramètres!$A$1:$I$88,3,0)*0.475*44/12</f>
        <v>21.959949544027477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91.890121614167782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4.8</v>
      </c>
      <c r="AI121" s="14">
        <f>IF('Données projet'!$A$62&gt;35,AI120+AH121-AQ120,IF(A121&lt;'Données projet'!$A$62,$AF$205^A121,IF(A121='Données projet'!$A$62,'Données projet'!$B$62,AI120+AH121-AQ120)))</f>
        <v>325.40000000000032</v>
      </c>
      <c r="AJ121" s="14">
        <f>AI121*VLOOKUP('Données projet'!$B$10,Paramètres!$A$1:$I$88,3,0)*VLOOKUP('Données projet'!$B$10,Paramètres!$A$1:$I$88,5,0)</f>
        <v>294.42192000000028</v>
      </c>
      <c r="AK121" s="14">
        <f t="shared" si="89"/>
        <v>70.00580936667663</v>
      </c>
      <c r="AL121" s="22">
        <f t="shared" si="58"/>
        <v>634.71162864696225</v>
      </c>
      <c r="AM121" s="62">
        <f t="shared" si="59"/>
        <v>916.4199520115626</v>
      </c>
      <c r="AN121" s="62">
        <f ca="1">AVERAGE(OFFSET($AM$3,0,0,'Données projet'!$E$10+1,1))-AVERAGE(OFFSET($H$3,0,0,'Données projet'!$E$10+1,1))</f>
        <v>536.3707066106856</v>
      </c>
      <c r="AO121" s="62">
        <f t="shared" si="90"/>
        <v>217.6280015974086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25.756002466875334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25.756002466875334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302.3</v>
      </c>
      <c r="BE121" s="14">
        <f>BD121*VLOOKUP('Données projet'!$B$11,Paramètres!$A$1:$I$88,3,0)*VLOOKUP('Données projet'!$B$11,Paramètres!$A$1:$I$88,5,0)</f>
        <v>180.77540000000005</v>
      </c>
      <c r="BF121" s="14">
        <f t="shared" si="91"/>
        <v>45.494655198846154</v>
      </c>
      <c r="BG121" s="22">
        <f t="shared" si="61"/>
        <v>394.08701280465715</v>
      </c>
      <c r="BH121" s="62">
        <f t="shared" si="62"/>
        <v>675.79533616925755</v>
      </c>
      <c r="BI121" s="62">
        <f ca="1">AVERAGE(OFFSET($BH$3,0,0,'Données projet'!$E$11+1,1))-AVERAGE(OFFSET($H$3,0,0,'Données projet'!$E$11+1,1))</f>
        <v>248.66193174773525</v>
      </c>
      <c r="BJ121" s="62">
        <f t="shared" si="92"/>
        <v>249.61655682981151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6.5768421452204073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7.7325348385527371E-9</v>
      </c>
      <c r="BS121" s="24">
        <f t="shared" si="63"/>
        <v>6.5768421529529419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860.00000000000023</v>
      </c>
      <c r="BZ121" s="14">
        <f>BY121*VLOOKUP('Données projet'!$B$12,Paramètres!$A$1:$I$88,3,0)*VLOOKUP('Données projet'!$B$12,Paramètres!$A$1:$I$88,5,0)</f>
        <v>346.5800000000001</v>
      </c>
      <c r="CA121" s="14">
        <f t="shared" si="93"/>
        <v>80.857895771535127</v>
      </c>
      <c r="CB121" s="22">
        <f t="shared" si="64"/>
        <v>744.45433513542378</v>
      </c>
      <c r="CC121" s="62">
        <f t="shared" si="65"/>
        <v>1026.1626585000242</v>
      </c>
      <c r="CD121" s="62">
        <f ca="1">AVERAGE(OFFSET($CC$3,0,0,'Données projet'!$E$12+1,1))-AVERAGE(OFFSET($H$3,0,0,'Données projet'!$E$12+1,1))</f>
        <v>432.59662347701629</v>
      </c>
      <c r="CE121" s="62">
        <f t="shared" si="94"/>
        <v>348.67401091099748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29.626451805529914</v>
      </c>
      <c r="CL121" s="23">
        <f>EXP(-LN(2)/25)*CL120+(1-EXP(-LN(2)/25))/(LN(2)/25)*Calculateur!CG121*Calculateur!CI121*VLOOKUP('Données projet'!$B$12,Paramètres!$A$1:$I$88,3,0)*0.475*44/12</f>
        <v>24.244600421388181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53.871052226918096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1099.9999999999998</v>
      </c>
      <c r="CU121" s="18">
        <f>CT121*VLOOKUP('Données projet'!$B$13,Paramètres!$A$1:$I$88,3,0)*VLOOKUP('Données projet'!$B$13,Paramètres!$A$1:$I$88,5,0)</f>
        <v>486.19999999999993</v>
      </c>
      <c r="CV121" s="14">
        <f t="shared" si="95"/>
        <v>109.0490179035375</v>
      </c>
      <c r="CW121" s="22">
        <f t="shared" si="67"/>
        <v>1036.725372848661</v>
      </c>
      <c r="CX121" s="62">
        <f t="shared" si="68"/>
        <v>1318.4336962132613</v>
      </c>
      <c r="CY121" s="62">
        <f ca="1">AVERAGE(OFFSET($CX$3,0,0,'Données projet'!$E$13+1,1))-AVERAGE(OFFSET($H$3,0,0,'Données projet'!$E$13+1,1))</f>
        <v>582.26951914082088</v>
      </c>
      <c r="CZ121" s="62">
        <f t="shared" si="96"/>
        <v>434.80429932654715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29.852756564904841</v>
      </c>
      <c r="DG121" s="23">
        <f>EXP(-LN(2)/25)*DG120+(1-EXP(-LN(2)/25))/(LN(2)/25)*Calculateur!DB121*Calculateur!DD121*VLOOKUP('Données projet'!$B$13,Paramètres!$A$1:$I$88,3,0)*0.475*44/12</f>
        <v>21.785660643981458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51.638417208886295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498.99999999999955</v>
      </c>
      <c r="DP121" s="18">
        <f>DO121*VLOOKUP('Données projet'!$B$14,Paramètres!$A$1:$I$88,3,0)*VLOOKUP('Données projet'!$B$14,Paramètres!$A$1:$I$88,5,0)</f>
        <v>240.01899999999978</v>
      </c>
      <c r="DQ121" s="14">
        <f t="shared" si="97"/>
        <v>58.443618405936313</v>
      </c>
      <c r="DR121" s="22">
        <f t="shared" si="70"/>
        <v>519.82239372367201</v>
      </c>
      <c r="DS121" s="62">
        <f t="shared" si="71"/>
        <v>801.53071708827247</v>
      </c>
      <c r="DT121" s="62">
        <f ca="1">AVERAGE(OFFSET($DS$3,0,0,'Données projet'!$E$14+1,1))-AVERAGE(OFFSET($H$3,0,0,'Données projet'!$E$14+1,1))</f>
        <v>273.24375559399846</v>
      </c>
      <c r="DU121" s="62">
        <f t="shared" si="98"/>
        <v>270.77718895097848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projet'!$B$14,Paramètres!$A$1:$I$88,3,0)*0.475*44/12</f>
        <v>15.244453323208347</v>
      </c>
      <c r="EB121" s="23">
        <f>EXP(-LN(2)/25)*EB120+(1-EXP(-LN(2)/25))/(LN(2)/25)*Calculateur!DW121*Calculateur!DY121*VLOOKUP('Données projet'!$B$14,Paramètres!$A$1:$I$88,3,0)*0.475*44/12</f>
        <v>10.625593086687433</v>
      </c>
      <c r="EC121" s="23">
        <f>EXP(-LN(2)/2)*EC120+(1-EXP(-LN(2)/2))/(LN(2)/2)*DW121*DZ121*VLOOKUP('Données projet'!$B$14,Paramètres!$A$1:$I$88,3,0)*0.475*44/12</f>
        <v>0</v>
      </c>
      <c r="ED121" s="24">
        <f t="shared" si="72"/>
        <v>25.870046409895778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498.99999999999955</v>
      </c>
      <c r="EK121" s="18">
        <f>EJ121*VLOOKUP('Données projet'!$B$15,Paramètres!$A$1:$I$88,3,0)*VLOOKUP('Données projet'!$B$15,Paramètres!$A$1:$I$88,5,0)</f>
        <v>233.53199999999975</v>
      </c>
      <c r="EL121" s="14">
        <f t="shared" si="99"/>
        <v>57.04570382109803</v>
      </c>
      <c r="EM121" s="22">
        <f t="shared" si="73"/>
        <v>506.08950082174533</v>
      </c>
      <c r="EN121" s="62">
        <f t="shared" si="74"/>
        <v>787.79782418634568</v>
      </c>
      <c r="EO121" s="62">
        <f ca="1">AVERAGE(OFFSET($EN$3,0,0,'Données projet'!$E$15+1,1))-AVERAGE(OFFSET($H$3,0,0,'Données projet'!$E$15+1,1))</f>
        <v>267.26203506406682</v>
      </c>
      <c r="EP121" s="62">
        <f t="shared" si="100"/>
        <v>265.10857635664843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projet'!$B$15,Paramètres!$A$1:$I$88,3,0)*0.475*44/12</f>
        <v>14.832441071229736</v>
      </c>
      <c r="EW121" s="23">
        <f>EXP(-LN(2)/25)*EW120+(1-EXP(-LN(2)/25))/(LN(2)/25)*Calculateur!ER121*Calculateur!ET121*VLOOKUP('Données projet'!$B$15,Paramètres!$A$1:$I$88,3,0)*0.475*44/12</f>
        <v>10.338414895155337</v>
      </c>
      <c r="EX121" s="23">
        <f>EXP(-LN(2)/2)*EX120+(1-EXP(-LN(2)/2))/(LN(2)/2)*ER121*EU121*VLOOKUP('Données projet'!$B$15,Paramètres!$A$1:$I$88,3,0)*0.475*44/12</f>
        <v>0</v>
      </c>
      <c r="EY121" s="24">
        <f t="shared" si="75"/>
        <v>25.170855966385073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231</v>
      </c>
      <c r="FF121" s="18">
        <f>FE121*VLOOKUP('Données projet'!$B$16,Paramètres!$A$1:$I$88,3,0)*VLOOKUP('Données projet'!$B$16,Paramètres!$A$1:$I$88,5,0)</f>
        <v>169.36920000000001</v>
      </c>
      <c r="FG121" s="14">
        <f t="shared" si="101"/>
        <v>42.948714817158674</v>
      </c>
      <c r="FH121" s="22">
        <f t="shared" si="76"/>
        <v>369.787034973218</v>
      </c>
      <c r="FI121" s="62">
        <f t="shared" si="77"/>
        <v>651.4953583378184</v>
      </c>
      <c r="FJ121" s="62">
        <f ca="1">AVERAGE(OFFSET($FI$3,0,0,'Données projet'!$E$16+1,1))-AVERAGE(OFFSET($H$3,0,0,'Données projet'!$E$16+1,1))</f>
        <v>207.66160354686221</v>
      </c>
      <c r="FK121" s="62">
        <f t="shared" si="102"/>
        <v>260.45879589483525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projet'!$B$16,Paramètres!$A$1:$I$88,3,0)*0.475*44/12</f>
        <v>0.90615432479466584</v>
      </c>
      <c r="FR121" s="23">
        <f>EXP(-LN(2)/25)*FR120+(1-EXP(-LN(2)/25))/(LN(2)/25)*Calculateur!FM121*Calculateur!FO121*VLOOKUP('Données projet'!$B$16,Paramètres!$A$1:$I$88,3,0)*0.475*44/12</f>
        <v>0</v>
      </c>
      <c r="FS121" s="23">
        <f>EXP(-LN(2)/2)*FS120+(1-EXP(-LN(2)/2))/(LN(2)/2)*FM121*FP121*VLOOKUP('Données projet'!$B$16,Paramètres!$A$1:$I$88,3,0)*0.475*44/12</f>
        <v>0</v>
      </c>
      <c r="FT121" s="24">
        <f t="shared" si="78"/>
        <v>0.90615432479466584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projet'!$B$9,Paramètres!$A$1:$I$88,3,0)*VLOOKUP('Données projet'!$B$9,Paramètres!$A$1:$I$88,5,0)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378.13552372917843</v>
      </c>
      <c r="T122" s="62">
        <f t="shared" si="88"/>
        <v>528.97123645404952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68.558884049038156</v>
      </c>
      <c r="AA122" s="23">
        <f>EXP(-LN(2)/25)*AA121+(1-EXP(-LN(2)/25))/(LN(2)/25)*Calculateur!V122*Calculateur!X122*VLOOKUP('Données projet'!$B$9,Paramètres!$A$1:$I$88,3,0)*0.475*44/12</f>
        <v>21.35945356892249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89.918337617960646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4.8</v>
      </c>
      <c r="AI122" s="14">
        <f>IF('Données projet'!$A$62&gt;35,AI121+AH122-AQ121,IF(A122&lt;'Données projet'!$A$62,$AF$205^A122,IF(A122='Données projet'!$A$62,'Données projet'!$B$62,AI121+AH122-AQ121)))</f>
        <v>330.20000000000033</v>
      </c>
      <c r="AJ122" s="14">
        <f>AI122*VLOOKUP('Données projet'!$B$10,Paramètres!$A$1:$I$88,3,0)*VLOOKUP('Données projet'!$B$10,Paramètres!$A$1:$I$88,5,0)</f>
        <v>298.76496000000031</v>
      </c>
      <c r="AK122" s="14">
        <f t="shared" si="89"/>
        <v>70.917489523341317</v>
      </c>
      <c r="AL122" s="22">
        <f t="shared" si="58"/>
        <v>643.86359958648666</v>
      </c>
      <c r="AM122" s="62">
        <f t="shared" si="59"/>
        <v>925.77359088441585</v>
      </c>
      <c r="AN122" s="62">
        <f ca="1">AVERAGE(OFFSET($AM$3,0,0,'Données projet'!$E$10+1,1))-AVERAGE(OFFSET($H$3,0,0,'Données projet'!$E$10+1,1))</f>
        <v>536.3707066106856</v>
      </c>
      <c r="AO122" s="62">
        <f t="shared" si="90"/>
        <v>217.6280015974086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25.250942968110216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25.250942968110216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302.3</v>
      </c>
      <c r="BE122" s="14">
        <f>BD122*VLOOKUP('Données projet'!$B$11,Paramètres!$A$1:$I$88,3,0)*VLOOKUP('Données projet'!$B$11,Paramètres!$A$1:$I$88,5,0)</f>
        <v>180.77540000000005</v>
      </c>
      <c r="BF122" s="14">
        <f t="shared" si="91"/>
        <v>45.494655198846154</v>
      </c>
      <c r="BG122" s="22">
        <f t="shared" si="61"/>
        <v>394.08701280465715</v>
      </c>
      <c r="BH122" s="62">
        <f t="shared" si="62"/>
        <v>675.99700410258629</v>
      </c>
      <c r="BI122" s="62">
        <f ca="1">AVERAGE(OFFSET($BH$3,0,0,'Données projet'!$E$11+1,1))-AVERAGE(OFFSET($H$3,0,0,'Données projet'!$E$11+1,1))</f>
        <v>248.66193174773525</v>
      </c>
      <c r="BJ122" s="62">
        <f t="shared" si="92"/>
        <v>249.61655682981151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6.4478742822302433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5.467727820101866E-9</v>
      </c>
      <c r="BS122" s="24">
        <f t="shared" si="63"/>
        <v>6.4478742876979709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860.00000000000023</v>
      </c>
      <c r="BZ122" s="14">
        <f>BY122*VLOOKUP('Données projet'!$B$12,Paramètres!$A$1:$I$88,3,0)*VLOOKUP('Données projet'!$B$12,Paramètres!$A$1:$I$88,5,0)</f>
        <v>346.5800000000001</v>
      </c>
      <c r="CA122" s="14">
        <f t="shared" si="93"/>
        <v>80.857895771535127</v>
      </c>
      <c r="CB122" s="22">
        <f t="shared" si="64"/>
        <v>744.45433513542378</v>
      </c>
      <c r="CC122" s="62">
        <f t="shared" si="65"/>
        <v>1026.364326433353</v>
      </c>
      <c r="CD122" s="62">
        <f ca="1">AVERAGE(OFFSET($CC$3,0,0,'Données projet'!$E$12+1,1))-AVERAGE(OFFSET($H$3,0,0,'Données projet'!$E$12+1,1))</f>
        <v>432.59662347701629</v>
      </c>
      <c r="CE122" s="62">
        <f t="shared" si="94"/>
        <v>348.67401091099748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29.045495155974773</v>
      </c>
      <c r="CL122" s="23">
        <f>EXP(-LN(2)/25)*CL121+(1-EXP(-LN(2)/25))/(LN(2)/25)*Calculateur!CG122*Calculateur!CI122*VLOOKUP('Données projet'!$B$12,Paramètres!$A$1:$I$88,3,0)*0.475*44/12</f>
        <v>23.581630547897198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52.627125703871968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1099.9999999999998</v>
      </c>
      <c r="CU122" s="18">
        <f>CT122*VLOOKUP('Données projet'!$B$13,Paramètres!$A$1:$I$88,3,0)*VLOOKUP('Données projet'!$B$13,Paramètres!$A$1:$I$88,5,0)</f>
        <v>486.19999999999993</v>
      </c>
      <c r="CV122" s="14">
        <f t="shared" si="95"/>
        <v>109.0490179035375</v>
      </c>
      <c r="CW122" s="22">
        <f t="shared" si="67"/>
        <v>1036.725372848661</v>
      </c>
      <c r="CX122" s="62">
        <f t="shared" si="68"/>
        <v>1318.6353641465901</v>
      </c>
      <c r="CY122" s="62">
        <f ca="1">AVERAGE(OFFSET($CX$3,0,0,'Données projet'!$E$13+1,1))-AVERAGE(OFFSET($H$3,0,0,'Données projet'!$E$13+1,1))</f>
        <v>582.26951914082088</v>
      </c>
      <c r="CZ122" s="62">
        <f t="shared" si="96"/>
        <v>434.80429932654715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29.267362217050632</v>
      </c>
      <c r="DG122" s="23">
        <f>EXP(-LN(2)/25)*DG121+(1-EXP(-LN(2)/25))/(LN(2)/25)*Calculateur!DB122*Calculateur!DD122*VLOOKUP('Données projet'!$B$13,Paramètres!$A$1:$I$88,3,0)*0.475*44/12</f>
        <v>21.189930608013682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50.457292825064314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498.99999999999955</v>
      </c>
      <c r="DP122" s="18">
        <f>DO122*VLOOKUP('Données projet'!$B$14,Paramètres!$A$1:$I$88,3,0)*VLOOKUP('Données projet'!$B$14,Paramètres!$A$1:$I$88,5,0)</f>
        <v>240.01899999999978</v>
      </c>
      <c r="DQ122" s="14">
        <f t="shared" si="97"/>
        <v>58.443618405936313</v>
      </c>
      <c r="DR122" s="22">
        <f t="shared" si="70"/>
        <v>519.82239372367201</v>
      </c>
      <c r="DS122" s="62">
        <f t="shared" si="71"/>
        <v>801.7323850216012</v>
      </c>
      <c r="DT122" s="62">
        <f ca="1">AVERAGE(OFFSET($DS$3,0,0,'Données projet'!$E$14+1,1))-AVERAGE(OFFSET($H$3,0,0,'Données projet'!$E$14+1,1))</f>
        <v>273.24375559399846</v>
      </c>
      <c r="DU122" s="62">
        <f t="shared" si="98"/>
        <v>270.77718895097848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projet'!$B$14,Paramètres!$A$1:$I$88,3,0)*0.475*44/12</f>
        <v>14.945518891738638</v>
      </c>
      <c r="EB122" s="23">
        <f>EXP(-LN(2)/25)*EB121+(1-EXP(-LN(2)/25))/(LN(2)/25)*Calculateur!DW122*Calculateur!DY122*VLOOKUP('Données projet'!$B$14,Paramètres!$A$1:$I$88,3,0)*0.475*44/12</f>
        <v>10.33503568495631</v>
      </c>
      <c r="EC122" s="23">
        <f>EXP(-LN(2)/2)*EC121+(1-EXP(-LN(2)/2))/(LN(2)/2)*DW122*DZ122*VLOOKUP('Données projet'!$B$14,Paramètres!$A$1:$I$88,3,0)*0.475*44/12</f>
        <v>0</v>
      </c>
      <c r="ED122" s="24">
        <f t="shared" si="72"/>
        <v>25.280554576694946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498.99999999999955</v>
      </c>
      <c r="EK122" s="18">
        <f>EJ122*VLOOKUP('Données projet'!$B$15,Paramètres!$A$1:$I$88,3,0)*VLOOKUP('Données projet'!$B$15,Paramètres!$A$1:$I$88,5,0)</f>
        <v>233.53199999999975</v>
      </c>
      <c r="EL122" s="14">
        <f t="shared" si="99"/>
        <v>57.04570382109803</v>
      </c>
      <c r="EM122" s="22">
        <f t="shared" si="73"/>
        <v>506.08950082174533</v>
      </c>
      <c r="EN122" s="62">
        <f t="shared" si="74"/>
        <v>787.99949211967441</v>
      </c>
      <c r="EO122" s="62">
        <f ca="1">AVERAGE(OFFSET($EN$3,0,0,'Données projet'!$E$15+1,1))-AVERAGE(OFFSET($H$3,0,0,'Données projet'!$E$15+1,1))</f>
        <v>267.26203506406682</v>
      </c>
      <c r="EP122" s="62">
        <f t="shared" si="100"/>
        <v>265.10857635664843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projet'!$B$15,Paramètres!$A$1:$I$88,3,0)*0.475*44/12</f>
        <v>14.541585948718668</v>
      </c>
      <c r="EW122" s="23">
        <f>EXP(-LN(2)/25)*EW121+(1-EXP(-LN(2)/25))/(LN(2)/25)*Calculateur!ER122*Calculateur!ET122*VLOOKUP('Données projet'!$B$15,Paramètres!$A$1:$I$88,3,0)*0.475*44/12</f>
        <v>10.055710396173703</v>
      </c>
      <c r="EX122" s="23">
        <f>EXP(-LN(2)/2)*EX121+(1-EXP(-LN(2)/2))/(LN(2)/2)*ER122*EU122*VLOOKUP('Données projet'!$B$15,Paramètres!$A$1:$I$88,3,0)*0.475*44/12</f>
        <v>0</v>
      </c>
      <c r="EY122" s="24">
        <f t="shared" si="75"/>
        <v>24.597296344892371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231</v>
      </c>
      <c r="FF122" s="18">
        <f>FE122*VLOOKUP('Données projet'!$B$16,Paramètres!$A$1:$I$88,3,0)*VLOOKUP('Données projet'!$B$16,Paramètres!$A$1:$I$88,5,0)</f>
        <v>169.36920000000001</v>
      </c>
      <c r="FG122" s="14">
        <f t="shared" si="101"/>
        <v>42.948714817158674</v>
      </c>
      <c r="FH122" s="22">
        <f t="shared" si="76"/>
        <v>369.787034973218</v>
      </c>
      <c r="FI122" s="62">
        <f t="shared" si="77"/>
        <v>651.69702627114714</v>
      </c>
      <c r="FJ122" s="62">
        <f ca="1">AVERAGE(OFFSET($FI$3,0,0,'Données projet'!$E$16+1,1))-AVERAGE(OFFSET($H$3,0,0,'Données projet'!$E$16+1,1))</f>
        <v>207.66160354686221</v>
      </c>
      <c r="FK122" s="62">
        <f t="shared" si="102"/>
        <v>260.45879589483525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projet'!$B$16,Paramètres!$A$1:$I$88,3,0)*0.475*44/12</f>
        <v>0.88838519118500603</v>
      </c>
      <c r="FR122" s="23">
        <f>EXP(-LN(2)/25)*FR121+(1-EXP(-LN(2)/25))/(LN(2)/25)*Calculateur!FM122*Calculateur!FO122*VLOOKUP('Données projet'!$B$16,Paramètres!$A$1:$I$88,3,0)*0.475*44/12</f>
        <v>0</v>
      </c>
      <c r="FS122" s="23">
        <f>EXP(-LN(2)/2)*FS121+(1-EXP(-LN(2)/2))/(LN(2)/2)*FM122*FP122*VLOOKUP('Données projet'!$B$16,Paramètres!$A$1:$I$88,3,0)*0.475*44/12</f>
        <v>0</v>
      </c>
      <c r="FT122" s="24">
        <f t="shared" si="78"/>
        <v>0.88838519118500603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projet'!$B$9,Paramètres!$A$1:$I$88,3,0)*VLOOKUP('Données projet'!$B$9,Paramètres!$A$1:$I$88,5,0)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378.13552372917843</v>
      </c>
      <c r="T123" s="62">
        <f t="shared" si="88"/>
        <v>528.97123645404952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67.214486149626723</v>
      </c>
      <c r="AA123" s="23">
        <f>EXP(-LN(2)/25)*AA122+(1-EXP(-LN(2)/25))/(LN(2)/25)*Calculateur!V123*Calculateur!X123*VLOOKUP('Données projet'!$B$9,Paramètres!$A$1:$I$88,3,0)*0.475*44/12</f>
        <v>20.775378187835457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87.98986433746218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335</v>
      </c>
      <c r="AG123" s="13">
        <f>VLOOKUP(A123,'Données projet'!$A$61:$I$81,9,0)</f>
        <v>4.8</v>
      </c>
      <c r="AH123" s="13">
        <f t="array" ref="AH123">INDEX(AG:AG,MIN(IF(ISNUMBER(AG123:AG319),ROW(AG123:AG319),"")))</f>
        <v>4.8</v>
      </c>
      <c r="AI123" s="14">
        <f>IF('Données projet'!$A$62&gt;35,AI122+AH123-AQ122,IF(A123&lt;'Données projet'!$A$62,$AF$205^A123,IF(A123='Données projet'!$A$62,'Données projet'!$B$62,AI122+AH123-AQ122)))</f>
        <v>335.00000000000034</v>
      </c>
      <c r="AJ123" s="14">
        <f>AI123*VLOOKUP('Données projet'!$B$10,Paramètres!$A$1:$I$88,3,0)*VLOOKUP('Données projet'!$B$10,Paramètres!$A$1:$I$88,5,0)</f>
        <v>303.10800000000029</v>
      </c>
      <c r="AK123" s="14">
        <f t="shared" si="89"/>
        <v>71.827628304517233</v>
      </c>
      <c r="AL123" s="22">
        <f t="shared" si="58"/>
        <v>653.01288596370136</v>
      </c>
      <c r="AM123" s="62">
        <f t="shared" si="59"/>
        <v>935.12104670717804</v>
      </c>
      <c r="AN123" s="62">
        <f ca="1">AVERAGE(OFFSET($AM$3,0,0,'Données projet'!$E$10+1,1))-AVERAGE(OFFSET($H$3,0,0,'Données projet'!$E$10+1,1))</f>
        <v>536.3707066106856</v>
      </c>
      <c r="AO123" s="62">
        <f t="shared" si="90"/>
        <v>217.6280015974086</v>
      </c>
      <c r="AP123" s="16">
        <f>IF(ISNA(VLOOKUP(A123,'Données projet'!$A$61:$I$81,3,0)),0,VLOOKUP(A123,'Données projet'!$A$61:$I$81,3,0))</f>
        <v>14</v>
      </c>
      <c r="AQ123" s="16">
        <f>IF(ISNA(VLOOKUP(A123,'Données projet'!$A$61:$I$81,4,0)),0,VLOOKUP(A123,'Données projet'!$A$61:$I$81,4,0))</f>
        <v>43</v>
      </c>
      <c r="AR123" s="17">
        <f>IF(ISNA(VLOOKUP(A123,'Données projet'!$A$61:$I$81,5,0)),0%,VLOOKUP(A123,'Données projet'!$A$61:$I$81,5,0)*VLOOKUP('Données projet'!$B$10,Paramètres!$A$1:$I$88,7,0))</f>
        <v>0.23650000000000002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34.927622289172682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34.927622289172682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302.3</v>
      </c>
      <c r="BE123" s="14">
        <f>BD123*VLOOKUP('Données projet'!$B$11,Paramètres!$A$1:$I$88,3,0)*VLOOKUP('Données projet'!$B$11,Paramètres!$A$1:$I$88,5,0)</f>
        <v>180.77540000000005</v>
      </c>
      <c r="BF123" s="14">
        <f t="shared" si="91"/>
        <v>45.494655198846154</v>
      </c>
      <c r="BG123" s="22">
        <f t="shared" si="61"/>
        <v>394.08701280465715</v>
      </c>
      <c r="BH123" s="62">
        <f t="shared" si="62"/>
        <v>676.19517354813377</v>
      </c>
      <c r="BI123" s="62">
        <f ca="1">AVERAGE(OFFSET($BH$3,0,0,'Données projet'!$E$11+1,1))-AVERAGE(OFFSET($H$3,0,0,'Données projet'!$E$11+1,1))</f>
        <v>248.66193174773525</v>
      </c>
      <c r="BJ123" s="62">
        <f t="shared" si="92"/>
        <v>249.61655682981151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6.321435400370687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3.8662674192763686E-9</v>
      </c>
      <c r="BS123" s="24">
        <f t="shared" si="63"/>
        <v>6.3214354042369543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860.00000000000023</v>
      </c>
      <c r="BZ123" s="14">
        <f>BY123*VLOOKUP('Données projet'!$B$12,Paramètres!$A$1:$I$88,3,0)*VLOOKUP('Données projet'!$B$12,Paramètres!$A$1:$I$88,5,0)</f>
        <v>346.5800000000001</v>
      </c>
      <c r="CA123" s="14">
        <f t="shared" si="93"/>
        <v>80.857895771535127</v>
      </c>
      <c r="CB123" s="22">
        <f t="shared" si="64"/>
        <v>744.45433513542378</v>
      </c>
      <c r="CC123" s="62">
        <f t="shared" si="65"/>
        <v>1026.5624958789003</v>
      </c>
      <c r="CD123" s="62">
        <f ca="1">AVERAGE(OFFSET($CC$3,0,0,'Données projet'!$E$12+1,1))-AVERAGE(OFFSET($H$3,0,0,'Données projet'!$E$12+1,1))</f>
        <v>432.59662347701629</v>
      </c>
      <c r="CE123" s="62">
        <f t="shared" si="94"/>
        <v>348.67401091099748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28.475930711968843</v>
      </c>
      <c r="CL123" s="23">
        <f>EXP(-LN(2)/25)*CL122+(1-EXP(-LN(2)/25))/(LN(2)/25)*Calculateur!CG123*Calculateur!CI123*VLOOKUP('Données projet'!$B$12,Paramètres!$A$1:$I$88,3,0)*0.475*44/12</f>
        <v>22.936789620460896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51.412720332429743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1099.9999999999998</v>
      </c>
      <c r="CU123" s="18">
        <f>CT123*VLOOKUP('Données projet'!$B$13,Paramètres!$A$1:$I$88,3,0)*VLOOKUP('Données projet'!$B$13,Paramètres!$A$1:$I$88,5,0)</f>
        <v>486.19999999999993</v>
      </c>
      <c r="CV123" s="14">
        <f t="shared" si="95"/>
        <v>109.0490179035375</v>
      </c>
      <c r="CW123" s="22">
        <f t="shared" si="67"/>
        <v>1036.725372848661</v>
      </c>
      <c r="CX123" s="62">
        <f t="shared" si="68"/>
        <v>1318.8335335921377</v>
      </c>
      <c r="CY123" s="62">
        <f ca="1">AVERAGE(OFFSET($CX$3,0,0,'Données projet'!$E$13+1,1))-AVERAGE(OFFSET($H$3,0,0,'Données projet'!$E$13+1,1))</f>
        <v>582.26951914082088</v>
      </c>
      <c r="CZ123" s="62">
        <f t="shared" si="96"/>
        <v>434.80429932654715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28.693447095302549</v>
      </c>
      <c r="DG123" s="23">
        <f>EXP(-LN(2)/25)*DG122+(1-EXP(-LN(2)/25))/(LN(2)/25)*Calculateur!DB123*Calculateur!DD123*VLOOKUP('Données projet'!$B$13,Paramètres!$A$1:$I$88,3,0)*0.475*44/12</f>
        <v>20.610490841207529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49.303937936510081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498.99999999999955</v>
      </c>
      <c r="DP123" s="18">
        <f>DO123*VLOOKUP('Données projet'!$B$14,Paramètres!$A$1:$I$88,3,0)*VLOOKUP('Données projet'!$B$14,Paramètres!$A$1:$I$88,5,0)</f>
        <v>240.01899999999978</v>
      </c>
      <c r="DQ123" s="14">
        <f t="shared" si="97"/>
        <v>58.443618405936313</v>
      </c>
      <c r="DR123" s="22">
        <f t="shared" si="70"/>
        <v>519.82239372367201</v>
      </c>
      <c r="DS123" s="62">
        <f t="shared" si="71"/>
        <v>801.93055446714857</v>
      </c>
      <c r="DT123" s="62">
        <f ca="1">AVERAGE(OFFSET($DS$3,0,0,'Données projet'!$E$14+1,1))-AVERAGE(OFFSET($H$3,0,0,'Données projet'!$E$14+1,1))</f>
        <v>273.24375559399846</v>
      </c>
      <c r="DU123" s="62">
        <f t="shared" si="98"/>
        <v>270.77718895097848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projet'!$B$14,Paramètres!$A$1:$I$88,3,0)*0.475*44/12</f>
        <v>14.65244638213805</v>
      </c>
      <c r="EB123" s="23">
        <f>EXP(-LN(2)/25)*EB122+(1-EXP(-LN(2)/25))/(LN(2)/25)*Calculateur!DW123*Calculateur!DY123*VLOOKUP('Données projet'!$B$14,Paramètres!$A$1:$I$88,3,0)*0.475*44/12</f>
        <v>10.052423590655273</v>
      </c>
      <c r="EC123" s="23">
        <f>EXP(-LN(2)/2)*EC122+(1-EXP(-LN(2)/2))/(LN(2)/2)*DW123*DZ123*VLOOKUP('Données projet'!$B$14,Paramètres!$A$1:$I$88,3,0)*0.475*44/12</f>
        <v>0</v>
      </c>
      <c r="ED123" s="24">
        <f t="shared" si="72"/>
        <v>24.704869972793325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498.99999999999955</v>
      </c>
      <c r="EK123" s="18">
        <f>EJ123*VLOOKUP('Données projet'!$B$15,Paramètres!$A$1:$I$88,3,0)*VLOOKUP('Données projet'!$B$15,Paramètres!$A$1:$I$88,5,0)</f>
        <v>233.53199999999975</v>
      </c>
      <c r="EL123" s="14">
        <f t="shared" si="99"/>
        <v>57.04570382109803</v>
      </c>
      <c r="EM123" s="22">
        <f t="shared" si="73"/>
        <v>506.08950082174533</v>
      </c>
      <c r="EN123" s="62">
        <f t="shared" si="74"/>
        <v>788.19766156522201</v>
      </c>
      <c r="EO123" s="62">
        <f ca="1">AVERAGE(OFFSET($EN$3,0,0,'Données projet'!$E$15+1,1))-AVERAGE(OFFSET($H$3,0,0,'Données projet'!$E$15+1,1))</f>
        <v>267.26203506406682</v>
      </c>
      <c r="EP123" s="62">
        <f t="shared" si="100"/>
        <v>265.10857635664843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projet'!$B$15,Paramètres!$A$1:$I$88,3,0)*0.475*44/12</f>
        <v>14.256434317755934</v>
      </c>
      <c r="EW123" s="23">
        <f>EXP(-LN(2)/25)*EW122+(1-EXP(-LN(2)/25))/(LN(2)/25)*Calculateur!ER123*Calculateur!ET123*VLOOKUP('Données projet'!$B$15,Paramètres!$A$1:$I$88,3,0)*0.475*44/12</f>
        <v>9.7807364665835053</v>
      </c>
      <c r="EX123" s="23">
        <f>EXP(-LN(2)/2)*EX122+(1-EXP(-LN(2)/2))/(LN(2)/2)*ER123*EU123*VLOOKUP('Données projet'!$B$15,Paramètres!$A$1:$I$88,3,0)*0.475*44/12</f>
        <v>0</v>
      </c>
      <c r="EY123" s="24">
        <f t="shared" si="75"/>
        <v>24.037170784339438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231</v>
      </c>
      <c r="FF123" s="18">
        <f>FE123*VLOOKUP('Données projet'!$B$16,Paramètres!$A$1:$I$88,3,0)*VLOOKUP('Données projet'!$B$16,Paramètres!$A$1:$I$88,5,0)</f>
        <v>169.36920000000001</v>
      </c>
      <c r="FG123" s="14">
        <f t="shared" si="101"/>
        <v>42.948714817158674</v>
      </c>
      <c r="FH123" s="22">
        <f t="shared" si="76"/>
        <v>369.787034973218</v>
      </c>
      <c r="FI123" s="62">
        <f t="shared" si="77"/>
        <v>651.89519571669462</v>
      </c>
      <c r="FJ123" s="62">
        <f ca="1">AVERAGE(OFFSET($FI$3,0,0,'Données projet'!$E$16+1,1))-AVERAGE(OFFSET($H$3,0,0,'Données projet'!$E$16+1,1))</f>
        <v>207.66160354686221</v>
      </c>
      <c r="FK123" s="62">
        <f t="shared" si="102"/>
        <v>260.45879589483525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projet'!$B$16,Paramètres!$A$1:$I$88,3,0)*0.475*44/12</f>
        <v>0.87096449944733034</v>
      </c>
      <c r="FR123" s="23">
        <f>EXP(-LN(2)/25)*FR122+(1-EXP(-LN(2)/25))/(LN(2)/25)*Calculateur!FM123*Calculateur!FO123*VLOOKUP('Données projet'!$B$16,Paramètres!$A$1:$I$88,3,0)*0.475*44/12</f>
        <v>0</v>
      </c>
      <c r="FS123" s="23">
        <f>EXP(-LN(2)/2)*FS122+(1-EXP(-LN(2)/2))/(LN(2)/2)*FM123*FP123*VLOOKUP('Données projet'!$B$16,Paramètres!$A$1:$I$88,3,0)*0.475*44/12</f>
        <v>0</v>
      </c>
      <c r="FT123" s="24">
        <f t="shared" si="78"/>
        <v>0.87096449944733034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projet'!$B$9,Paramètres!$A$1:$I$88,3,0)*VLOOKUP('Données projet'!$B$9,Paramètres!$A$1:$I$88,5,0)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378.13552372917843</v>
      </c>
      <c r="T124" s="62">
        <f t="shared" si="88"/>
        <v>528.97123645404952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65.896451073020998</v>
      </c>
      <c r="AA124" s="23">
        <f>EXP(-LN(2)/25)*AA123+(1-EXP(-LN(2)/25))/(LN(2)/25)*Calculateur!V124*Calculateur!X124*VLOOKUP('Données projet'!$B$9,Paramètres!$A$1:$I$88,3,0)*0.475*44/12</f>
        <v>20.20727437875944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86.103725451780434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8.3000000000000007</v>
      </c>
      <c r="AI124" s="14">
        <f>IF('Données projet'!$A$62&gt;35,AI123+AH124-AQ123,IF(A124&lt;'Données projet'!$A$62,$AF$205^A124,IF(A124='Données projet'!$A$62,'Données projet'!$B$62,AI123+AH124-AQ123)))</f>
        <v>300.30000000000035</v>
      </c>
      <c r="AJ124" s="14">
        <f>AI124*VLOOKUP('Données projet'!$B$10,Paramètres!$A$1:$I$88,3,0)*VLOOKUP('Données projet'!$B$10,Paramètres!$A$1:$I$88,5,0)</f>
        <v>271.71144000000032</v>
      </c>
      <c r="AK124" s="14">
        <f t="shared" si="89"/>
        <v>65.212346372467437</v>
      </c>
      <c r="AL124" s="22">
        <f t="shared" si="58"/>
        <v>586.80892793204794</v>
      </c>
      <c r="AM124" s="62">
        <f t="shared" si="59"/>
        <v>869.11182032423233</v>
      </c>
      <c r="AN124" s="62">
        <f ca="1">AVERAGE(OFFSET($AM$3,0,0,'Données projet'!$E$10+1,1))-AVERAGE(OFFSET($H$3,0,0,'Données projet'!$E$10+1,1))</f>
        <v>536.3707066106856</v>
      </c>
      <c r="AO124" s="62">
        <f t="shared" si="90"/>
        <v>217.6280015974086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34.24271291982803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34.24271291982803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302.3</v>
      </c>
      <c r="BE124" s="14">
        <f>BD124*VLOOKUP('Données projet'!$B$11,Paramètres!$A$1:$I$88,3,0)*VLOOKUP('Données projet'!$B$11,Paramètres!$A$1:$I$88,5,0)</f>
        <v>180.77540000000005</v>
      </c>
      <c r="BF124" s="14">
        <f t="shared" si="91"/>
        <v>45.494655198846154</v>
      </c>
      <c r="BG124" s="22">
        <f t="shared" si="61"/>
        <v>394.08701280465715</v>
      </c>
      <c r="BH124" s="62">
        <f t="shared" si="62"/>
        <v>676.38990519684148</v>
      </c>
      <c r="BI124" s="62">
        <f ca="1">AVERAGE(OFFSET($BH$3,0,0,'Données projet'!$E$11+1,1))-AVERAGE(OFFSET($H$3,0,0,'Données projet'!$E$11+1,1))</f>
        <v>248.66193174773525</v>
      </c>
      <c r="BJ124" s="62">
        <f t="shared" si="92"/>
        <v>249.61655682981151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6.1974759078642938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2.733863910050933E-9</v>
      </c>
      <c r="BS124" s="24">
        <f t="shared" si="63"/>
        <v>6.1974759105981576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860.00000000000023</v>
      </c>
      <c r="BZ124" s="14">
        <f>BY124*VLOOKUP('Données projet'!$B$12,Paramètres!$A$1:$I$88,3,0)*VLOOKUP('Données projet'!$B$12,Paramètres!$A$1:$I$88,5,0)</f>
        <v>346.5800000000001</v>
      </c>
      <c r="CA124" s="14">
        <f t="shared" si="93"/>
        <v>80.857895771535127</v>
      </c>
      <c r="CB124" s="22">
        <f t="shared" si="64"/>
        <v>744.45433513542378</v>
      </c>
      <c r="CC124" s="62">
        <f t="shared" si="65"/>
        <v>1026.7572275276082</v>
      </c>
      <c r="CD124" s="62">
        <f ca="1">AVERAGE(OFFSET($CC$3,0,0,'Données projet'!$E$12+1,1))-AVERAGE(OFFSET($H$3,0,0,'Données projet'!$E$12+1,1))</f>
        <v>432.59662347701629</v>
      </c>
      <c r="CE124" s="62">
        <f t="shared" si="94"/>
        <v>348.67401091099748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27.917535079309861</v>
      </c>
      <c r="CL124" s="23">
        <f>EXP(-LN(2)/25)*CL123+(1-EXP(-LN(2)/25))/(LN(2)/25)*Calculateur!CG124*Calculateur!CI124*VLOOKUP('Données projet'!$B$12,Paramètres!$A$1:$I$88,3,0)*0.475*44/12</f>
        <v>22.309581902096049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50.227116981405914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1099.9999999999998</v>
      </c>
      <c r="CU124" s="18">
        <f>CT124*VLOOKUP('Données projet'!$B$13,Paramètres!$A$1:$I$88,3,0)*VLOOKUP('Données projet'!$B$13,Paramètres!$A$1:$I$88,5,0)</f>
        <v>486.19999999999993</v>
      </c>
      <c r="CV124" s="14">
        <f t="shared" si="95"/>
        <v>109.0490179035375</v>
      </c>
      <c r="CW124" s="22">
        <f t="shared" si="67"/>
        <v>1036.725372848661</v>
      </c>
      <c r="CX124" s="62">
        <f t="shared" si="68"/>
        <v>1319.0282652408455</v>
      </c>
      <c r="CY124" s="62">
        <f ca="1">AVERAGE(OFFSET($CX$3,0,0,'Données projet'!$E$13+1,1))-AVERAGE(OFFSET($H$3,0,0,'Données projet'!$E$13+1,1))</f>
        <v>582.26951914082088</v>
      </c>
      <c r="CZ124" s="62">
        <f t="shared" si="96"/>
        <v>434.80429932654715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28.130786099038286</v>
      </c>
      <c r="DG124" s="23">
        <f>EXP(-LN(2)/25)*DG123+(1-EXP(-LN(2)/25))/(LN(2)/25)*Calculateur!DB124*Calculateur!DD124*VLOOKUP('Données projet'!$B$13,Paramètres!$A$1:$I$88,3,0)*0.475*44/12</f>
        <v>20.046895885296102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48.177681984334384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498.99999999999955</v>
      </c>
      <c r="DP124" s="18">
        <f>DO124*VLOOKUP('Données projet'!$B$14,Paramètres!$A$1:$I$88,3,0)*VLOOKUP('Données projet'!$B$14,Paramètres!$A$1:$I$88,5,0)</f>
        <v>240.01899999999978</v>
      </c>
      <c r="DQ124" s="14">
        <f t="shared" si="97"/>
        <v>58.443618405936313</v>
      </c>
      <c r="DR124" s="22">
        <f t="shared" si="70"/>
        <v>519.82239372367201</v>
      </c>
      <c r="DS124" s="62">
        <f t="shared" si="71"/>
        <v>802.1252861158564</v>
      </c>
      <c r="DT124" s="62">
        <f ca="1">AVERAGE(OFFSET($DS$3,0,0,'Données projet'!$E$14+1,1))-AVERAGE(OFFSET($H$3,0,0,'Données projet'!$E$14+1,1))</f>
        <v>273.24375559399846</v>
      </c>
      <c r="DU124" s="62">
        <f t="shared" si="98"/>
        <v>270.77718895097848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projet'!$B$14,Paramètres!$A$1:$I$88,3,0)*0.475*44/12</f>
        <v>14.36512084569415</v>
      </c>
      <c r="EB124" s="23">
        <f>EXP(-LN(2)/25)*EB123+(1-EXP(-LN(2)/25))/(LN(2)/25)*Calculateur!DW124*Calculateur!DY124*VLOOKUP('Données projet'!$B$14,Paramètres!$A$1:$I$88,3,0)*0.475*44/12</f>
        <v>9.777539538934823</v>
      </c>
      <c r="EC124" s="23">
        <f>EXP(-LN(2)/2)*EC123+(1-EXP(-LN(2)/2))/(LN(2)/2)*DW124*DZ124*VLOOKUP('Données projet'!$B$14,Paramètres!$A$1:$I$88,3,0)*0.475*44/12</f>
        <v>0</v>
      </c>
      <c r="ED124" s="24">
        <f t="shared" si="72"/>
        <v>24.142660384628975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498.99999999999955</v>
      </c>
      <c r="EK124" s="18">
        <f>EJ124*VLOOKUP('Données projet'!$B$15,Paramètres!$A$1:$I$88,3,0)*VLOOKUP('Données projet'!$B$15,Paramètres!$A$1:$I$88,5,0)</f>
        <v>233.53199999999975</v>
      </c>
      <c r="EL124" s="14">
        <f t="shared" si="99"/>
        <v>57.04570382109803</v>
      </c>
      <c r="EM124" s="22">
        <f t="shared" si="73"/>
        <v>506.08950082174533</v>
      </c>
      <c r="EN124" s="62">
        <f t="shared" si="74"/>
        <v>788.39239321392972</v>
      </c>
      <c r="EO124" s="62">
        <f ca="1">AVERAGE(OFFSET($EN$3,0,0,'Données projet'!$E$15+1,1))-AVERAGE(OFFSET($H$3,0,0,'Données projet'!$E$15+1,1))</f>
        <v>267.26203506406682</v>
      </c>
      <c r="EP124" s="62">
        <f t="shared" si="100"/>
        <v>265.10857635664843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projet'!$B$15,Paramètres!$A$1:$I$88,3,0)*0.475*44/12</f>
        <v>13.976874336351058</v>
      </c>
      <c r="EW124" s="23">
        <f>EXP(-LN(2)/25)*EW123+(1-EXP(-LN(2)/25))/(LN(2)/25)*Calculateur!ER124*Calculateur!ET124*VLOOKUP('Données projet'!$B$15,Paramètres!$A$1:$I$88,3,0)*0.475*44/12</f>
        <v>9.513281713558202</v>
      </c>
      <c r="EX124" s="23">
        <f>EXP(-LN(2)/2)*EX123+(1-EXP(-LN(2)/2))/(LN(2)/2)*ER124*EU124*VLOOKUP('Données projet'!$B$15,Paramètres!$A$1:$I$88,3,0)*0.475*44/12</f>
        <v>0</v>
      </c>
      <c r="EY124" s="24">
        <f t="shared" si="75"/>
        <v>23.49015604990926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231</v>
      </c>
      <c r="FF124" s="18">
        <f>FE124*VLOOKUP('Données projet'!$B$16,Paramètres!$A$1:$I$88,3,0)*VLOOKUP('Données projet'!$B$16,Paramètres!$A$1:$I$88,5,0)</f>
        <v>169.36920000000001</v>
      </c>
      <c r="FG124" s="14">
        <f t="shared" si="101"/>
        <v>42.948714817158674</v>
      </c>
      <c r="FH124" s="22">
        <f t="shared" si="76"/>
        <v>369.787034973218</v>
      </c>
      <c r="FI124" s="62">
        <f t="shared" si="77"/>
        <v>652.08992736540245</v>
      </c>
      <c r="FJ124" s="62">
        <f ca="1">AVERAGE(OFFSET($FI$3,0,0,'Données projet'!$E$16+1,1))-AVERAGE(OFFSET($H$3,0,0,'Données projet'!$E$16+1,1))</f>
        <v>207.66160354686221</v>
      </c>
      <c r="FK124" s="62">
        <f t="shared" si="102"/>
        <v>260.45879589483525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projet'!$B$16,Paramètres!$A$1:$I$88,3,0)*0.475*44/12</f>
        <v>0.85388541684905772</v>
      </c>
      <c r="FR124" s="23">
        <f>EXP(-LN(2)/25)*FR123+(1-EXP(-LN(2)/25))/(LN(2)/25)*Calculateur!FM124*Calculateur!FO124*VLOOKUP('Données projet'!$B$16,Paramètres!$A$1:$I$88,3,0)*0.475*44/12</f>
        <v>0</v>
      </c>
      <c r="FS124" s="23">
        <f>EXP(-LN(2)/2)*FS123+(1-EXP(-LN(2)/2))/(LN(2)/2)*FM124*FP124*VLOOKUP('Données projet'!$B$16,Paramètres!$A$1:$I$88,3,0)*0.475*44/12</f>
        <v>0</v>
      </c>
      <c r="FT124" s="24">
        <f t="shared" si="78"/>
        <v>0.85388541684905772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projet'!$B$9,Paramètres!$A$1:$I$88,3,0)*VLOOKUP('Données projet'!$B$9,Paramètres!$A$1:$I$88,5,0)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378.13552372917843</v>
      </c>
      <c r="T125" s="62">
        <f t="shared" si="88"/>
        <v>528.97123645404952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64.604261860345488</v>
      </c>
      <c r="AA125" s="23">
        <f>EXP(-LN(2)/25)*AA124+(1-EXP(-LN(2)/25))/(LN(2)/25)*Calculateur!V125*Calculateur!X125*VLOOKUP('Données projet'!$B$9,Paramètres!$A$1:$I$88,3,0)*0.475*44/12</f>
        <v>19.654705398217889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84.258967258563374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8.3000000000000007</v>
      </c>
      <c r="AI125" s="14">
        <f>IF('Données projet'!$A$62&gt;35,AI124+AH125-AQ124,IF(A125&lt;'Données projet'!$A$62,$AF$205^A125,IF(A125='Données projet'!$A$62,'Données projet'!$B$62,AI124+AH125-AQ124)))</f>
        <v>308.60000000000036</v>
      </c>
      <c r="AJ125" s="14">
        <f>AI125*VLOOKUP('Données projet'!$B$10,Paramètres!$A$1:$I$88,3,0)*VLOOKUP('Données projet'!$B$10,Paramètres!$A$1:$I$88,5,0)</f>
        <v>279.22128000000032</v>
      </c>
      <c r="AK125" s="14">
        <f t="shared" si="89"/>
        <v>66.802416294894925</v>
      </c>
      <c r="AL125" s="22">
        <f t="shared" si="58"/>
        <v>602.65793771360916</v>
      </c>
      <c r="AM125" s="62">
        <f t="shared" si="59"/>
        <v>885.15218359575101</v>
      </c>
      <c r="AN125" s="62">
        <f ca="1">AVERAGE(OFFSET($AM$3,0,0,'Données projet'!$E$10+1,1))-AVERAGE(OFFSET($H$3,0,0,'Données projet'!$E$10+1,1))</f>
        <v>536.3707066106856</v>
      </c>
      <c r="AO125" s="62">
        <f t="shared" si="90"/>
        <v>217.6280015974086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33.571234205462765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33.571234205462765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302.3</v>
      </c>
      <c r="BE125" s="14">
        <f>BD125*VLOOKUP('Données projet'!$B$11,Paramètres!$A$1:$I$88,3,0)*VLOOKUP('Données projet'!$B$11,Paramètres!$A$1:$I$88,5,0)</f>
        <v>180.77540000000005</v>
      </c>
      <c r="BF125" s="14">
        <f t="shared" si="91"/>
        <v>45.494655198846154</v>
      </c>
      <c r="BG125" s="22">
        <f t="shared" si="61"/>
        <v>394.08701280465715</v>
      </c>
      <c r="BH125" s="62">
        <f t="shared" si="62"/>
        <v>676.58125868679895</v>
      </c>
      <c r="BI125" s="62">
        <f ca="1">AVERAGE(OFFSET($BH$3,0,0,'Données projet'!$E$11+1,1))-AVERAGE(OFFSET($H$3,0,0,'Données projet'!$E$11+1,1))</f>
        <v>248.66193174773525</v>
      </c>
      <c r="BJ125" s="62">
        <f t="shared" si="92"/>
        <v>249.61655682981151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6.0759471853981264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1.9331337096381843E-9</v>
      </c>
      <c r="BS125" s="24">
        <f t="shared" si="63"/>
        <v>6.07594718733126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860.00000000000023</v>
      </c>
      <c r="BZ125" s="14">
        <f>BY125*VLOOKUP('Données projet'!$B$12,Paramètres!$A$1:$I$88,3,0)*VLOOKUP('Données projet'!$B$12,Paramètres!$A$1:$I$88,5,0)</f>
        <v>346.5800000000001</v>
      </c>
      <c r="CA125" s="14">
        <f t="shared" si="93"/>
        <v>80.857895771535127</v>
      </c>
      <c r="CB125" s="22">
        <f t="shared" si="64"/>
        <v>744.45433513542378</v>
      </c>
      <c r="CC125" s="62">
        <f t="shared" si="65"/>
        <v>1026.9485810175656</v>
      </c>
      <c r="CD125" s="62">
        <f ca="1">AVERAGE(OFFSET($CC$3,0,0,'Données projet'!$E$12+1,1))-AVERAGE(OFFSET($H$3,0,0,'Données projet'!$E$12+1,1))</f>
        <v>432.59662347701629</v>
      </c>
      <c r="CE125" s="62">
        <f t="shared" si="94"/>
        <v>348.67401091099748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27.370089244419617</v>
      </c>
      <c r="CL125" s="23">
        <f>EXP(-LN(2)/25)*CL124+(1-EXP(-LN(2)/25))/(LN(2)/25)*Calculateur!CG125*Calculateur!CI125*VLOOKUP('Données projet'!$B$12,Paramètres!$A$1:$I$88,3,0)*0.475*44/12</f>
        <v>21.69952521177331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49.069614456192923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1099.9999999999998</v>
      </c>
      <c r="CU125" s="18">
        <f>CT125*VLOOKUP('Données projet'!$B$13,Paramètres!$A$1:$I$88,3,0)*VLOOKUP('Données projet'!$B$13,Paramètres!$A$1:$I$88,5,0)</f>
        <v>486.19999999999993</v>
      </c>
      <c r="CV125" s="14">
        <f t="shared" si="95"/>
        <v>109.0490179035375</v>
      </c>
      <c r="CW125" s="22">
        <f t="shared" si="67"/>
        <v>1036.725372848661</v>
      </c>
      <c r="CX125" s="62">
        <f t="shared" si="68"/>
        <v>1319.2196187308027</v>
      </c>
      <c r="CY125" s="62">
        <f ca="1">AVERAGE(OFFSET($CX$3,0,0,'Données projet'!$E$13+1,1))-AVERAGE(OFFSET($H$3,0,0,'Données projet'!$E$13+1,1))</f>
        <v>582.26951914082088</v>
      </c>
      <c r="CZ125" s="62">
        <f t="shared" si="96"/>
        <v>434.80429932654715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27.579158541721444</v>
      </c>
      <c r="DG125" s="23">
        <f>EXP(-LN(2)/25)*DG124+(1-EXP(-LN(2)/25))/(LN(2)/25)*Calculateur!DB125*Calculateur!DD125*VLOOKUP('Données projet'!$B$13,Paramètres!$A$1:$I$88,3,0)*0.475*44/12</f>
        <v>19.498712463092243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47.077871004813687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498.99999999999955</v>
      </c>
      <c r="DP125" s="18">
        <f>DO125*VLOOKUP('Données projet'!$B$14,Paramètres!$A$1:$I$88,3,0)*VLOOKUP('Données projet'!$B$14,Paramètres!$A$1:$I$88,5,0)</f>
        <v>240.01899999999978</v>
      </c>
      <c r="DQ125" s="14">
        <f t="shared" si="97"/>
        <v>58.443618405936313</v>
      </c>
      <c r="DR125" s="22">
        <f t="shared" si="70"/>
        <v>519.82239372367201</v>
      </c>
      <c r="DS125" s="62">
        <f t="shared" si="71"/>
        <v>802.31663960581386</v>
      </c>
      <c r="DT125" s="62">
        <f ca="1">AVERAGE(OFFSET($DS$3,0,0,'Données projet'!$E$14+1,1))-AVERAGE(OFFSET($H$3,0,0,'Données projet'!$E$14+1,1))</f>
        <v>273.24375559399846</v>
      </c>
      <c r="DU125" s="62">
        <f t="shared" si="98"/>
        <v>270.77718895097848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projet'!$B$14,Paramètres!$A$1:$I$88,3,0)*0.475*44/12</f>
        <v>14.083429587768642</v>
      </c>
      <c r="EB125" s="23">
        <f>EXP(-LN(2)/25)*EB124+(1-EXP(-LN(2)/25))/(LN(2)/25)*Calculateur!DW125*Calculateur!DY125*VLOOKUP('Données projet'!$B$14,Paramètres!$A$1:$I$88,3,0)*0.475*44/12</f>
        <v>9.5101722060641922</v>
      </c>
      <c r="EC125" s="23">
        <f>EXP(-LN(2)/2)*EC124+(1-EXP(-LN(2)/2))/(LN(2)/2)*DW125*DZ125*VLOOKUP('Données projet'!$B$14,Paramètres!$A$1:$I$88,3,0)*0.475*44/12</f>
        <v>0</v>
      </c>
      <c r="ED125" s="24">
        <f t="shared" si="72"/>
        <v>23.593601793832832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498.99999999999955</v>
      </c>
      <c r="EK125" s="18">
        <f>EJ125*VLOOKUP('Données projet'!$B$15,Paramètres!$A$1:$I$88,3,0)*VLOOKUP('Données projet'!$B$15,Paramètres!$A$1:$I$88,5,0)</f>
        <v>233.53199999999975</v>
      </c>
      <c r="EL125" s="14">
        <f t="shared" si="99"/>
        <v>57.04570382109803</v>
      </c>
      <c r="EM125" s="22">
        <f t="shared" si="73"/>
        <v>506.08950082174533</v>
      </c>
      <c r="EN125" s="62">
        <f t="shared" si="74"/>
        <v>788.58374670388707</v>
      </c>
      <c r="EO125" s="62">
        <f ca="1">AVERAGE(OFFSET($EN$3,0,0,'Données projet'!$E$15+1,1))-AVERAGE(OFFSET($H$3,0,0,'Données projet'!$E$15+1,1))</f>
        <v>267.26203506406682</v>
      </c>
      <c r="EP125" s="62">
        <f t="shared" si="100"/>
        <v>265.10857635664843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projet'!$B$15,Paramètres!$A$1:$I$88,3,0)*0.475*44/12</f>
        <v>13.702796355666779</v>
      </c>
      <c r="EW125" s="23">
        <f>EXP(-LN(2)/25)*EW124+(1-EXP(-LN(2)/25))/(LN(2)/25)*Calculateur!ER125*Calculateur!ET125*VLOOKUP('Données projet'!$B$15,Paramètres!$A$1:$I$88,3,0)*0.475*44/12</f>
        <v>9.2531405248192105</v>
      </c>
      <c r="EX125" s="23">
        <f>EXP(-LN(2)/2)*EX124+(1-EXP(-LN(2)/2))/(LN(2)/2)*ER125*EU125*VLOOKUP('Données projet'!$B$15,Paramètres!$A$1:$I$88,3,0)*0.475*44/12</f>
        <v>0</v>
      </c>
      <c r="EY125" s="24">
        <f t="shared" si="75"/>
        <v>22.955936880485989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231</v>
      </c>
      <c r="FF125" s="18">
        <f>FE125*VLOOKUP('Données projet'!$B$16,Paramètres!$A$1:$I$88,3,0)*VLOOKUP('Données projet'!$B$16,Paramètres!$A$1:$I$88,5,0)</f>
        <v>169.36920000000001</v>
      </c>
      <c r="FG125" s="14">
        <f t="shared" si="101"/>
        <v>42.948714817158674</v>
      </c>
      <c r="FH125" s="22">
        <f t="shared" si="76"/>
        <v>369.787034973218</v>
      </c>
      <c r="FI125" s="62">
        <f t="shared" si="77"/>
        <v>652.2812808553598</v>
      </c>
      <c r="FJ125" s="62">
        <f ca="1">AVERAGE(OFFSET($FI$3,0,0,'Données projet'!$E$16+1,1))-AVERAGE(OFFSET($H$3,0,0,'Données projet'!$E$16+1,1))</f>
        <v>207.66160354686221</v>
      </c>
      <c r="FK125" s="62">
        <f t="shared" si="102"/>
        <v>260.45879589483525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projet'!$B$16,Paramètres!$A$1:$I$88,3,0)*0.475*44/12</f>
        <v>0.8371412446433254</v>
      </c>
      <c r="FR125" s="23">
        <f>EXP(-LN(2)/25)*FR124+(1-EXP(-LN(2)/25))/(LN(2)/25)*Calculateur!FM125*Calculateur!FO125*VLOOKUP('Données projet'!$B$16,Paramètres!$A$1:$I$88,3,0)*0.475*44/12</f>
        <v>0</v>
      </c>
      <c r="FS125" s="23">
        <f>EXP(-LN(2)/2)*FS124+(1-EXP(-LN(2)/2))/(LN(2)/2)*FM125*FP125*VLOOKUP('Données projet'!$B$16,Paramètres!$A$1:$I$88,3,0)*0.475*44/12</f>
        <v>0</v>
      </c>
      <c r="FT125" s="24">
        <f t="shared" si="78"/>
        <v>0.8371412446433254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projet'!$B$9,Paramètres!$A$1:$I$88,3,0)*VLOOKUP('Données projet'!$B$9,Paramètres!$A$1:$I$88,5,0)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378.13552372917843</v>
      </c>
      <c r="T126" s="62">
        <f t="shared" si="88"/>
        <v>528.97123645404952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63.337411689972953</v>
      </c>
      <c r="AA126" s="23">
        <f>EXP(-LN(2)/25)*AA125+(1-EXP(-LN(2)/25))/(LN(2)/25)*Calculateur!V126*Calculateur!X126*VLOOKUP('Données projet'!$B$9,Paramètres!$A$1:$I$88,3,0)*0.475*44/12</f>
        <v>19.117246445507586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82.454658135480543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8.3000000000000007</v>
      </c>
      <c r="AI126" s="14">
        <f>IF('Données projet'!$A$62&gt;35,AI125+AH126-AQ125,IF(A126&lt;'Données projet'!$A$62,$AF$205^A126,IF(A126='Données projet'!$A$62,'Données projet'!$B$62,AI125+AH126-AQ125)))</f>
        <v>316.90000000000038</v>
      </c>
      <c r="AJ126" s="14">
        <f>AI126*VLOOKUP('Données projet'!$B$10,Paramètres!$A$1:$I$88,3,0)*VLOOKUP('Données projet'!$B$10,Paramètres!$A$1:$I$88,5,0)</f>
        <v>286.73112000000032</v>
      </c>
      <c r="AK126" s="14">
        <f t="shared" si="89"/>
        <v>68.387515408373488</v>
      </c>
      <c r="AL126" s="22">
        <f t="shared" si="58"/>
        <v>618.49829000291766</v>
      </c>
      <c r="AM126" s="62">
        <f t="shared" si="59"/>
        <v>901.18056981976838</v>
      </c>
      <c r="AN126" s="62">
        <f ca="1">AVERAGE(OFFSET($AM$3,0,0,'Données projet'!$E$10+1,1))-AVERAGE(OFFSET($H$3,0,0,'Données projet'!$E$10+1,1))</f>
        <v>536.3707066106856</v>
      </c>
      <c r="AO126" s="62">
        <f t="shared" si="90"/>
        <v>217.6280015974086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32.912922779124628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32.912922779124628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302.3</v>
      </c>
      <c r="BE126" s="14">
        <f>BD126*VLOOKUP('Données projet'!$B$11,Paramètres!$A$1:$I$88,3,0)*VLOOKUP('Données projet'!$B$11,Paramètres!$A$1:$I$88,5,0)</f>
        <v>180.77540000000005</v>
      </c>
      <c r="BF126" s="14">
        <f t="shared" si="91"/>
        <v>45.494655198846154</v>
      </c>
      <c r="BG126" s="22">
        <f t="shared" si="61"/>
        <v>394.08701280465715</v>
      </c>
      <c r="BH126" s="62">
        <f t="shared" si="62"/>
        <v>676.76929262150782</v>
      </c>
      <c r="BI126" s="62">
        <f ca="1">AVERAGE(OFFSET($BH$3,0,0,'Données projet'!$E$11+1,1))-AVERAGE(OFFSET($H$3,0,0,'Données projet'!$E$11+1,1))</f>
        <v>248.66193174773525</v>
      </c>
      <c r="BJ126" s="62">
        <f t="shared" si="92"/>
        <v>249.61655682981151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5.9568015670543186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1.3669319550254665E-9</v>
      </c>
      <c r="BS126" s="24">
        <f t="shared" si="63"/>
        <v>5.956801568421251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860.00000000000023</v>
      </c>
      <c r="BZ126" s="14">
        <f>BY126*VLOOKUP('Données projet'!$B$12,Paramètres!$A$1:$I$88,3,0)*VLOOKUP('Données projet'!$B$12,Paramètres!$A$1:$I$88,5,0)</f>
        <v>346.5800000000001</v>
      </c>
      <c r="CA126" s="14">
        <f t="shared" si="93"/>
        <v>80.857895771535127</v>
      </c>
      <c r="CB126" s="22">
        <f t="shared" si="64"/>
        <v>744.45433513542378</v>
      </c>
      <c r="CC126" s="62">
        <f t="shared" si="65"/>
        <v>1027.1366149522744</v>
      </c>
      <c r="CD126" s="62">
        <f ca="1">AVERAGE(OFFSET($CC$3,0,0,'Données projet'!$E$12+1,1))-AVERAGE(OFFSET($H$3,0,0,'Données projet'!$E$12+1,1))</f>
        <v>432.59662347701629</v>
      </c>
      <c r="CE126" s="62">
        <f t="shared" si="94"/>
        <v>348.67401091099748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26.83337848844258</v>
      </c>
      <c r="CL126" s="23">
        <f>EXP(-LN(2)/25)*CL125+(1-EXP(-LN(2)/25))/(LN(2)/25)*Calculateur!CG126*Calculateur!CI126*VLOOKUP('Données projet'!$B$12,Paramètres!$A$1:$I$88,3,0)*0.475*44/12</f>
        <v>21.106150553728931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47.939529042171515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1099.9999999999998</v>
      </c>
      <c r="CU126" s="18">
        <f>CT126*VLOOKUP('Données projet'!$B$13,Paramètres!$A$1:$I$88,3,0)*VLOOKUP('Données projet'!$B$13,Paramètres!$A$1:$I$88,5,0)</f>
        <v>486.19999999999993</v>
      </c>
      <c r="CV126" s="14">
        <f t="shared" si="95"/>
        <v>109.0490179035375</v>
      </c>
      <c r="CW126" s="22">
        <f t="shared" si="67"/>
        <v>1036.725372848661</v>
      </c>
      <c r="CX126" s="62">
        <f t="shared" si="68"/>
        <v>1319.4076526655117</v>
      </c>
      <c r="CY126" s="62">
        <f ca="1">AVERAGE(OFFSET($CX$3,0,0,'Données projet'!$E$13+1,1))-AVERAGE(OFFSET($H$3,0,0,'Données projet'!$E$13+1,1))</f>
        <v>582.26951914082088</v>
      </c>
      <c r="CZ126" s="62">
        <f t="shared" si="96"/>
        <v>434.80429932654715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27.038348064344</v>
      </c>
      <c r="DG126" s="23">
        <f>EXP(-LN(2)/25)*DG125+(1-EXP(-LN(2)/25))/(LN(2)/25)*Calculateur!DB126*Calculateur!DD126*VLOOKUP('Données projet'!$B$13,Paramètres!$A$1:$I$88,3,0)*0.475*44/12</f>
        <v>18.965519145396261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46.003867209740264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498.99999999999955</v>
      </c>
      <c r="DP126" s="18">
        <f>DO126*VLOOKUP('Données projet'!$B$14,Paramètres!$A$1:$I$88,3,0)*VLOOKUP('Données projet'!$B$14,Paramètres!$A$1:$I$88,5,0)</f>
        <v>240.01899999999978</v>
      </c>
      <c r="DQ126" s="14">
        <f t="shared" si="97"/>
        <v>58.443618405936313</v>
      </c>
      <c r="DR126" s="22">
        <f t="shared" si="70"/>
        <v>519.82239372367201</v>
      </c>
      <c r="DS126" s="62">
        <f t="shared" si="71"/>
        <v>802.50467354052262</v>
      </c>
      <c r="DT126" s="62">
        <f ca="1">AVERAGE(OFFSET($DS$3,0,0,'Données projet'!$E$14+1,1))-AVERAGE(OFFSET($H$3,0,0,'Données projet'!$E$14+1,1))</f>
        <v>273.24375559399846</v>
      </c>
      <c r="DU126" s="62">
        <f t="shared" si="98"/>
        <v>270.77718895097848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projet'!$B$14,Paramètres!$A$1:$I$88,3,0)*0.475*44/12</f>
        <v>13.807262123596351</v>
      </c>
      <c r="EB126" s="23">
        <f>EXP(-LN(2)/25)*EB125+(1-EXP(-LN(2)/25))/(LN(2)/25)*Calculateur!DW126*Calculateur!DY126*VLOOKUP('Données projet'!$B$14,Paramètres!$A$1:$I$88,3,0)*0.475*44/12</f>
        <v>9.2501160469711472</v>
      </c>
      <c r="EC126" s="23">
        <f>EXP(-LN(2)/2)*EC125+(1-EXP(-LN(2)/2))/(LN(2)/2)*DW126*DZ126*VLOOKUP('Données projet'!$B$14,Paramètres!$A$1:$I$88,3,0)*0.475*44/12</f>
        <v>0</v>
      </c>
      <c r="ED126" s="24">
        <f t="shared" si="72"/>
        <v>23.057378170567496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498.99999999999955</v>
      </c>
      <c r="EK126" s="18">
        <f>EJ126*VLOOKUP('Données projet'!$B$15,Paramètres!$A$1:$I$88,3,0)*VLOOKUP('Données projet'!$B$15,Paramètres!$A$1:$I$88,5,0)</f>
        <v>233.53199999999975</v>
      </c>
      <c r="EL126" s="14">
        <f t="shared" si="99"/>
        <v>57.04570382109803</v>
      </c>
      <c r="EM126" s="22">
        <f t="shared" si="73"/>
        <v>506.08950082174533</v>
      </c>
      <c r="EN126" s="62">
        <f t="shared" si="74"/>
        <v>788.77178063859606</v>
      </c>
      <c r="EO126" s="62">
        <f ca="1">AVERAGE(OFFSET($EN$3,0,0,'Données projet'!$E$15+1,1))-AVERAGE(OFFSET($H$3,0,0,'Données projet'!$E$15+1,1))</f>
        <v>267.26203506406682</v>
      </c>
      <c r="EP126" s="62">
        <f t="shared" si="100"/>
        <v>265.10857635664843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projet'!$B$15,Paramètres!$A$1:$I$88,3,0)*0.475*44/12</f>
        <v>13.434092877012658</v>
      </c>
      <c r="EW126" s="23">
        <f>EXP(-LN(2)/25)*EW125+(1-EXP(-LN(2)/25))/(LN(2)/25)*Calculateur!ER126*Calculateur!ET126*VLOOKUP('Données projet'!$B$15,Paramètres!$A$1:$I$88,3,0)*0.475*44/12</f>
        <v>9.0001129105665179</v>
      </c>
      <c r="EX126" s="23">
        <f>EXP(-LN(2)/2)*EX125+(1-EXP(-LN(2)/2))/(LN(2)/2)*ER126*EU126*VLOOKUP('Données projet'!$B$15,Paramètres!$A$1:$I$88,3,0)*0.475*44/12</f>
        <v>0</v>
      </c>
      <c r="EY126" s="24">
        <f t="shared" si="75"/>
        <v>22.434205787579174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231</v>
      </c>
      <c r="FF126" s="18">
        <f>FE126*VLOOKUP('Données projet'!$B$16,Paramètres!$A$1:$I$88,3,0)*VLOOKUP('Données projet'!$B$16,Paramètres!$A$1:$I$88,5,0)</f>
        <v>169.36920000000001</v>
      </c>
      <c r="FG126" s="14">
        <f t="shared" si="101"/>
        <v>42.948714817158674</v>
      </c>
      <c r="FH126" s="22">
        <f t="shared" si="76"/>
        <v>369.787034973218</v>
      </c>
      <c r="FI126" s="62">
        <f t="shared" si="77"/>
        <v>652.46931479006867</v>
      </c>
      <c r="FJ126" s="62">
        <f ca="1">AVERAGE(OFFSET($FI$3,0,0,'Données projet'!$E$16+1,1))-AVERAGE(OFFSET($H$3,0,0,'Données projet'!$E$16+1,1))</f>
        <v>207.66160354686221</v>
      </c>
      <c r="FK126" s="62">
        <f t="shared" si="102"/>
        <v>260.45879589483525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projet'!$B$16,Paramètres!$A$1:$I$88,3,0)*0.475*44/12</f>
        <v>0.82072541544161093</v>
      </c>
      <c r="FR126" s="23">
        <f>EXP(-LN(2)/25)*FR125+(1-EXP(-LN(2)/25))/(LN(2)/25)*Calculateur!FM126*Calculateur!FO126*VLOOKUP('Données projet'!$B$16,Paramètres!$A$1:$I$88,3,0)*0.475*44/12</f>
        <v>0</v>
      </c>
      <c r="FS126" s="23">
        <f>EXP(-LN(2)/2)*FS125+(1-EXP(-LN(2)/2))/(LN(2)/2)*FM126*FP126*VLOOKUP('Données projet'!$B$16,Paramètres!$A$1:$I$88,3,0)*0.475*44/12</f>
        <v>0</v>
      </c>
      <c r="FT126" s="24">
        <f t="shared" si="78"/>
        <v>0.82072541544161093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projet'!$B$9,Paramètres!$A$1:$I$88,3,0)*VLOOKUP('Données projet'!$B$9,Paramètres!$A$1:$I$88,5,0)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378.13552372917843</v>
      </c>
      <c r="T127" s="62">
        <f t="shared" si="88"/>
        <v>528.97123645404952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62.095403678739117</v>
      </c>
      <c r="AA127" s="23">
        <f>EXP(-LN(2)/25)*AA126+(1-EXP(-LN(2)/25))/(LN(2)/25)*Calculateur!V127*Calculateur!X127*VLOOKUP('Données projet'!$B$9,Paramètres!$A$1:$I$88,3,0)*0.475*44/12</f>
        <v>18.594484336122882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80.689888014861992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8.3000000000000007</v>
      </c>
      <c r="AI127" s="14">
        <f>IF('Données projet'!$A$62&gt;35,AI126+AH127-AQ126,IF(A127&lt;'Données projet'!$A$62,$AF$205^A127,IF(A127='Données projet'!$A$62,'Données projet'!$B$62,AI126+AH127-AQ126)))</f>
        <v>325.20000000000039</v>
      </c>
      <c r="AJ127" s="14">
        <f>AI127*VLOOKUP('Données projet'!$B$10,Paramètres!$A$1:$I$88,3,0)*VLOOKUP('Données projet'!$B$10,Paramètres!$A$1:$I$88,5,0)</f>
        <v>294.24096000000031</v>
      </c>
      <c r="AK127" s="14">
        <f t="shared" si="89"/>
        <v>69.967788871055049</v>
      </c>
      <c r="AL127" s="22">
        <f t="shared" si="58"/>
        <v>634.33023761708807</v>
      </c>
      <c r="AM127" s="62">
        <f t="shared" si="59"/>
        <v>917.19728940026141</v>
      </c>
      <c r="AN127" s="62">
        <f ca="1">AVERAGE(OFFSET($AM$3,0,0,'Données projet'!$E$10+1,1))-AVERAGE(OFFSET($H$3,0,0,'Données projet'!$E$10+1,1))</f>
        <v>536.3707066106856</v>
      </c>
      <c r="AO127" s="62">
        <f t="shared" si="90"/>
        <v>217.6280015974086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32.267520438326656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32.267520438326656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302.3</v>
      </c>
      <c r="BE127" s="14">
        <f>BD127*VLOOKUP('Données projet'!$B$11,Paramètres!$A$1:$I$88,3,0)*VLOOKUP('Données projet'!$B$11,Paramètres!$A$1:$I$88,5,0)</f>
        <v>180.77540000000005</v>
      </c>
      <c r="BF127" s="14">
        <f t="shared" si="91"/>
        <v>45.494655198846154</v>
      </c>
      <c r="BG127" s="22">
        <f t="shared" si="61"/>
        <v>394.08701280465715</v>
      </c>
      <c r="BH127" s="62">
        <f t="shared" si="62"/>
        <v>676.95406458783054</v>
      </c>
      <c r="BI127" s="62">
        <f ca="1">AVERAGE(OFFSET($BH$3,0,0,'Données projet'!$E$11+1,1))-AVERAGE(OFFSET($H$3,0,0,'Données projet'!$E$11+1,1))</f>
        <v>248.66193174773525</v>
      </c>
      <c r="BJ127" s="62">
        <f t="shared" si="92"/>
        <v>249.61655682981151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5.8399923216145817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9.6656685481909214E-10</v>
      </c>
      <c r="BS127" s="24">
        <f t="shared" si="63"/>
        <v>5.839992322581149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860.00000000000023</v>
      </c>
      <c r="BZ127" s="14">
        <f>BY127*VLOOKUP('Données projet'!$B$12,Paramètres!$A$1:$I$88,3,0)*VLOOKUP('Données projet'!$B$12,Paramètres!$A$1:$I$88,5,0)</f>
        <v>346.5800000000001</v>
      </c>
      <c r="CA127" s="14">
        <f t="shared" si="93"/>
        <v>80.857895771535127</v>
      </c>
      <c r="CB127" s="22">
        <f t="shared" si="64"/>
        <v>744.45433513542378</v>
      </c>
      <c r="CC127" s="62">
        <f t="shared" si="65"/>
        <v>1027.321386918597</v>
      </c>
      <c r="CD127" s="62">
        <f ca="1">AVERAGE(OFFSET($CC$3,0,0,'Données projet'!$E$12+1,1))-AVERAGE(OFFSET($H$3,0,0,'Données projet'!$E$12+1,1))</f>
        <v>432.59662347701629</v>
      </c>
      <c r="CE127" s="62">
        <f t="shared" si="94"/>
        <v>348.67401091099748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26.307192303029016</v>
      </c>
      <c r="CL127" s="23">
        <f>EXP(-LN(2)/25)*CL126+(1-EXP(-LN(2)/25))/(LN(2)/25)*Calculateur!CG127*Calculateur!CI127*VLOOKUP('Données projet'!$B$12,Paramètres!$A$1:$I$88,3,0)*0.475*44/12</f>
        <v>20.529001756912994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46.836194059942009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1099.9999999999998</v>
      </c>
      <c r="CU127" s="18">
        <f>CT127*VLOOKUP('Données projet'!$B$13,Paramètres!$A$1:$I$88,3,0)*VLOOKUP('Données projet'!$B$13,Paramètres!$A$1:$I$88,5,0)</f>
        <v>486.19999999999993</v>
      </c>
      <c r="CV127" s="14">
        <f t="shared" si="95"/>
        <v>109.0490179035375</v>
      </c>
      <c r="CW127" s="22">
        <f t="shared" si="67"/>
        <v>1036.725372848661</v>
      </c>
      <c r="CX127" s="62">
        <f t="shared" si="68"/>
        <v>1319.5924246318343</v>
      </c>
      <c r="CY127" s="62">
        <f ca="1">AVERAGE(OFFSET($CX$3,0,0,'Données projet'!$E$13+1,1))-AVERAGE(OFFSET($H$3,0,0,'Données projet'!$E$13+1,1))</f>
        <v>582.26951914082088</v>
      </c>
      <c r="CZ127" s="62">
        <f t="shared" si="96"/>
        <v>434.80429932654715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26.508142550566106</v>
      </c>
      <c r="DG127" s="23">
        <f>EXP(-LN(2)/25)*DG126+(1-EXP(-LN(2)/25))/(LN(2)/25)*Calculateur!DB127*Calculateur!DD127*VLOOKUP('Données projet'!$B$13,Paramètres!$A$1:$I$88,3,0)*0.475*44/12</f>
        <v>18.446906027012094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44.955048577578197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498.99999999999955</v>
      </c>
      <c r="DP127" s="18">
        <f>DO127*VLOOKUP('Données projet'!$B$14,Paramètres!$A$1:$I$88,3,0)*VLOOKUP('Données projet'!$B$14,Paramètres!$A$1:$I$88,5,0)</f>
        <v>240.01899999999978</v>
      </c>
      <c r="DQ127" s="14">
        <f t="shared" si="97"/>
        <v>58.443618405936313</v>
      </c>
      <c r="DR127" s="22">
        <f t="shared" si="70"/>
        <v>519.82239372367201</v>
      </c>
      <c r="DS127" s="62">
        <f t="shared" si="71"/>
        <v>802.68944550684535</v>
      </c>
      <c r="DT127" s="62">
        <f ca="1">AVERAGE(OFFSET($DS$3,0,0,'Données projet'!$E$14+1,1))-AVERAGE(OFFSET($H$3,0,0,'Données projet'!$E$14+1,1))</f>
        <v>273.24375559399846</v>
      </c>
      <c r="DU127" s="62">
        <f t="shared" si="98"/>
        <v>270.77718895097848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projet'!$B$14,Paramètres!$A$1:$I$88,3,0)*0.475*44/12</f>
        <v>13.536510134950959</v>
      </c>
      <c r="EB127" s="23">
        <f>EXP(-LN(2)/25)*EB126+(1-EXP(-LN(2)/25))/(LN(2)/25)*Calculateur!DW127*Calculateur!DY127*VLOOKUP('Données projet'!$B$14,Paramètres!$A$1:$I$88,3,0)*0.475*44/12</f>
        <v>8.9971711372242602</v>
      </c>
      <c r="EC127" s="23">
        <f>EXP(-LN(2)/2)*EC126+(1-EXP(-LN(2)/2))/(LN(2)/2)*DW127*DZ127*VLOOKUP('Données projet'!$B$14,Paramètres!$A$1:$I$88,3,0)*0.475*44/12</f>
        <v>0</v>
      </c>
      <c r="ED127" s="24">
        <f t="shared" si="72"/>
        <v>22.533681272175219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498.99999999999955</v>
      </c>
      <c r="EK127" s="18">
        <f>EJ127*VLOOKUP('Données projet'!$B$15,Paramètres!$A$1:$I$88,3,0)*VLOOKUP('Données projet'!$B$15,Paramètres!$A$1:$I$88,5,0)</f>
        <v>233.53199999999975</v>
      </c>
      <c r="EL127" s="14">
        <f t="shared" si="99"/>
        <v>57.04570382109803</v>
      </c>
      <c r="EM127" s="22">
        <f t="shared" si="73"/>
        <v>506.08950082174533</v>
      </c>
      <c r="EN127" s="62">
        <f t="shared" si="74"/>
        <v>788.95655260491867</v>
      </c>
      <c r="EO127" s="62">
        <f ca="1">AVERAGE(OFFSET($EN$3,0,0,'Données projet'!$E$15+1,1))-AVERAGE(OFFSET($H$3,0,0,'Données projet'!$E$15+1,1))</f>
        <v>267.26203506406682</v>
      </c>
      <c r="EP127" s="62">
        <f t="shared" si="100"/>
        <v>265.10857635664843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projet'!$B$15,Paramètres!$A$1:$I$88,3,0)*0.475*44/12</f>
        <v>13.170658509682005</v>
      </c>
      <c r="EW127" s="23">
        <f>EXP(-LN(2)/25)*EW126+(1-EXP(-LN(2)/25))/(LN(2)/25)*Calculateur!ER127*Calculateur!ET127*VLOOKUP('Données projet'!$B$15,Paramètres!$A$1:$I$88,3,0)*0.475*44/12</f>
        <v>8.7540043497317086</v>
      </c>
      <c r="EX127" s="23">
        <f>EXP(-LN(2)/2)*EX126+(1-EXP(-LN(2)/2))/(LN(2)/2)*ER127*EU127*VLOOKUP('Données projet'!$B$15,Paramètres!$A$1:$I$88,3,0)*0.475*44/12</f>
        <v>0</v>
      </c>
      <c r="EY127" s="24">
        <f t="shared" si="75"/>
        <v>21.924662859413715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231</v>
      </c>
      <c r="FF127" s="18">
        <f>FE127*VLOOKUP('Données projet'!$B$16,Paramètres!$A$1:$I$88,3,0)*VLOOKUP('Données projet'!$B$16,Paramètres!$A$1:$I$88,5,0)</f>
        <v>169.36920000000001</v>
      </c>
      <c r="FG127" s="14">
        <f t="shared" si="101"/>
        <v>42.948714817158674</v>
      </c>
      <c r="FH127" s="22">
        <f t="shared" si="76"/>
        <v>369.787034973218</v>
      </c>
      <c r="FI127" s="62">
        <f t="shared" si="77"/>
        <v>652.65408675639128</v>
      </c>
      <c r="FJ127" s="62">
        <f ca="1">AVERAGE(OFFSET($FI$3,0,0,'Données projet'!$E$16+1,1))-AVERAGE(OFFSET($H$3,0,0,'Données projet'!$E$16+1,1))</f>
        <v>207.66160354686221</v>
      </c>
      <c r="FK127" s="62">
        <f t="shared" si="102"/>
        <v>260.45879589483525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projet'!$B$16,Paramètres!$A$1:$I$88,3,0)*0.475*44/12</f>
        <v>0.80463149063787487</v>
      </c>
      <c r="FR127" s="23">
        <f>EXP(-LN(2)/25)*FR126+(1-EXP(-LN(2)/25))/(LN(2)/25)*Calculateur!FM127*Calculateur!FO127*VLOOKUP('Données projet'!$B$16,Paramètres!$A$1:$I$88,3,0)*0.475*44/12</f>
        <v>0</v>
      </c>
      <c r="FS127" s="23">
        <f>EXP(-LN(2)/2)*FS126+(1-EXP(-LN(2)/2))/(LN(2)/2)*FM127*FP127*VLOOKUP('Données projet'!$B$16,Paramètres!$A$1:$I$88,3,0)*0.475*44/12</f>
        <v>0</v>
      </c>
      <c r="FT127" s="24">
        <f t="shared" si="78"/>
        <v>0.80463149063787487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projet'!$B$9,Paramètres!$A$1:$I$88,3,0)*VLOOKUP('Données projet'!$B$9,Paramètres!$A$1:$I$88,5,0)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378.13552372917843</v>
      </c>
      <c r="T128" s="62">
        <f t="shared" si="88"/>
        <v>528.97123645404952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60.877750687055496</v>
      </c>
      <c r="AA128" s="23">
        <f>EXP(-LN(2)/25)*AA127+(1-EXP(-LN(2)/25))/(LN(2)/25)*Calculateur!V128*Calculateur!X128*VLOOKUP('Données projet'!$B$9,Paramètres!$A$1:$I$88,3,0)*0.475*44/12</f>
        <v>18.086017184110169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78.963767871165658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8.3000000000000007</v>
      </c>
      <c r="AI128" s="14">
        <f>IF('Données projet'!$A$62&gt;35,AI127+AH128-AQ127,IF(A128&lt;'Données projet'!$A$62,$AF$205^A128,IF(A128='Données projet'!$A$62,'Données projet'!$B$62,AI127+AH128-AQ127)))</f>
        <v>333.5000000000004</v>
      </c>
      <c r="AJ128" s="14">
        <f>AI128*VLOOKUP('Données projet'!$B$10,Paramètres!$A$1:$I$88,3,0)*VLOOKUP('Données projet'!$B$10,Paramètres!$A$1:$I$88,5,0)</f>
        <v>301.75080000000031</v>
      </c>
      <c r="AK128" s="14">
        <f t="shared" si="89"/>
        <v>71.543374009247458</v>
      </c>
      <c r="AL128" s="22">
        <f t="shared" si="58"/>
        <v>650.15401973277301</v>
      </c>
      <c r="AM128" s="62">
        <f t="shared" si="59"/>
        <v>933.20263810174151</v>
      </c>
      <c r="AN128" s="62">
        <f ca="1">AVERAGE(OFFSET($AM$3,0,0,'Données projet'!$E$10+1,1))-AVERAGE(OFFSET($H$3,0,0,'Données projet'!$E$10+1,1))</f>
        <v>536.3707066106856</v>
      </c>
      <c r="AO128" s="62">
        <f t="shared" si="90"/>
        <v>217.6280015974086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31.634774043775177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31.634774043775177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302.3</v>
      </c>
      <c r="BE128" s="14">
        <f>BD128*VLOOKUP('Données projet'!$B$11,Paramètres!$A$1:$I$88,3,0)*VLOOKUP('Données projet'!$B$11,Paramètres!$A$1:$I$88,5,0)</f>
        <v>180.77540000000005</v>
      </c>
      <c r="BF128" s="14">
        <f t="shared" si="91"/>
        <v>45.494655198846154</v>
      </c>
      <c r="BG128" s="22">
        <f t="shared" si="61"/>
        <v>394.08701280465715</v>
      </c>
      <c r="BH128" s="62">
        <f t="shared" si="62"/>
        <v>677.1356311736256</v>
      </c>
      <c r="BI128" s="62">
        <f ca="1">AVERAGE(OFFSET($BH$3,0,0,'Données projet'!$E$11+1,1))-AVERAGE(OFFSET($H$3,0,0,'Données projet'!$E$11+1,1))</f>
        <v>248.66193174773525</v>
      </c>
      <c r="BJ128" s="62">
        <f t="shared" si="92"/>
        <v>249.61655682981151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5.7254736342313137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6.8346597751273324E-10</v>
      </c>
      <c r="BS128" s="24">
        <f t="shared" si="63"/>
        <v>5.7254736349147795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860.00000000000023</v>
      </c>
      <c r="BZ128" s="14">
        <f>BY128*VLOOKUP('Données projet'!$B$12,Paramètres!$A$1:$I$88,3,0)*VLOOKUP('Données projet'!$B$12,Paramètres!$A$1:$I$88,5,0)</f>
        <v>346.5800000000001</v>
      </c>
      <c r="CA128" s="14">
        <f t="shared" si="93"/>
        <v>80.857895771535127</v>
      </c>
      <c r="CB128" s="22">
        <f t="shared" si="64"/>
        <v>744.45433513542378</v>
      </c>
      <c r="CC128" s="62">
        <f t="shared" si="65"/>
        <v>1027.5029535043923</v>
      </c>
      <c r="CD128" s="62">
        <f ca="1">AVERAGE(OFFSET($CC$3,0,0,'Données projet'!$E$12+1,1))-AVERAGE(OFFSET($H$3,0,0,'Données projet'!$E$12+1,1))</f>
        <v>432.59662347701629</v>
      </c>
      <c r="CE128" s="62">
        <f t="shared" si="94"/>
        <v>348.67401091099748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25.791324307769528</v>
      </c>
      <c r="CL128" s="23">
        <f>EXP(-LN(2)/25)*CL127+(1-EXP(-LN(2)/25))/(LN(2)/25)*Calculateur!CG128*Calculateur!CI128*VLOOKUP('Données projet'!$B$12,Paramètres!$A$1:$I$88,3,0)*0.475*44/12</f>
        <v>19.967635124296926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45.758959432066455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1099.9999999999998</v>
      </c>
      <c r="CU128" s="18">
        <f>CT128*VLOOKUP('Données projet'!$B$13,Paramètres!$A$1:$I$88,3,0)*VLOOKUP('Données projet'!$B$13,Paramètres!$A$1:$I$88,5,0)</f>
        <v>486.19999999999993</v>
      </c>
      <c r="CV128" s="14">
        <f t="shared" si="95"/>
        <v>109.0490179035375</v>
      </c>
      <c r="CW128" s="22">
        <f t="shared" si="67"/>
        <v>1036.725372848661</v>
      </c>
      <c r="CX128" s="62">
        <f t="shared" si="68"/>
        <v>1319.7739912176294</v>
      </c>
      <c r="CY128" s="62">
        <f ca="1">AVERAGE(OFFSET($CX$3,0,0,'Données projet'!$E$13+1,1))-AVERAGE(OFFSET($H$3,0,0,'Données projet'!$E$13+1,1))</f>
        <v>582.26951914082088</v>
      </c>
      <c r="CZ128" s="62">
        <f t="shared" si="96"/>
        <v>434.80429932654715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25.988334043519966</v>
      </c>
      <c r="DG128" s="23">
        <f>EXP(-LN(2)/25)*DG127+(1-EXP(-LN(2)/25))/(LN(2)/25)*Calculateur!DB128*Calculateur!DD128*VLOOKUP('Données projet'!$B$13,Paramètres!$A$1:$I$88,3,0)*0.475*44/12</f>
        <v>17.942474411622822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43.930808455142788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498.99999999999955</v>
      </c>
      <c r="DP128" s="18">
        <f>DO128*VLOOKUP('Données projet'!$B$14,Paramètres!$A$1:$I$88,3,0)*VLOOKUP('Données projet'!$B$14,Paramètres!$A$1:$I$88,5,0)</f>
        <v>240.01899999999978</v>
      </c>
      <c r="DQ128" s="14">
        <f t="shared" si="97"/>
        <v>58.443618405936313</v>
      </c>
      <c r="DR128" s="22">
        <f t="shared" si="70"/>
        <v>519.82239372367201</v>
      </c>
      <c r="DS128" s="62">
        <f t="shared" si="71"/>
        <v>802.87101209264051</v>
      </c>
      <c r="DT128" s="62">
        <f ca="1">AVERAGE(OFFSET($DS$3,0,0,'Données projet'!$E$14+1,1))-AVERAGE(OFFSET($H$3,0,0,'Données projet'!$E$14+1,1))</f>
        <v>273.24375559399846</v>
      </c>
      <c r="DU128" s="62">
        <f t="shared" si="98"/>
        <v>270.77718895097848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projet'!$B$14,Paramètres!$A$1:$I$88,3,0)*0.475*44/12</f>
        <v>13.271067427660496</v>
      </c>
      <c r="EB128" s="23">
        <f>EXP(-LN(2)/25)*EB127+(1-EXP(-LN(2)/25))/(LN(2)/25)*Calculateur!DW128*Calculateur!DY128*VLOOKUP('Données projet'!$B$14,Paramètres!$A$1:$I$88,3,0)*0.475*44/12</f>
        <v>8.7511430193361956</v>
      </c>
      <c r="EC128" s="23">
        <f>EXP(-LN(2)/2)*EC127+(1-EXP(-LN(2)/2))/(LN(2)/2)*DW128*DZ128*VLOOKUP('Données projet'!$B$14,Paramètres!$A$1:$I$88,3,0)*0.475*44/12</f>
        <v>0</v>
      </c>
      <c r="ED128" s="24">
        <f t="shared" si="72"/>
        <v>22.022210446996692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498.99999999999955</v>
      </c>
      <c r="EK128" s="18">
        <f>EJ128*VLOOKUP('Données projet'!$B$15,Paramètres!$A$1:$I$88,3,0)*VLOOKUP('Données projet'!$B$15,Paramètres!$A$1:$I$88,5,0)</f>
        <v>233.53199999999975</v>
      </c>
      <c r="EL128" s="14">
        <f t="shared" si="99"/>
        <v>57.04570382109803</v>
      </c>
      <c r="EM128" s="22">
        <f t="shared" si="73"/>
        <v>506.08950082174533</v>
      </c>
      <c r="EN128" s="62">
        <f t="shared" si="74"/>
        <v>789.13811919071384</v>
      </c>
      <c r="EO128" s="62">
        <f ca="1">AVERAGE(OFFSET($EN$3,0,0,'Données projet'!$E$15+1,1))-AVERAGE(OFFSET($H$3,0,0,'Données projet'!$E$15+1,1))</f>
        <v>267.26203506406682</v>
      </c>
      <c r="EP128" s="62">
        <f t="shared" si="100"/>
        <v>265.10857635664843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projet'!$B$15,Paramètres!$A$1:$I$88,3,0)*0.475*44/12</f>
        <v>12.912389929615609</v>
      </c>
      <c r="EW128" s="23">
        <f>EXP(-LN(2)/25)*EW127+(1-EXP(-LN(2)/25))/(LN(2)/25)*Calculateur!ER128*Calculateur!ET128*VLOOKUP('Données projet'!$B$15,Paramètres!$A$1:$I$88,3,0)*0.475*44/12</f>
        <v>8.514625640435213</v>
      </c>
      <c r="EX128" s="23">
        <f>EXP(-LN(2)/2)*EX127+(1-EXP(-LN(2)/2))/(LN(2)/2)*ER128*EU128*VLOOKUP('Données projet'!$B$15,Paramètres!$A$1:$I$88,3,0)*0.475*44/12</f>
        <v>0</v>
      </c>
      <c r="EY128" s="24">
        <f t="shared" si="75"/>
        <v>21.42701557005082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231</v>
      </c>
      <c r="FF128" s="18">
        <f>FE128*VLOOKUP('Données projet'!$B$16,Paramètres!$A$1:$I$88,3,0)*VLOOKUP('Données projet'!$B$16,Paramètres!$A$1:$I$88,5,0)</f>
        <v>169.36920000000001</v>
      </c>
      <c r="FG128" s="14">
        <f t="shared" si="101"/>
        <v>42.948714817158674</v>
      </c>
      <c r="FH128" s="22">
        <f t="shared" si="76"/>
        <v>369.787034973218</v>
      </c>
      <c r="FI128" s="62">
        <f t="shared" si="77"/>
        <v>652.83565334218656</v>
      </c>
      <c r="FJ128" s="62">
        <f ca="1">AVERAGE(OFFSET($FI$3,0,0,'Données projet'!$E$16+1,1))-AVERAGE(OFFSET($H$3,0,0,'Données projet'!$E$16+1,1))</f>
        <v>207.66160354686221</v>
      </c>
      <c r="FK128" s="62">
        <f t="shared" si="102"/>
        <v>260.45879589483525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projet'!$B$16,Paramètres!$A$1:$I$88,3,0)*0.475*44/12</f>
        <v>0.78885315788321531</v>
      </c>
      <c r="FR128" s="23">
        <f>EXP(-LN(2)/25)*FR127+(1-EXP(-LN(2)/25))/(LN(2)/25)*Calculateur!FM128*Calculateur!FO128*VLOOKUP('Données projet'!$B$16,Paramètres!$A$1:$I$88,3,0)*0.475*44/12</f>
        <v>0</v>
      </c>
      <c r="FS128" s="23">
        <f>EXP(-LN(2)/2)*FS127+(1-EXP(-LN(2)/2))/(LN(2)/2)*FM128*FP128*VLOOKUP('Données projet'!$B$16,Paramètres!$A$1:$I$88,3,0)*0.475*44/12</f>
        <v>0</v>
      </c>
      <c r="FT128" s="24">
        <f t="shared" si="78"/>
        <v>0.78885315788321531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projet'!$B$9,Paramètres!$A$1:$I$88,3,0)*VLOOKUP('Données projet'!$B$9,Paramètres!$A$1:$I$88,5,0)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378.13552372917843</v>
      </c>
      <c r="T129" s="62">
        <f t="shared" si="88"/>
        <v>528.97123645404952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59.683975127843802</v>
      </c>
      <c r="AA129" s="23">
        <f>EXP(-LN(2)/25)*AA128+(1-EXP(-LN(2)/25))/(LN(2)/25)*Calculateur!V129*Calculateur!X129*VLOOKUP('Données projet'!$B$9,Paramètres!$A$1:$I$88,3,0)*0.475*44/12</f>
        <v>17.591454093108368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77.275429220952162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8.3000000000000007</v>
      </c>
      <c r="AI129" s="14">
        <f>IF('Données projet'!$A$62&gt;35,AI128+AH129-AQ128,IF(A129&lt;'Données projet'!$A$62,$AF$205^A129,IF(A129='Données projet'!$A$62,'Données projet'!$B$62,AI128+AH129-AQ128)))</f>
        <v>341.80000000000041</v>
      </c>
      <c r="AJ129" s="14">
        <f>AI129*VLOOKUP('Données projet'!$B$10,Paramètres!$A$1:$I$88,3,0)*VLOOKUP('Données projet'!$B$10,Paramètres!$A$1:$I$88,5,0)</f>
        <v>309.26064000000036</v>
      </c>
      <c r="AK129" s="14">
        <f t="shared" si="89"/>
        <v>73.11440092422265</v>
      </c>
      <c r="AL129" s="22">
        <f t="shared" si="58"/>
        <v>665.96986294302167</v>
      </c>
      <c r="AM129" s="62">
        <f t="shared" si="59"/>
        <v>949.19689812344382</v>
      </c>
      <c r="AN129" s="62">
        <f ca="1">AVERAGE(OFFSET($AM$3,0,0,'Données projet'!$E$10+1,1))-AVERAGE(OFFSET($H$3,0,0,'Données projet'!$E$10+1,1))</f>
        <v>536.3707066106856</v>
      </c>
      <c r="AO129" s="62">
        <f t="shared" si="90"/>
        <v>217.6280015974086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31.014435420083661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31.014435420083661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302.3</v>
      </c>
      <c r="BE129" s="14">
        <f>BD129*VLOOKUP('Données projet'!$B$11,Paramètres!$A$1:$I$88,3,0)*VLOOKUP('Données projet'!$B$11,Paramètres!$A$1:$I$88,5,0)</f>
        <v>180.77540000000005</v>
      </c>
      <c r="BF129" s="14">
        <f t="shared" si="91"/>
        <v>45.494655198846154</v>
      </c>
      <c r="BG129" s="22">
        <f t="shared" si="61"/>
        <v>394.08701280465715</v>
      </c>
      <c r="BH129" s="62">
        <f t="shared" si="62"/>
        <v>677.31404798507936</v>
      </c>
      <c r="BI129" s="62">
        <f ca="1">AVERAGE(OFFSET($BH$3,0,0,'Données projet'!$E$11+1,1))-AVERAGE(OFFSET($H$3,0,0,'Données projet'!$E$11+1,1))</f>
        <v>248.66193174773525</v>
      </c>
      <c r="BJ129" s="62">
        <f t="shared" si="92"/>
        <v>249.61655682981151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5.6132005884581293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4.8328342740954607E-10</v>
      </c>
      <c r="BS129" s="24">
        <f t="shared" si="63"/>
        <v>5.6132005889414129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860.00000000000023</v>
      </c>
      <c r="BZ129" s="14">
        <f>BY129*VLOOKUP('Données projet'!$B$12,Paramètres!$A$1:$I$88,3,0)*VLOOKUP('Données projet'!$B$12,Paramètres!$A$1:$I$88,5,0)</f>
        <v>346.5800000000001</v>
      </c>
      <c r="CA129" s="14">
        <f t="shared" si="93"/>
        <v>80.857895771535127</v>
      </c>
      <c r="CB129" s="22">
        <f t="shared" si="64"/>
        <v>744.45433513542378</v>
      </c>
      <c r="CC129" s="62">
        <f t="shared" si="65"/>
        <v>1027.6813703158459</v>
      </c>
      <c r="CD129" s="62">
        <f ca="1">AVERAGE(OFFSET($CC$3,0,0,'Données projet'!$E$12+1,1))-AVERAGE(OFFSET($H$3,0,0,'Données projet'!$E$12+1,1))</f>
        <v>432.59662347701629</v>
      </c>
      <c r="CE129" s="62">
        <f t="shared" si="94"/>
        <v>348.67401091099748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25.285572169248674</v>
      </c>
      <c r="CL129" s="23">
        <f>EXP(-LN(2)/25)*CL128+(1-EXP(-LN(2)/25))/(LN(2)/25)*Calculateur!CG129*Calculateur!CI129*VLOOKUP('Données projet'!$B$12,Paramètres!$A$1:$I$88,3,0)*0.475*44/12</f>
        <v>19.421619091770733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44.707191261019403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1099.9999999999998</v>
      </c>
      <c r="CU129" s="18">
        <f>CT129*VLOOKUP('Données projet'!$B$13,Paramètres!$A$1:$I$88,3,0)*VLOOKUP('Données projet'!$B$13,Paramètres!$A$1:$I$88,5,0)</f>
        <v>486.19999999999993</v>
      </c>
      <c r="CV129" s="14">
        <f t="shared" si="95"/>
        <v>109.0490179035375</v>
      </c>
      <c r="CW129" s="22">
        <f t="shared" si="67"/>
        <v>1036.725372848661</v>
      </c>
      <c r="CX129" s="62">
        <f t="shared" si="68"/>
        <v>1319.9524080290832</v>
      </c>
      <c r="CY129" s="62">
        <f ca="1">AVERAGE(OFFSET($CX$3,0,0,'Données projet'!$E$13+1,1))-AVERAGE(OFFSET($H$3,0,0,'Données projet'!$E$13+1,1))</f>
        <v>582.26951914082088</v>
      </c>
      <c r="CZ129" s="62">
        <f t="shared" si="96"/>
        <v>434.80429932654715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25.478718664245118</v>
      </c>
      <c r="DG129" s="23">
        <f>EXP(-LN(2)/25)*DG128+(1-EXP(-LN(2)/25))/(LN(2)/25)*Calculateur!DB129*Calculateur!DD129*VLOOKUP('Données projet'!$B$13,Paramètres!$A$1:$I$88,3,0)*0.475*44/12</f>
        <v>17.451836505283275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42.93055516952839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498.99999999999955</v>
      </c>
      <c r="DP129" s="18">
        <f>DO129*VLOOKUP('Données projet'!$B$14,Paramètres!$A$1:$I$88,3,0)*VLOOKUP('Données projet'!$B$14,Paramètres!$A$1:$I$88,5,0)</f>
        <v>240.01899999999978</v>
      </c>
      <c r="DQ129" s="14">
        <f t="shared" si="97"/>
        <v>58.443618405936313</v>
      </c>
      <c r="DR129" s="22">
        <f t="shared" si="70"/>
        <v>519.82239372367201</v>
      </c>
      <c r="DS129" s="62">
        <f t="shared" si="71"/>
        <v>803.04942890409416</v>
      </c>
      <c r="DT129" s="62">
        <f ca="1">AVERAGE(OFFSET($DS$3,0,0,'Données projet'!$E$14+1,1))-AVERAGE(OFFSET($H$3,0,0,'Données projet'!$E$14+1,1))</f>
        <v>273.24375559399846</v>
      </c>
      <c r="DU129" s="62">
        <f t="shared" si="98"/>
        <v>270.77718895097848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projet'!$B$14,Paramètres!$A$1:$I$88,3,0)*0.475*44/12</f>
        <v>13.010829889955934</v>
      </c>
      <c r="EB129" s="23">
        <f>EXP(-LN(2)/25)*EB128+(1-EXP(-LN(2)/25))/(LN(2)/25)*Calculateur!DW129*Calculateur!DY129*VLOOKUP('Données projet'!$B$14,Paramètres!$A$1:$I$88,3,0)*0.475*44/12</f>
        <v>8.5118425532698367</v>
      </c>
      <c r="EC129" s="23">
        <f>EXP(-LN(2)/2)*EC128+(1-EXP(-LN(2)/2))/(LN(2)/2)*DW129*DZ129*VLOOKUP('Données projet'!$B$14,Paramètres!$A$1:$I$88,3,0)*0.475*44/12</f>
        <v>0</v>
      </c>
      <c r="ED129" s="24">
        <f t="shared" si="72"/>
        <v>21.522672443225773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498.99999999999955</v>
      </c>
      <c r="EK129" s="18">
        <f>EJ129*VLOOKUP('Données projet'!$B$15,Paramètres!$A$1:$I$88,3,0)*VLOOKUP('Données projet'!$B$15,Paramètres!$A$1:$I$88,5,0)</f>
        <v>233.53199999999975</v>
      </c>
      <c r="EL129" s="14">
        <f t="shared" si="99"/>
        <v>57.04570382109803</v>
      </c>
      <c r="EM129" s="22">
        <f t="shared" si="73"/>
        <v>506.08950082174533</v>
      </c>
      <c r="EN129" s="62">
        <f t="shared" si="74"/>
        <v>789.3165360021676</v>
      </c>
      <c r="EO129" s="62">
        <f ca="1">AVERAGE(OFFSET($EN$3,0,0,'Données projet'!$E$15+1,1))-AVERAGE(OFFSET($H$3,0,0,'Données projet'!$E$15+1,1))</f>
        <v>267.26203506406682</v>
      </c>
      <c r="EP129" s="62">
        <f t="shared" si="100"/>
        <v>265.10857635664843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projet'!$B$15,Paramètres!$A$1:$I$88,3,0)*0.475*44/12</f>
        <v>12.659185838876034</v>
      </c>
      <c r="EW129" s="23">
        <f>EXP(-LN(2)/25)*EW128+(1-EXP(-LN(2)/25))/(LN(2)/25)*Calculateur!ER129*Calculateur!ET129*VLOOKUP('Données projet'!$B$15,Paramètres!$A$1:$I$88,3,0)*0.475*44/12</f>
        <v>8.2817927545328107</v>
      </c>
      <c r="EX129" s="23">
        <f>EXP(-LN(2)/2)*EX128+(1-EXP(-LN(2)/2))/(LN(2)/2)*ER129*EU129*VLOOKUP('Données projet'!$B$15,Paramètres!$A$1:$I$88,3,0)*0.475*44/12</f>
        <v>0</v>
      </c>
      <c r="EY129" s="24">
        <f t="shared" si="75"/>
        <v>20.940978593408843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231</v>
      </c>
      <c r="FF129" s="18">
        <f>FE129*VLOOKUP('Données projet'!$B$16,Paramètres!$A$1:$I$88,3,0)*VLOOKUP('Données projet'!$B$16,Paramètres!$A$1:$I$88,5,0)</f>
        <v>169.36920000000001</v>
      </c>
      <c r="FG129" s="14">
        <f t="shared" si="101"/>
        <v>42.948714817158674</v>
      </c>
      <c r="FH129" s="22">
        <f t="shared" si="76"/>
        <v>369.787034973218</v>
      </c>
      <c r="FI129" s="62">
        <f t="shared" si="77"/>
        <v>653.0140701536402</v>
      </c>
      <c r="FJ129" s="62">
        <f ca="1">AVERAGE(OFFSET($FI$3,0,0,'Données projet'!$E$16+1,1))-AVERAGE(OFFSET($H$3,0,0,'Données projet'!$E$16+1,1))</f>
        <v>207.66160354686221</v>
      </c>
      <c r="FK129" s="62">
        <f t="shared" si="102"/>
        <v>260.45879589483525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projet'!$B$16,Paramètres!$A$1:$I$88,3,0)*0.475*44/12</f>
        <v>0.77338422861004186</v>
      </c>
      <c r="FR129" s="23">
        <f>EXP(-LN(2)/25)*FR128+(1-EXP(-LN(2)/25))/(LN(2)/25)*Calculateur!FM129*Calculateur!FO129*VLOOKUP('Données projet'!$B$16,Paramètres!$A$1:$I$88,3,0)*0.475*44/12</f>
        <v>0</v>
      </c>
      <c r="FS129" s="23">
        <f>EXP(-LN(2)/2)*FS128+(1-EXP(-LN(2)/2))/(LN(2)/2)*FM129*FP129*VLOOKUP('Données projet'!$B$16,Paramètres!$A$1:$I$88,3,0)*0.475*44/12</f>
        <v>0</v>
      </c>
      <c r="FT129" s="24">
        <f t="shared" si="78"/>
        <v>0.77338422861004186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projet'!$B$9,Paramètres!$A$1:$I$88,3,0)*VLOOKUP('Données projet'!$B$9,Paramètres!$A$1:$I$88,5,0)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378.13552372917843</v>
      </c>
      <c r="T130" s="62">
        <f t="shared" si="88"/>
        <v>528.97123645404952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58.513608779217051</v>
      </c>
      <c r="AA130" s="23">
        <f>EXP(-LN(2)/25)*AA129+(1-EXP(-LN(2)/25))/(LN(2)/25)*Calculateur!V130*Calculateur!X130*VLOOKUP('Données projet'!$B$9,Paramètres!$A$1:$I$88,3,0)*0.475*44/12</f>
        <v>17.110414855837956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75.624023635055011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8.3000000000000007</v>
      </c>
      <c r="AI130" s="14">
        <f>IF('Données projet'!$A$62&gt;35,AI129+AH130-AQ129,IF(A130&lt;'Données projet'!$A$62,$AF$205^A130,IF(A130='Données projet'!$A$62,'Données projet'!$B$62,AI129+AH130-AQ129)))</f>
        <v>350.10000000000042</v>
      </c>
      <c r="AJ130" s="14">
        <f>AI130*VLOOKUP('Données projet'!$B$10,Paramètres!$A$1:$I$88,3,0)*VLOOKUP('Données projet'!$B$10,Paramètres!$A$1:$I$88,5,0)</f>
        <v>316.77048000000036</v>
      </c>
      <c r="AK130" s="14">
        <f t="shared" si="89"/>
        <v>74.680993038424063</v>
      </c>
      <c r="AL130" s="22">
        <f t="shared" si="58"/>
        <v>681.77798220858915</v>
      </c>
      <c r="AM130" s="62">
        <f t="shared" si="59"/>
        <v>965.18033906766664</v>
      </c>
      <c r="AN130" s="62">
        <f ca="1">AVERAGE(OFFSET($AM$3,0,0,'Données projet'!$E$10+1,1))-AVERAGE(OFFSET($H$3,0,0,'Données projet'!$E$10+1,1))</f>
        <v>536.3707066106856</v>
      </c>
      <c r="AO130" s="62">
        <f t="shared" si="90"/>
        <v>217.6280015974086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30.406261258433535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30.406261258433535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302.3</v>
      </c>
      <c r="BE130" s="14">
        <f>BD130*VLOOKUP('Données projet'!$B$11,Paramètres!$A$1:$I$88,3,0)*VLOOKUP('Données projet'!$B$11,Paramètres!$A$1:$I$88,5,0)</f>
        <v>180.77540000000005</v>
      </c>
      <c r="BF130" s="14">
        <f t="shared" si="91"/>
        <v>45.494655198846154</v>
      </c>
      <c r="BG130" s="22">
        <f t="shared" si="61"/>
        <v>394.08701280465715</v>
      </c>
      <c r="BH130" s="62">
        <f t="shared" si="62"/>
        <v>677.48936966373458</v>
      </c>
      <c r="BI130" s="62">
        <f ca="1">AVERAGE(OFFSET($BH$3,0,0,'Données projet'!$E$11+1,1))-AVERAGE(OFFSET($H$3,0,0,'Données projet'!$E$11+1,1))</f>
        <v>248.66193174773525</v>
      </c>
      <c r="BJ130" s="62">
        <f t="shared" si="92"/>
        <v>249.61655682981151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5.5031291486327607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3.4173298875636662E-10</v>
      </c>
      <c r="BS130" s="24">
        <f t="shared" si="63"/>
        <v>5.5031291489744936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860.00000000000023</v>
      </c>
      <c r="BZ130" s="14">
        <f>BY130*VLOOKUP('Données projet'!$B$12,Paramètres!$A$1:$I$88,3,0)*VLOOKUP('Données projet'!$B$12,Paramètres!$A$1:$I$88,5,0)</f>
        <v>346.5800000000001</v>
      </c>
      <c r="CA130" s="14">
        <f t="shared" si="93"/>
        <v>80.857895771535127</v>
      </c>
      <c r="CB130" s="22">
        <f t="shared" si="64"/>
        <v>744.45433513542378</v>
      </c>
      <c r="CC130" s="62">
        <f t="shared" si="65"/>
        <v>1027.8566919945013</v>
      </c>
      <c r="CD130" s="62">
        <f ca="1">AVERAGE(OFFSET($CC$3,0,0,'Données projet'!$E$12+1,1))-AVERAGE(OFFSET($H$3,0,0,'Données projet'!$E$12+1,1))</f>
        <v>432.59662347701629</v>
      </c>
      <c r="CE130" s="62">
        <f t="shared" si="94"/>
        <v>348.67401091099748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24.789737521685868</v>
      </c>
      <c r="CL130" s="23">
        <f>EXP(-LN(2)/25)*CL129+(1-EXP(-LN(2)/25))/(LN(2)/25)*Calculateur!CG130*Calculateur!CI130*VLOOKUP('Données projet'!$B$12,Paramètres!$A$1:$I$88,3,0)*0.475*44/12</f>
        <v>18.890533896367703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43.680271418053572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1099.9999999999998</v>
      </c>
      <c r="CU130" s="18">
        <f>CT130*VLOOKUP('Données projet'!$B$13,Paramètres!$A$1:$I$88,3,0)*VLOOKUP('Données projet'!$B$13,Paramètres!$A$1:$I$88,5,0)</f>
        <v>486.19999999999993</v>
      </c>
      <c r="CV130" s="14">
        <f t="shared" si="95"/>
        <v>109.0490179035375</v>
      </c>
      <c r="CW130" s="22">
        <f t="shared" si="67"/>
        <v>1036.725372848661</v>
      </c>
      <c r="CX130" s="62">
        <f t="shared" si="68"/>
        <v>1320.1277297077384</v>
      </c>
      <c r="CY130" s="62">
        <f ca="1">AVERAGE(OFFSET($CX$3,0,0,'Données projet'!$E$13+1,1))-AVERAGE(OFFSET($H$3,0,0,'Données projet'!$E$13+1,1))</f>
        <v>582.26951914082088</v>
      </c>
      <c r="CZ130" s="62">
        <f t="shared" si="96"/>
        <v>434.80429932654715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24.979096531723162</v>
      </c>
      <c r="DG130" s="23">
        <f>EXP(-LN(2)/25)*DG129+(1-EXP(-LN(2)/25))/(LN(2)/25)*Calculateur!DB130*Calculateur!DD130*VLOOKUP('Données projet'!$B$13,Paramètres!$A$1:$I$88,3,0)*0.475*44/12</f>
        <v>16.974615118294107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41.953711650017269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498.99999999999955</v>
      </c>
      <c r="DP130" s="18">
        <f>DO130*VLOOKUP('Données projet'!$B$14,Paramètres!$A$1:$I$88,3,0)*VLOOKUP('Données projet'!$B$14,Paramètres!$A$1:$I$88,5,0)</f>
        <v>240.01899999999978</v>
      </c>
      <c r="DQ130" s="14">
        <f t="shared" si="97"/>
        <v>58.443618405936313</v>
      </c>
      <c r="DR130" s="22">
        <f t="shared" si="70"/>
        <v>519.82239372367201</v>
      </c>
      <c r="DS130" s="62">
        <f t="shared" si="71"/>
        <v>803.22475058274949</v>
      </c>
      <c r="DT130" s="62">
        <f ca="1">AVERAGE(OFFSET($DS$3,0,0,'Données projet'!$E$14+1,1))-AVERAGE(OFFSET($H$3,0,0,'Données projet'!$E$14+1,1))</f>
        <v>273.24375559399846</v>
      </c>
      <c r="DU130" s="62">
        <f t="shared" si="98"/>
        <v>270.77718895097848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projet'!$B$14,Paramètres!$A$1:$I$88,3,0)*0.475*44/12</f>
        <v>12.755695451636534</v>
      </c>
      <c r="EB130" s="23">
        <f>EXP(-LN(2)/25)*EB129+(1-EXP(-LN(2)/25))/(LN(2)/25)*Calculateur!DW130*Calculateur!DY130*VLOOKUP('Données projet'!$B$14,Paramètres!$A$1:$I$88,3,0)*0.475*44/12</f>
        <v>8.279085771032328</v>
      </c>
      <c r="EC130" s="23">
        <f>EXP(-LN(2)/2)*EC129+(1-EXP(-LN(2)/2))/(LN(2)/2)*DW130*DZ130*VLOOKUP('Données projet'!$B$14,Paramètres!$A$1:$I$88,3,0)*0.475*44/12</f>
        <v>0</v>
      </c>
      <c r="ED130" s="24">
        <f t="shared" si="72"/>
        <v>21.034781222668862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498.99999999999955</v>
      </c>
      <c r="EK130" s="18">
        <f>EJ130*VLOOKUP('Données projet'!$B$15,Paramètres!$A$1:$I$88,3,0)*VLOOKUP('Données projet'!$B$15,Paramètres!$A$1:$I$88,5,0)</f>
        <v>233.53199999999975</v>
      </c>
      <c r="EL130" s="14">
        <f t="shared" si="99"/>
        <v>57.04570382109803</v>
      </c>
      <c r="EM130" s="22">
        <f t="shared" si="73"/>
        <v>506.08950082174533</v>
      </c>
      <c r="EN130" s="62">
        <f t="shared" si="74"/>
        <v>789.4918576808227</v>
      </c>
      <c r="EO130" s="62">
        <f ca="1">AVERAGE(OFFSET($EN$3,0,0,'Données projet'!$E$15+1,1))-AVERAGE(OFFSET($H$3,0,0,'Données projet'!$E$15+1,1))</f>
        <v>267.26203506406682</v>
      </c>
      <c r="EP130" s="62">
        <f t="shared" si="100"/>
        <v>265.10857635664843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projet'!$B$15,Paramètres!$A$1:$I$88,3,0)*0.475*44/12</f>
        <v>12.410946925916617</v>
      </c>
      <c r="EW130" s="23">
        <f>EXP(-LN(2)/25)*EW129+(1-EXP(-LN(2)/25))/(LN(2)/25)*Calculateur!ER130*Calculateur!ET130*VLOOKUP('Données projet'!$B$15,Paramètres!$A$1:$I$88,3,0)*0.475*44/12</f>
        <v>8.0553266961395575</v>
      </c>
      <c r="EX130" s="23">
        <f>EXP(-LN(2)/2)*EX129+(1-EXP(-LN(2)/2))/(LN(2)/2)*ER130*EU130*VLOOKUP('Données projet'!$B$15,Paramètres!$A$1:$I$88,3,0)*0.475*44/12</f>
        <v>0</v>
      </c>
      <c r="EY130" s="24">
        <f t="shared" si="75"/>
        <v>20.466273622056175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231</v>
      </c>
      <c r="FF130" s="18">
        <f>FE130*VLOOKUP('Données projet'!$B$16,Paramètres!$A$1:$I$88,3,0)*VLOOKUP('Données projet'!$B$16,Paramètres!$A$1:$I$88,5,0)</f>
        <v>169.36920000000001</v>
      </c>
      <c r="FG130" s="14">
        <f t="shared" si="101"/>
        <v>42.948714817158674</v>
      </c>
      <c r="FH130" s="22">
        <f t="shared" si="76"/>
        <v>369.787034973218</v>
      </c>
      <c r="FI130" s="62">
        <f t="shared" si="77"/>
        <v>653.18939183229543</v>
      </c>
      <c r="FJ130" s="62">
        <f ca="1">AVERAGE(OFFSET($FI$3,0,0,'Données projet'!$E$16+1,1))-AVERAGE(OFFSET($H$3,0,0,'Données projet'!$E$16+1,1))</f>
        <v>207.66160354686221</v>
      </c>
      <c r="FK130" s="62">
        <f t="shared" si="102"/>
        <v>260.45879589483525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projet'!$B$16,Paramètres!$A$1:$I$88,3,0)*0.475*44/12</f>
        <v>0.75821863560480007</v>
      </c>
      <c r="FR130" s="23">
        <f>EXP(-LN(2)/25)*FR129+(1-EXP(-LN(2)/25))/(LN(2)/25)*Calculateur!FM130*Calculateur!FO130*VLOOKUP('Données projet'!$B$16,Paramètres!$A$1:$I$88,3,0)*0.475*44/12</f>
        <v>0</v>
      </c>
      <c r="FS130" s="23">
        <f>EXP(-LN(2)/2)*FS129+(1-EXP(-LN(2)/2))/(LN(2)/2)*FM130*FP130*VLOOKUP('Données projet'!$B$16,Paramètres!$A$1:$I$88,3,0)*0.475*44/12</f>
        <v>0</v>
      </c>
      <c r="FT130" s="24">
        <f t="shared" si="78"/>
        <v>0.75821863560480007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projet'!$B$9,Paramètres!$A$1:$I$88,3,0)*VLOOKUP('Données projet'!$B$9,Paramètres!$A$1:$I$88,5,0)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378.13552372917843</v>
      </c>
      <c r="T131" s="62">
        <f t="shared" si="88"/>
        <v>528.97123645404952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57.366192600833891</v>
      </c>
      <c r="AA131" s="23">
        <f>EXP(-LN(2)/25)*AA130+(1-EXP(-LN(2)/25))/(LN(2)/25)*Calculateur!V131*Calculateur!X131*VLOOKUP('Données projet'!$B$9,Paramètres!$A$1:$I$88,3,0)*0.475*44/12</f>
        <v>16.642529661807455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74.008722262641342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8.3000000000000007</v>
      </c>
      <c r="AI131" s="14">
        <f>IF('Données projet'!$A$62&gt;35,AI130+AH131-AQ130,IF(A131&lt;'Données projet'!$A$62,$AF$205^A131,IF(A131='Données projet'!$A$62,'Données projet'!$B$62,AI130+AH131-AQ130)))</f>
        <v>358.40000000000043</v>
      </c>
      <c r="AJ131" s="14">
        <f>AI131*VLOOKUP('Données projet'!$B$10,Paramètres!$A$1:$I$88,3,0)*VLOOKUP('Données projet'!$B$10,Paramètres!$A$1:$I$88,5,0)</f>
        <v>324.28032000000042</v>
      </c>
      <c r="AK131" s="14">
        <f t="shared" si="89"/>
        <v>76.243267588418149</v>
      </c>
      <c r="AL131" s="22">
        <f t="shared" si="58"/>
        <v>697.57858171649559</v>
      </c>
      <c r="AM131" s="62">
        <f t="shared" si="59"/>
        <v>981.15321881506406</v>
      </c>
      <c r="AN131" s="62">
        <f ca="1">AVERAGE(OFFSET($AM$3,0,0,'Données projet'!$E$10+1,1))-AVERAGE(OFFSET($H$3,0,0,'Données projet'!$E$10+1,1))</f>
        <v>536.3707066106856</v>
      </c>
      <c r="AO131" s="62">
        <f t="shared" si="90"/>
        <v>217.6280015974086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29.810013021143757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29.810013021143757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302.3</v>
      </c>
      <c r="BE131" s="14">
        <f>BD131*VLOOKUP('Données projet'!$B$11,Paramètres!$A$1:$I$88,3,0)*VLOOKUP('Données projet'!$B$11,Paramètres!$A$1:$I$88,5,0)</f>
        <v>180.77540000000005</v>
      </c>
      <c r="BF131" s="14">
        <f t="shared" si="91"/>
        <v>45.494655198846154</v>
      </c>
      <c r="BG131" s="22">
        <f t="shared" si="61"/>
        <v>394.08701280465715</v>
      </c>
      <c r="BH131" s="62">
        <f t="shared" si="62"/>
        <v>677.66164990322568</v>
      </c>
      <c r="BI131" s="62">
        <f ca="1">AVERAGE(OFFSET($BH$3,0,0,'Données projet'!$E$11+1,1))-AVERAGE(OFFSET($H$3,0,0,'Données projet'!$E$11+1,1))</f>
        <v>248.66193174773525</v>
      </c>
      <c r="BJ131" s="62">
        <f t="shared" si="92"/>
        <v>249.61655682981151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5.3952161426054186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2.4164171370477303E-10</v>
      </c>
      <c r="BS131" s="24">
        <f t="shared" si="63"/>
        <v>5.39521614284706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860.00000000000023</v>
      </c>
      <c r="BZ131" s="14">
        <f>BY131*VLOOKUP('Données projet'!$B$12,Paramètres!$A$1:$I$88,3,0)*VLOOKUP('Données projet'!$B$12,Paramètres!$A$1:$I$88,5,0)</f>
        <v>346.5800000000001</v>
      </c>
      <c r="CA131" s="14">
        <f t="shared" si="93"/>
        <v>80.857895771535127</v>
      </c>
      <c r="CB131" s="22">
        <f t="shared" si="64"/>
        <v>744.45433513542378</v>
      </c>
      <c r="CC131" s="62">
        <f t="shared" si="65"/>
        <v>1028.0289722339924</v>
      </c>
      <c r="CD131" s="62">
        <f ca="1">AVERAGE(OFFSET($CC$3,0,0,'Données projet'!$E$12+1,1))-AVERAGE(OFFSET($H$3,0,0,'Données projet'!$E$12+1,1))</f>
        <v>432.59662347701629</v>
      </c>
      <c r="CE131" s="62">
        <f t="shared" si="94"/>
        <v>348.67401091099748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24.303625889132498</v>
      </c>
      <c r="CL131" s="23">
        <f>EXP(-LN(2)/25)*CL130+(1-EXP(-LN(2)/25))/(LN(2)/25)*Calculateur!CG131*Calculateur!CI131*VLOOKUP('Données projet'!$B$12,Paramètres!$A$1:$I$88,3,0)*0.475*44/12</f>
        <v>18.373971253561525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42.677597142694026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1099.9999999999998</v>
      </c>
      <c r="CU131" s="18">
        <f>CT131*VLOOKUP('Données projet'!$B$13,Paramètres!$A$1:$I$88,3,0)*VLOOKUP('Données projet'!$B$13,Paramètres!$A$1:$I$88,5,0)</f>
        <v>486.19999999999993</v>
      </c>
      <c r="CV131" s="14">
        <f t="shared" si="95"/>
        <v>109.0490179035375</v>
      </c>
      <c r="CW131" s="22">
        <f t="shared" si="67"/>
        <v>1036.725372848661</v>
      </c>
      <c r="CX131" s="62">
        <f t="shared" si="68"/>
        <v>1320.3000099472295</v>
      </c>
      <c r="CY131" s="62">
        <f ca="1">AVERAGE(OFFSET($CX$3,0,0,'Données projet'!$E$13+1,1))-AVERAGE(OFFSET($H$3,0,0,'Données projet'!$E$13+1,1))</f>
        <v>582.26951914082088</v>
      </c>
      <c r="CZ131" s="62">
        <f t="shared" si="96"/>
        <v>434.80429932654715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24.489271684480549</v>
      </c>
      <c r="DG131" s="23">
        <f>EXP(-LN(2)/25)*DG130+(1-EXP(-LN(2)/25))/(LN(2)/25)*Calculateur!DB131*Calculateur!DD131*VLOOKUP('Données projet'!$B$13,Paramètres!$A$1:$I$88,3,0)*0.475*44/12</f>
        <v>16.510443375228142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40.999715059708691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498.99999999999955</v>
      </c>
      <c r="DP131" s="18">
        <f>DO131*VLOOKUP('Données projet'!$B$14,Paramètres!$A$1:$I$88,3,0)*VLOOKUP('Données projet'!$B$14,Paramètres!$A$1:$I$88,5,0)</f>
        <v>240.01899999999978</v>
      </c>
      <c r="DQ131" s="14">
        <f t="shared" si="97"/>
        <v>58.443618405936313</v>
      </c>
      <c r="DR131" s="22">
        <f t="shared" si="70"/>
        <v>519.82239372367201</v>
      </c>
      <c r="DS131" s="62">
        <f t="shared" si="71"/>
        <v>803.39703082224059</v>
      </c>
      <c r="DT131" s="62">
        <f ca="1">AVERAGE(OFFSET($DS$3,0,0,'Données projet'!$E$14+1,1))-AVERAGE(OFFSET($H$3,0,0,'Données projet'!$E$14+1,1))</f>
        <v>273.24375559399846</v>
      </c>
      <c r="DU131" s="62">
        <f t="shared" si="98"/>
        <v>270.77718895097848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projet'!$B$14,Paramètres!$A$1:$I$88,3,0)*0.475*44/12</f>
        <v>12.505564044035935</v>
      </c>
      <c r="EB131" s="23">
        <f>EXP(-LN(2)/25)*EB130+(1-EXP(-LN(2)/25))/(LN(2)/25)*Calculateur!DW131*Calculateur!DY131*VLOOKUP('Données projet'!$B$14,Paramètres!$A$1:$I$88,3,0)*0.475*44/12</f>
        <v>8.052693735245251</v>
      </c>
      <c r="EC131" s="23">
        <f>EXP(-LN(2)/2)*EC130+(1-EXP(-LN(2)/2))/(LN(2)/2)*DW131*DZ131*VLOOKUP('Données projet'!$B$14,Paramètres!$A$1:$I$88,3,0)*0.475*44/12</f>
        <v>0</v>
      </c>
      <c r="ED131" s="24">
        <f t="shared" si="72"/>
        <v>20.558257779281185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498.99999999999955</v>
      </c>
      <c r="EK131" s="18">
        <f>EJ131*VLOOKUP('Données projet'!$B$15,Paramètres!$A$1:$I$88,3,0)*VLOOKUP('Données projet'!$B$15,Paramètres!$A$1:$I$88,5,0)</f>
        <v>233.53199999999975</v>
      </c>
      <c r="EL131" s="14">
        <f t="shared" si="99"/>
        <v>57.04570382109803</v>
      </c>
      <c r="EM131" s="22">
        <f t="shared" si="73"/>
        <v>506.08950082174533</v>
      </c>
      <c r="EN131" s="62">
        <f t="shared" si="74"/>
        <v>789.66413792031381</v>
      </c>
      <c r="EO131" s="62">
        <f ca="1">AVERAGE(OFFSET($EN$3,0,0,'Données projet'!$E$15+1,1))-AVERAGE(OFFSET($H$3,0,0,'Données projet'!$E$15+1,1))</f>
        <v>267.26203506406682</v>
      </c>
      <c r="EP131" s="62">
        <f t="shared" si="100"/>
        <v>265.10857635664843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projet'!$B$15,Paramètres!$A$1:$I$88,3,0)*0.475*44/12</f>
        <v>12.167575826629548</v>
      </c>
      <c r="EW131" s="23">
        <f>EXP(-LN(2)/25)*EW130+(1-EXP(-LN(2)/25))/(LN(2)/25)*Calculateur!ER131*Calculateur!ET131*VLOOKUP('Données projet'!$B$15,Paramètres!$A$1:$I$88,3,0)*0.475*44/12</f>
        <v>7.8350533640224009</v>
      </c>
      <c r="EX131" s="23">
        <f>EXP(-LN(2)/2)*EX130+(1-EXP(-LN(2)/2))/(LN(2)/2)*ER131*EU131*VLOOKUP('Données projet'!$B$15,Paramètres!$A$1:$I$88,3,0)*0.475*44/12</f>
        <v>0</v>
      </c>
      <c r="EY131" s="24">
        <f t="shared" si="75"/>
        <v>20.002629190651948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231</v>
      </c>
      <c r="FF131" s="18">
        <f>FE131*VLOOKUP('Données projet'!$B$16,Paramètres!$A$1:$I$88,3,0)*VLOOKUP('Données projet'!$B$16,Paramètres!$A$1:$I$88,5,0)</f>
        <v>169.36920000000001</v>
      </c>
      <c r="FG131" s="14">
        <f t="shared" si="101"/>
        <v>42.948714817158674</v>
      </c>
      <c r="FH131" s="22">
        <f t="shared" si="76"/>
        <v>369.787034973218</v>
      </c>
      <c r="FI131" s="62">
        <f t="shared" si="77"/>
        <v>653.36167207178653</v>
      </c>
      <c r="FJ131" s="62">
        <f ca="1">AVERAGE(OFFSET($FI$3,0,0,'Données projet'!$E$16+1,1))-AVERAGE(OFFSET($H$3,0,0,'Données projet'!$E$16+1,1))</f>
        <v>207.66160354686221</v>
      </c>
      <c r="FK131" s="62">
        <f t="shared" si="102"/>
        <v>260.45879589483525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projet'!$B$16,Paramètres!$A$1:$I$88,3,0)*0.475*44/12</f>
        <v>0.74335043062829276</v>
      </c>
      <c r="FR131" s="23">
        <f>EXP(-LN(2)/25)*FR130+(1-EXP(-LN(2)/25))/(LN(2)/25)*Calculateur!FM131*Calculateur!FO131*VLOOKUP('Données projet'!$B$16,Paramètres!$A$1:$I$88,3,0)*0.475*44/12</f>
        <v>0</v>
      </c>
      <c r="FS131" s="23">
        <f>EXP(-LN(2)/2)*FS130+(1-EXP(-LN(2)/2))/(LN(2)/2)*FM131*FP131*VLOOKUP('Données projet'!$B$16,Paramètres!$A$1:$I$88,3,0)*0.475*44/12</f>
        <v>0</v>
      </c>
      <c r="FT131" s="24">
        <f t="shared" si="78"/>
        <v>0.74335043062829276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projet'!$B$9,Paramètres!$A$1:$I$88,3,0)*VLOOKUP('Données projet'!$B$9,Paramètres!$A$1:$I$88,5,0)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378.13552372917843</v>
      </c>
      <c r="T132" s="62">
        <f t="shared" si="88"/>
        <v>528.97123645404952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56.241276553854057</v>
      </c>
      <c r="AA132" s="23">
        <f>EXP(-LN(2)/25)*AA131+(1-EXP(-LN(2)/25))/(LN(2)/25)*Calculateur!V132*Calculateur!X132*VLOOKUP('Données projet'!$B$9,Paramètres!$A$1:$I$88,3,0)*0.475*44/12</f>
        <v>16.187438813012733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72.428715366866783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8.3000000000000007</v>
      </c>
      <c r="AI132" s="14">
        <f>IF('Données projet'!$A$62&gt;35,AI131+AH132-AQ131,IF(A132&lt;'Données projet'!$A$62,$AF$205^A132,IF(A132='Données projet'!$A$62,'Données projet'!$B$62,AI131+AH132-AQ131)))</f>
        <v>366.70000000000044</v>
      </c>
      <c r="AJ132" s="14">
        <f>AI132*VLOOKUP('Données projet'!$B$10,Paramètres!$A$1:$I$88,3,0)*VLOOKUP('Données projet'!$B$10,Paramètres!$A$1:$I$88,5,0)</f>
        <v>331.79016000000036</v>
      </c>
      <c r="AK132" s="14">
        <f t="shared" si="89"/>
        <v>77.801336070894891</v>
      </c>
      <c r="AL132" s="22">
        <f t="shared" ref="AL132:AL153" si="112">(AJ132+AK132)*0.475*44/12</f>
        <v>713.3718556568092</v>
      </c>
      <c r="AM132" s="62">
        <f t="shared" ref="AM132:AM195" si="113">AL132+(AD132+AE132)*44/12</f>
        <v>997.11578431787461</v>
      </c>
      <c r="AN132" s="62">
        <f ca="1">AVERAGE(OFFSET($AM$3,0,0,'Données projet'!$E$10+1,1))-AVERAGE(OFFSET($H$3,0,0,'Données projet'!$E$10+1,1))</f>
        <v>536.3707066106856</v>
      </c>
      <c r="AO132" s="62">
        <f t="shared" si="90"/>
        <v>217.6280015974086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29.225456848111715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29.225456848111715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302.3</v>
      </c>
      <c r="BE132" s="14">
        <f>BD132*VLOOKUP('Données projet'!$B$11,Paramètres!$A$1:$I$88,3,0)*VLOOKUP('Données projet'!$B$11,Paramètres!$A$1:$I$88,5,0)</f>
        <v>180.77540000000005</v>
      </c>
      <c r="BF132" s="14">
        <f t="shared" si="91"/>
        <v>45.494655198846154</v>
      </c>
      <c r="BG132" s="22">
        <f t="shared" ref="BG132:BG153" si="115">(BE132+BF132)*0.475*44/12</f>
        <v>394.08701280465715</v>
      </c>
      <c r="BH132" s="62">
        <f t="shared" ref="BH132:BH195" si="116">BG132+(AY132+AZ132)*44/12</f>
        <v>677.8309414657225</v>
      </c>
      <c r="BI132" s="62">
        <f ca="1">AVERAGE(OFFSET($BH$3,0,0,'Données projet'!$E$11+1,1))-AVERAGE(OFFSET($H$3,0,0,'Données projet'!$E$11+1,1))</f>
        <v>248.66193174773525</v>
      </c>
      <c r="BJ132" s="62">
        <f t="shared" si="92"/>
        <v>249.61655682981151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5.2894192448058384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1.7086649437818331E-10</v>
      </c>
      <c r="BS132" s="24">
        <f t="shared" ref="BS132:BS153" si="117">SUM(BP132:BR132)</f>
        <v>5.2894192449767052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860.00000000000023</v>
      </c>
      <c r="BZ132" s="14">
        <f>BY132*VLOOKUP('Données projet'!$B$12,Paramètres!$A$1:$I$88,3,0)*VLOOKUP('Données projet'!$B$12,Paramètres!$A$1:$I$88,5,0)</f>
        <v>346.5800000000001</v>
      </c>
      <c r="CA132" s="14">
        <f t="shared" si="93"/>
        <v>80.857895771535127</v>
      </c>
      <c r="CB132" s="22">
        <f t="shared" ref="CB132:CB153" si="118">(BZ132+CA132)*0.475*44/12</f>
        <v>744.45433513542378</v>
      </c>
      <c r="CC132" s="62">
        <f t="shared" ref="CC132:CC195" si="119">CB132+(BT132+BU132)*44/12</f>
        <v>1028.1982637964891</v>
      </c>
      <c r="CD132" s="62">
        <f ca="1">AVERAGE(OFFSET($CC$3,0,0,'Données projet'!$E$12+1,1))-AVERAGE(OFFSET($H$3,0,0,'Données projet'!$E$12+1,1))</f>
        <v>432.59662347701629</v>
      </c>
      <c r="CE132" s="62">
        <f t="shared" si="94"/>
        <v>348.67401091099748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23.827046609194678</v>
      </c>
      <c r="CL132" s="23">
        <f>EXP(-LN(2)/25)*CL131+(1-EXP(-LN(2)/25))/(LN(2)/25)*Calculateur!CG132*Calculateur!CI132*VLOOKUP('Données projet'!$B$12,Paramètres!$A$1:$I$88,3,0)*0.475*44/12</f>
        <v>17.871534043387729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41.698580652582407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1099.9999999999998</v>
      </c>
      <c r="CU132" s="18">
        <f>CT132*VLOOKUP('Données projet'!$B$13,Paramètres!$A$1:$I$88,3,0)*VLOOKUP('Données projet'!$B$13,Paramètres!$A$1:$I$88,5,0)</f>
        <v>486.19999999999993</v>
      </c>
      <c r="CV132" s="14">
        <f t="shared" si="95"/>
        <v>109.0490179035375</v>
      </c>
      <c r="CW132" s="22">
        <f t="shared" ref="CW132:CW153" si="121">(CU132+CV132)*0.475*44/12</f>
        <v>1036.725372848661</v>
      </c>
      <c r="CX132" s="62">
        <f t="shared" ref="CX132:CX195" si="122">CW132+(CO132+CP132)*44/12</f>
        <v>1320.4693015097264</v>
      </c>
      <c r="CY132" s="62">
        <f ca="1">AVERAGE(OFFSET($CX$3,0,0,'Données projet'!$E$13+1,1))-AVERAGE(OFFSET($H$3,0,0,'Données projet'!$E$13+1,1))</f>
        <v>582.26951914082088</v>
      </c>
      <c r="CZ132" s="62">
        <f t="shared" si="96"/>
        <v>434.80429932654715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24.009052003728709</v>
      </c>
      <c r="DG132" s="23">
        <f>EXP(-LN(2)/25)*DG131+(1-EXP(-LN(2)/25))/(LN(2)/25)*Calculateur!DB132*Calculateur!DD132*VLOOKUP('Données projet'!$B$13,Paramètres!$A$1:$I$88,3,0)*0.475*44/12</f>
        <v>16.058964432886047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40.068016436614755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498.99999999999955</v>
      </c>
      <c r="DP132" s="18">
        <f>DO132*VLOOKUP('Données projet'!$B$14,Paramètres!$A$1:$I$88,3,0)*VLOOKUP('Données projet'!$B$14,Paramètres!$A$1:$I$88,5,0)</f>
        <v>240.01899999999978</v>
      </c>
      <c r="DQ132" s="14">
        <f t="shared" si="97"/>
        <v>58.443618405936313</v>
      </c>
      <c r="DR132" s="22">
        <f t="shared" ref="DR132:DR153" si="124">(DP132+DQ132)*0.475*44/12</f>
        <v>519.82239372367201</v>
      </c>
      <c r="DS132" s="62">
        <f t="shared" ref="DS132:DS195" si="125">DR132+(DJ132+DK132)*44/12</f>
        <v>803.5663223847373</v>
      </c>
      <c r="DT132" s="62">
        <f ca="1">AVERAGE(OFFSET($DS$3,0,0,'Données projet'!$E$14+1,1))-AVERAGE(OFFSET($H$3,0,0,'Données projet'!$E$14+1,1))</f>
        <v>273.24375559399846</v>
      </c>
      <c r="DU132" s="62">
        <f t="shared" si="98"/>
        <v>270.77718895097848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projet'!$B$14,Paramètres!$A$1:$I$88,3,0)*0.475*44/12</f>
        <v>12.260337560773291</v>
      </c>
      <c r="EB132" s="23">
        <f>EXP(-LN(2)/25)*EB131+(1-EXP(-LN(2)/25))/(LN(2)/25)*Calculateur!DW132*Calculateur!DY132*VLOOKUP('Données projet'!$B$14,Paramètres!$A$1:$I$88,3,0)*0.475*44/12</f>
        <v>7.8324924015822104</v>
      </c>
      <c r="EC132" s="23">
        <f>EXP(-LN(2)/2)*EC131+(1-EXP(-LN(2)/2))/(LN(2)/2)*DW132*DZ132*VLOOKUP('Données projet'!$B$14,Paramètres!$A$1:$I$88,3,0)*0.475*44/12</f>
        <v>0</v>
      </c>
      <c r="ED132" s="24">
        <f t="shared" ref="ED132:ED153" si="126">SUM(EA132:EC132)</f>
        <v>20.092829962355502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498.99999999999955</v>
      </c>
      <c r="EK132" s="18">
        <f>EJ132*VLOOKUP('Données projet'!$B$15,Paramètres!$A$1:$I$88,3,0)*VLOOKUP('Données projet'!$B$15,Paramètres!$A$1:$I$88,5,0)</f>
        <v>233.53199999999975</v>
      </c>
      <c r="EL132" s="14">
        <f t="shared" si="99"/>
        <v>57.04570382109803</v>
      </c>
      <c r="EM132" s="22">
        <f t="shared" ref="EM132:EM153" si="127">(EK132+EL132)*0.475*44/12</f>
        <v>506.08950082174533</v>
      </c>
      <c r="EN132" s="62">
        <f t="shared" ref="EN132:EN195" si="128">EM132+(EE132+EF132)*44/12</f>
        <v>789.83342948281074</v>
      </c>
      <c r="EO132" s="62">
        <f ca="1">AVERAGE(OFFSET($EN$3,0,0,'Données projet'!$E$15+1,1))-AVERAGE(OFFSET($H$3,0,0,'Données projet'!$E$15+1,1))</f>
        <v>267.26203506406682</v>
      </c>
      <c r="EP132" s="62">
        <f t="shared" si="100"/>
        <v>265.10857635664843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projet'!$B$15,Paramètres!$A$1:$I$88,3,0)*0.475*44/12</f>
        <v>11.928977086157786</v>
      </c>
      <c r="EW132" s="23">
        <f>EXP(-LN(2)/25)*EW131+(1-EXP(-LN(2)/25))/(LN(2)/25)*Calculateur!ER132*Calculateur!ET132*VLOOKUP('Données projet'!$B$15,Paramètres!$A$1:$I$88,3,0)*0.475*44/12</f>
        <v>7.6208034177556589</v>
      </c>
      <c r="EX132" s="23">
        <f>EXP(-LN(2)/2)*EX131+(1-EXP(-LN(2)/2))/(LN(2)/2)*ER132*EU132*VLOOKUP('Données projet'!$B$15,Paramètres!$A$1:$I$88,3,0)*0.475*44/12</f>
        <v>0</v>
      </c>
      <c r="EY132" s="24">
        <f t="shared" ref="EY132:EY153" si="129">SUM(EV132:EX132)</f>
        <v>19.549780503913446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231</v>
      </c>
      <c r="FF132" s="18">
        <f>FE132*VLOOKUP('Données projet'!$B$16,Paramètres!$A$1:$I$88,3,0)*VLOOKUP('Données projet'!$B$16,Paramètres!$A$1:$I$88,5,0)</f>
        <v>169.36920000000001</v>
      </c>
      <c r="FG132" s="14">
        <f t="shared" si="101"/>
        <v>42.948714817158674</v>
      </c>
      <c r="FH132" s="22">
        <f t="shared" ref="FH132:FH153" si="130">(FF132+FG132)*0.475*44/12</f>
        <v>369.787034973218</v>
      </c>
      <c r="FI132" s="62">
        <f t="shared" ref="FI132:FI195" si="131">FH132+(EZ132+FA132)*44/12</f>
        <v>653.53096363428335</v>
      </c>
      <c r="FJ132" s="62">
        <f ca="1">AVERAGE(OFFSET($FI$3,0,0,'Données projet'!$E$16+1,1))-AVERAGE(OFFSET($H$3,0,0,'Données projet'!$E$16+1,1))</f>
        <v>207.66160354686221</v>
      </c>
      <c r="FK132" s="62">
        <f t="shared" si="102"/>
        <v>260.45879589483525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projet'!$B$16,Paramètres!$A$1:$I$88,3,0)*0.475*44/12</f>
        <v>0.72877378208266519</v>
      </c>
      <c r="FR132" s="23">
        <f>EXP(-LN(2)/25)*FR131+(1-EXP(-LN(2)/25))/(LN(2)/25)*Calculateur!FM132*Calculateur!FO132*VLOOKUP('Données projet'!$B$16,Paramètres!$A$1:$I$88,3,0)*0.475*44/12</f>
        <v>0</v>
      </c>
      <c r="FS132" s="23">
        <f>EXP(-LN(2)/2)*FS131+(1-EXP(-LN(2)/2))/(LN(2)/2)*FM132*FP132*VLOOKUP('Données projet'!$B$16,Paramètres!$A$1:$I$88,3,0)*0.475*44/12</f>
        <v>0</v>
      </c>
      <c r="FT132" s="24">
        <f t="shared" ref="FT132:FT153" si="132">SUM(FQ132:FS132)</f>
        <v>0.72877378208266519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projet'!$B$9,Paramètres!$A$1:$I$88,3,0)*VLOOKUP('Données projet'!$B$9,Paramètres!$A$1:$I$88,5,0)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378.13552372917843</v>
      </c>
      <c r="T133" s="62">
        <f t="shared" ref="T133:T196" si="142">$T$3</f>
        <v>528.97123645404952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55.138419424424455</v>
      </c>
      <c r="AA133" s="23">
        <f>EXP(-LN(2)/25)*AA132+(1-EXP(-LN(2)/25))/(LN(2)/25)*Calculateur!V133*Calculateur!X133*VLOOKUP('Données projet'!$B$9,Paramètres!$A$1:$I$88,3,0)*0.475*44/12</f>
        <v>15.744792447410489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70.883211871834945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375</v>
      </c>
      <c r="AG133" s="13">
        <f>VLOOKUP(A133,'Données projet'!$A$61:$I$81,9,0)</f>
        <v>8.3000000000000007</v>
      </c>
      <c r="AH133" s="13">
        <f t="array" ref="AH133">INDEX(AG:AG,MIN(IF(ISNUMBER(AG133:AG329),ROW(AG133:AG329),"")))</f>
        <v>8.3000000000000007</v>
      </c>
      <c r="AI133" s="14">
        <f>IF('Données projet'!$A$62&gt;35,AI132+AH133-AQ132,IF(A133&lt;'Données projet'!$A$62,$AF$205^A133,IF(A133='Données projet'!$A$62,'Données projet'!$B$62,AI132+AH133-AQ132)))</f>
        <v>375.00000000000045</v>
      </c>
      <c r="AJ133" s="14">
        <f>AI133*VLOOKUP('Données projet'!$B$10,Paramètres!$A$1:$I$88,3,0)*VLOOKUP('Données projet'!$B$10,Paramètres!$A$1:$I$88,5,0)</f>
        <v>339.30000000000041</v>
      </c>
      <c r="AK133" s="14">
        <f t="shared" ref="AK133:AK153" si="143">EXP(-1.0587+0.8836*LN(AJ133)+0.284)</f>
        <v>79.355304647150589</v>
      </c>
      <c r="AL133" s="22">
        <f t="shared" si="112"/>
        <v>729.15798892712144</v>
      </c>
      <c r="AM133" s="62">
        <f t="shared" si="113"/>
        <v>1013.0682723205535</v>
      </c>
      <c r="AN133" s="62">
        <f ca="1">AVERAGE(OFFSET($AM$3,0,0,'Données projet'!$E$10+1,1))-AVERAGE(OFFSET($H$3,0,0,'Données projet'!$E$10+1,1))</f>
        <v>536.3707066106856</v>
      </c>
      <c r="AO133" s="62">
        <f t="shared" ref="AO133:AO196" si="144">$AO$3</f>
        <v>217.6280015974086</v>
      </c>
      <c r="AP133" s="16">
        <f>IF(ISNA(VLOOKUP(A133,'Données projet'!$A$61:$I$81,3,0)),0,VLOOKUP(A133,'Données projet'!$A$61:$I$81,3,0))</f>
        <v>15</v>
      </c>
      <c r="AQ133" s="16">
        <f>IF(ISNA(VLOOKUP(A133,'Données projet'!$A$61:$I$81,4,0)),0,VLOOKUP(A133,'Données projet'!$A$61:$I$81,4,0))</f>
        <v>46</v>
      </c>
      <c r="AR133" s="17">
        <f>IF(ISNA(VLOOKUP(A133,'Données projet'!$A$61:$I$81,5,0)),0%,VLOOKUP(A133,'Données projet'!$A$61:$I$81,5,0)*VLOOKUP('Données projet'!$B$10,Paramètres!$A$1:$I$88,7,0))</f>
        <v>0.25800000000000001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40.523088350784747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40.523088350784747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302.3</v>
      </c>
      <c r="BE133" s="14">
        <f>BD133*VLOOKUP('Données projet'!$B$11,Paramètres!$A$1:$I$88,3,0)*VLOOKUP('Données projet'!$B$11,Paramètres!$A$1:$I$88,5,0)</f>
        <v>180.77540000000005</v>
      </c>
      <c r="BF133" s="14">
        <f t="shared" ref="BF133:BF153" si="145">EXP(-1.0587+0.8836*LN(BE133)+0.284)</f>
        <v>45.494655198846154</v>
      </c>
      <c r="BG133" s="22">
        <f t="shared" si="115"/>
        <v>394.08701280465715</v>
      </c>
      <c r="BH133" s="62">
        <f t="shared" si="116"/>
        <v>677.99729619808932</v>
      </c>
      <c r="BI133" s="62">
        <f ca="1">AVERAGE(OFFSET($BH$3,0,0,'Données projet'!$E$11+1,1))-AVERAGE(OFFSET($H$3,0,0,'Données projet'!$E$11+1,1))</f>
        <v>248.66193174773525</v>
      </c>
      <c r="BJ133" s="62">
        <f t="shared" ref="BJ133:BJ196" si="146">$BJ$3</f>
        <v>249.61655682981151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5.1856969596423719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1.2082085685238652E-10</v>
      </c>
      <c r="BS133" s="24">
        <f t="shared" si="117"/>
        <v>5.1856969597631926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860.00000000000023</v>
      </c>
      <c r="BZ133" s="14">
        <f>BY133*VLOOKUP('Données projet'!$B$12,Paramètres!$A$1:$I$88,3,0)*VLOOKUP('Données projet'!$B$12,Paramètres!$A$1:$I$88,5,0)</f>
        <v>346.5800000000001</v>
      </c>
      <c r="CA133" s="14">
        <f t="shared" ref="CA133:CA153" si="147">EXP(-1.0587+0.8836*LN(BZ133)+0.284)</f>
        <v>80.857895771535127</v>
      </c>
      <c r="CB133" s="22">
        <f t="shared" si="118"/>
        <v>744.45433513542378</v>
      </c>
      <c r="CC133" s="62">
        <f t="shared" si="119"/>
        <v>1028.3646185288558</v>
      </c>
      <c r="CD133" s="62">
        <f ca="1">AVERAGE(OFFSET($CC$3,0,0,'Données projet'!$E$12+1,1))-AVERAGE(OFFSET($H$3,0,0,'Données projet'!$E$12+1,1))</f>
        <v>432.59662347701629</v>
      </c>
      <c r="CE133" s="62">
        <f t="shared" ref="CE133:CE196" si="148">$CE$3</f>
        <v>348.67401091099748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23.359812758251781</v>
      </c>
      <c r="CL133" s="23">
        <f>EXP(-LN(2)/25)*CL132+(1-EXP(-LN(2)/25))/(LN(2)/25)*Calculateur!CG133*Calculateur!CI133*VLOOKUP('Données projet'!$B$12,Paramètres!$A$1:$I$88,3,0)*0.475*44/12</f>
        <v>17.382836005148164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40.742648763399941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1099.9999999999998</v>
      </c>
      <c r="CU133" s="18">
        <f>CT133*VLOOKUP('Données projet'!$B$13,Paramètres!$A$1:$I$88,3,0)*VLOOKUP('Données projet'!$B$13,Paramètres!$A$1:$I$88,5,0)</f>
        <v>486.19999999999993</v>
      </c>
      <c r="CV133" s="14">
        <f t="shared" ref="CV133:CV153" si="149">EXP(-1.0587+0.8836*LN(CU133)+0.284)</f>
        <v>109.0490179035375</v>
      </c>
      <c r="CW133" s="22">
        <f t="shared" si="121"/>
        <v>1036.725372848661</v>
      </c>
      <c r="CX133" s="62">
        <f t="shared" si="122"/>
        <v>1320.6356562420931</v>
      </c>
      <c r="CY133" s="62">
        <f ca="1">AVERAGE(OFFSET($CX$3,0,0,'Données projet'!$E$13+1,1))-AVERAGE(OFFSET($H$3,0,0,'Données projet'!$E$13+1,1))</f>
        <v>582.26951914082088</v>
      </c>
      <c r="CZ133" s="62">
        <f t="shared" ref="CZ133:CZ196" si="150">$CZ$3</f>
        <v>434.80429932654715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23.538249138011327</v>
      </c>
      <c r="DG133" s="23">
        <f>EXP(-LN(2)/25)*DG132+(1-EXP(-LN(2)/25))/(LN(2)/25)*Calculateur!DB133*Calculateur!DD133*VLOOKUP('Données projet'!$B$13,Paramètres!$A$1:$I$88,3,0)*0.475*44/12</f>
        <v>15.619831205964541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39.158080343975868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498.99999999999955</v>
      </c>
      <c r="DP133" s="18">
        <f>DO133*VLOOKUP('Données projet'!$B$14,Paramètres!$A$1:$I$88,3,0)*VLOOKUP('Données projet'!$B$14,Paramètres!$A$1:$I$88,5,0)</f>
        <v>240.01899999999978</v>
      </c>
      <c r="DQ133" s="14">
        <f t="shared" ref="DQ133:DQ153" si="151">EXP(-1.0587+0.8836*LN(DP133)+0.284)</f>
        <v>58.443618405936313</v>
      </c>
      <c r="DR133" s="22">
        <f t="shared" si="124"/>
        <v>519.82239372367201</v>
      </c>
      <c r="DS133" s="62">
        <f t="shared" si="125"/>
        <v>803.73267711710412</v>
      </c>
      <c r="DT133" s="62">
        <f ca="1">AVERAGE(OFFSET($DS$3,0,0,'Données projet'!$E$14+1,1))-AVERAGE(OFFSET($H$3,0,0,'Données projet'!$E$14+1,1))</f>
        <v>273.24375559399846</v>
      </c>
      <c r="DU133" s="62">
        <f t="shared" ref="DU133:DU196" si="152">$DU$3</f>
        <v>270.77718895097848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projet'!$B$14,Paramètres!$A$1:$I$88,3,0)*0.475*44/12</f>
        <v>12.01991981927404</v>
      </c>
      <c r="EB133" s="23">
        <f>EXP(-LN(2)/25)*EB132+(1-EXP(-LN(2)/25))/(LN(2)/25)*Calculateur!DW133*Calculateur!DY133*VLOOKUP('Données projet'!$B$14,Paramètres!$A$1:$I$88,3,0)*0.475*44/12</f>
        <v>7.6183124849680706</v>
      </c>
      <c r="EC133" s="23">
        <f>EXP(-LN(2)/2)*EC132+(1-EXP(-LN(2)/2))/(LN(2)/2)*DW133*DZ133*VLOOKUP('Données projet'!$B$14,Paramètres!$A$1:$I$88,3,0)*0.475*44/12</f>
        <v>0</v>
      </c>
      <c r="ED133" s="24">
        <f t="shared" si="126"/>
        <v>19.638232304242109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498.99999999999955</v>
      </c>
      <c r="EK133" s="18">
        <f>EJ133*VLOOKUP('Données projet'!$B$15,Paramètres!$A$1:$I$88,3,0)*VLOOKUP('Données projet'!$B$15,Paramètres!$A$1:$I$88,5,0)</f>
        <v>233.53199999999975</v>
      </c>
      <c r="EL133" s="14">
        <f t="shared" ref="EL133:EL153" si="153">EXP(-1.0587+0.8836*LN(EK133)+0.284)</f>
        <v>57.04570382109803</v>
      </c>
      <c r="EM133" s="22">
        <f t="shared" si="127"/>
        <v>506.08950082174533</v>
      </c>
      <c r="EN133" s="62">
        <f t="shared" si="128"/>
        <v>789.99978421517744</v>
      </c>
      <c r="EO133" s="62">
        <f ca="1">AVERAGE(OFFSET($EN$3,0,0,'Données projet'!$E$15+1,1))-AVERAGE(OFFSET($H$3,0,0,'Données projet'!$E$15+1,1))</f>
        <v>267.26203506406682</v>
      </c>
      <c r="EP133" s="62">
        <f t="shared" ref="EP133:EP196" si="154">$EP$3</f>
        <v>265.10857635664843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projet'!$B$15,Paramètres!$A$1:$I$88,3,0)*0.475*44/12</f>
        <v>11.695057121455813</v>
      </c>
      <c r="EW133" s="23">
        <f>EXP(-LN(2)/25)*EW132+(1-EXP(-LN(2)/25))/(LN(2)/25)*Calculateur!ER133*Calculateur!ET133*VLOOKUP('Données projet'!$B$15,Paramètres!$A$1:$I$88,3,0)*0.475*44/12</f>
        <v>7.4124121475364966</v>
      </c>
      <c r="EX133" s="23">
        <f>EXP(-LN(2)/2)*EX132+(1-EXP(-LN(2)/2))/(LN(2)/2)*ER133*EU133*VLOOKUP('Données projet'!$B$15,Paramètres!$A$1:$I$88,3,0)*0.475*44/12</f>
        <v>0</v>
      </c>
      <c r="EY133" s="24">
        <f t="shared" si="129"/>
        <v>19.107469268992311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231</v>
      </c>
      <c r="FF133" s="18">
        <f>FE133*VLOOKUP('Données projet'!$B$16,Paramètres!$A$1:$I$88,3,0)*VLOOKUP('Données projet'!$B$16,Paramètres!$A$1:$I$88,5,0)</f>
        <v>169.36920000000001</v>
      </c>
      <c r="FG133" s="14">
        <f t="shared" ref="FG133:FG153" si="155">EXP(-1.0587+0.8836*LN(FF133)+0.284)</f>
        <v>42.948714817158674</v>
      </c>
      <c r="FH133" s="22">
        <f t="shared" si="130"/>
        <v>369.787034973218</v>
      </c>
      <c r="FI133" s="62">
        <f t="shared" si="131"/>
        <v>653.69731836665005</v>
      </c>
      <c r="FJ133" s="62">
        <f ca="1">AVERAGE(OFFSET($FI$3,0,0,'Données projet'!$E$16+1,1))-AVERAGE(OFFSET($H$3,0,0,'Données projet'!$E$16+1,1))</f>
        <v>207.66160354686221</v>
      </c>
      <c r="FK133" s="62">
        <f t="shared" ref="FK133:FK196" si="156">$FK$3</f>
        <v>260.45879589483525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projet'!$B$16,Paramètres!$A$1:$I$88,3,0)*0.475*44/12</f>
        <v>0.71448297272413963</v>
      </c>
      <c r="FR133" s="23">
        <f>EXP(-LN(2)/25)*FR132+(1-EXP(-LN(2)/25))/(LN(2)/25)*Calculateur!FM133*Calculateur!FO133*VLOOKUP('Données projet'!$B$16,Paramètres!$A$1:$I$88,3,0)*0.475*44/12</f>
        <v>0</v>
      </c>
      <c r="FS133" s="23">
        <f>EXP(-LN(2)/2)*FS132+(1-EXP(-LN(2)/2))/(LN(2)/2)*FM133*FP133*VLOOKUP('Données projet'!$B$16,Paramètres!$A$1:$I$88,3,0)*0.475*44/12</f>
        <v>0</v>
      </c>
      <c r="FT133" s="24">
        <f t="shared" si="132"/>
        <v>0.71448297272413963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projet'!$B$9,Paramètres!$A$1:$I$88,3,0)*VLOOKUP('Données projet'!$B$9,Paramètres!$A$1:$I$88,5,0)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378.13552372917843</v>
      </c>
      <c r="T134" s="62">
        <f t="shared" si="142"/>
        <v>528.97123645404952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54.057188650626543</v>
      </c>
      <c r="AA134" s="23">
        <f>EXP(-LN(2)/25)*AA133+(1-EXP(-LN(2)/25))/(LN(2)/25)*Calculateur!V134*Calculateur!X134*VLOOKUP('Données projet'!$B$9,Paramètres!$A$1:$I$88,3,0)*0.475*44/12</f>
        <v>15.3142502699534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69.371438920579948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6.7</v>
      </c>
      <c r="AI134" s="14">
        <f>IF('Données projet'!$A$62&gt;35,AI133+AH134-AQ133,IF(A134&lt;'Données projet'!$A$62,$AF$205^A134,IF(A134='Données projet'!$A$62,'Données projet'!$B$62,AI133+AH134-AQ133)))</f>
        <v>335.70000000000044</v>
      </c>
      <c r="AJ134" s="14">
        <f>AI134*VLOOKUP('Données projet'!$B$10,Paramètres!$A$1:$I$88,3,0)*VLOOKUP('Données projet'!$B$10,Paramètres!$A$1:$I$88,5,0)</f>
        <v>303.74136000000038</v>
      </c>
      <c r="AK134" s="14">
        <f t="shared" si="143"/>
        <v>71.960229576228116</v>
      </c>
      <c r="AL134" s="22">
        <f t="shared" si="112"/>
        <v>654.34693517859796</v>
      </c>
      <c r="AM134" s="62">
        <f t="shared" si="113"/>
        <v>938.42068742170363</v>
      </c>
      <c r="AN134" s="62">
        <f ca="1">AVERAGE(OFFSET($AM$3,0,0,'Données projet'!$E$10+1,1))-AVERAGE(OFFSET($H$3,0,0,'Données projet'!$E$10+1,1))</f>
        <v>536.3707066106856</v>
      </c>
      <c r="AO134" s="62">
        <f t="shared" si="144"/>
        <v>217.6280015974086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39.728455304869186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39.728455304869186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302.3</v>
      </c>
      <c r="BE134" s="14">
        <f>BD134*VLOOKUP('Données projet'!$B$11,Paramètres!$A$1:$I$88,3,0)*VLOOKUP('Données projet'!$B$11,Paramètres!$A$1:$I$88,5,0)</f>
        <v>180.77540000000005</v>
      </c>
      <c r="BF134" s="14">
        <f t="shared" si="145"/>
        <v>45.494655198846154</v>
      </c>
      <c r="BG134" s="22">
        <f t="shared" si="115"/>
        <v>394.08701280465715</v>
      </c>
      <c r="BH134" s="62">
        <f t="shared" si="116"/>
        <v>678.16076504776288</v>
      </c>
      <c r="BI134" s="62">
        <f ca="1">AVERAGE(OFFSET($BH$3,0,0,'Données projet'!$E$11+1,1))-AVERAGE(OFFSET($H$3,0,0,'Données projet'!$E$11+1,1))</f>
        <v>248.66193174773525</v>
      </c>
      <c r="BJ134" s="62">
        <f t="shared" si="146"/>
        <v>249.61655682981151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5.0840086052266136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8.5433247189091656E-11</v>
      </c>
      <c r="BS134" s="24">
        <f t="shared" si="117"/>
        <v>5.0840086053120466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860.00000000000023</v>
      </c>
      <c r="BZ134" s="14">
        <f>BY134*VLOOKUP('Données projet'!$B$12,Paramètres!$A$1:$I$88,3,0)*VLOOKUP('Données projet'!$B$12,Paramètres!$A$1:$I$88,5,0)</f>
        <v>346.5800000000001</v>
      </c>
      <c r="CA134" s="14">
        <f t="shared" si="147"/>
        <v>80.857895771535127</v>
      </c>
      <c r="CB134" s="22">
        <f t="shared" si="118"/>
        <v>744.45433513542378</v>
      </c>
      <c r="CC134" s="62">
        <f t="shared" si="119"/>
        <v>1028.5280873785296</v>
      </c>
      <c r="CD134" s="62">
        <f ca="1">AVERAGE(OFFSET($CC$3,0,0,'Données projet'!$E$12+1,1))-AVERAGE(OFFSET($H$3,0,0,'Données projet'!$E$12+1,1))</f>
        <v>432.59662347701629</v>
      </c>
      <c r="CE134" s="62">
        <f t="shared" si="148"/>
        <v>348.67401091099748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22.901741078141367</v>
      </c>
      <c r="CL134" s="23">
        <f>EXP(-LN(2)/25)*CL133+(1-EXP(-LN(2)/25))/(LN(2)/25)*Calculateur!CG134*Calculateur!CI134*VLOOKUP('Données projet'!$B$12,Paramètres!$A$1:$I$88,3,0)*0.475*44/12</f>
        <v>16.907501440463772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39.809242518605139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1099.9999999999998</v>
      </c>
      <c r="CU134" s="18">
        <f>CT134*VLOOKUP('Données projet'!$B$13,Paramètres!$A$1:$I$88,3,0)*VLOOKUP('Données projet'!$B$13,Paramètres!$A$1:$I$88,5,0)</f>
        <v>486.19999999999993</v>
      </c>
      <c r="CV134" s="14">
        <f t="shared" si="149"/>
        <v>109.0490179035375</v>
      </c>
      <c r="CW134" s="22">
        <f t="shared" si="121"/>
        <v>1036.725372848661</v>
      </c>
      <c r="CX134" s="62">
        <f t="shared" si="122"/>
        <v>1320.7991250917667</v>
      </c>
      <c r="CY134" s="62">
        <f ca="1">AVERAGE(OFFSET($CX$3,0,0,'Données projet'!$E$13+1,1))-AVERAGE(OFFSET($H$3,0,0,'Données projet'!$E$13+1,1))</f>
        <v>582.26951914082088</v>
      </c>
      <c r="CZ134" s="62">
        <f t="shared" si="150"/>
        <v>434.80429932654715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23.07667842932927</v>
      </c>
      <c r="DG134" s="23">
        <f>EXP(-LN(2)/25)*DG133+(1-EXP(-LN(2)/25))/(LN(2)/25)*Calculateur!DB134*Calculateur!DD134*VLOOKUP('Données projet'!$B$13,Paramètres!$A$1:$I$88,3,0)*0.475*44/12</f>
        <v>15.192706100226218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38.269384529555488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498.99999999999955</v>
      </c>
      <c r="DP134" s="18">
        <f>DO134*VLOOKUP('Données projet'!$B$14,Paramètres!$A$1:$I$88,3,0)*VLOOKUP('Données projet'!$B$14,Paramètres!$A$1:$I$88,5,0)</f>
        <v>240.01899999999978</v>
      </c>
      <c r="DQ134" s="14">
        <f t="shared" si="151"/>
        <v>58.443618405936313</v>
      </c>
      <c r="DR134" s="22">
        <f t="shared" si="124"/>
        <v>519.82239372367201</v>
      </c>
      <c r="DS134" s="62">
        <f t="shared" si="125"/>
        <v>803.89614596677779</v>
      </c>
      <c r="DT134" s="62">
        <f ca="1">AVERAGE(OFFSET($DS$3,0,0,'Données projet'!$E$14+1,1))-AVERAGE(OFFSET($H$3,0,0,'Données projet'!$E$14+1,1))</f>
        <v>273.24375559399846</v>
      </c>
      <c r="DU134" s="62">
        <f t="shared" si="152"/>
        <v>270.77718895097848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projet'!$B$14,Paramètres!$A$1:$I$88,3,0)*0.475*44/12</f>
        <v>11.784216523045249</v>
      </c>
      <c r="EB134" s="23">
        <f>EXP(-LN(2)/25)*EB133+(1-EXP(-LN(2)/25))/(LN(2)/25)*Calculateur!DW134*Calculateur!DY134*VLOOKUP('Données projet'!$B$14,Paramètres!$A$1:$I$88,3,0)*0.475*44/12</f>
        <v>7.4099893294369767</v>
      </c>
      <c r="EC134" s="23">
        <f>EXP(-LN(2)/2)*EC133+(1-EXP(-LN(2)/2))/(LN(2)/2)*DW134*DZ134*VLOOKUP('Données projet'!$B$14,Paramètres!$A$1:$I$88,3,0)*0.475*44/12</f>
        <v>0</v>
      </c>
      <c r="ED134" s="24">
        <f t="shared" si="126"/>
        <v>19.194205852482227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498.99999999999955</v>
      </c>
      <c r="EK134" s="18">
        <f>EJ134*VLOOKUP('Données projet'!$B$15,Paramètres!$A$1:$I$88,3,0)*VLOOKUP('Données projet'!$B$15,Paramètres!$A$1:$I$88,5,0)</f>
        <v>233.53199999999975</v>
      </c>
      <c r="EL134" s="14">
        <f t="shared" si="153"/>
        <v>57.04570382109803</v>
      </c>
      <c r="EM134" s="22">
        <f t="shared" si="127"/>
        <v>506.08950082174533</v>
      </c>
      <c r="EN134" s="62">
        <f t="shared" si="128"/>
        <v>790.16325306485101</v>
      </c>
      <c r="EO134" s="62">
        <f ca="1">AVERAGE(OFFSET($EN$3,0,0,'Données projet'!$E$15+1,1))-AVERAGE(OFFSET($H$3,0,0,'Données projet'!$E$15+1,1))</f>
        <v>267.26203506406682</v>
      </c>
      <c r="EP134" s="62">
        <f t="shared" si="154"/>
        <v>265.10857635664843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projet'!$B$15,Paramètres!$A$1:$I$88,3,0)*0.475*44/12</f>
        <v>11.465724184584555</v>
      </c>
      <c r="EW134" s="23">
        <f>EXP(-LN(2)/25)*EW133+(1-EXP(-LN(2)/25))/(LN(2)/25)*Calculateur!ER134*Calculateur!ET134*VLOOKUP('Données projet'!$B$15,Paramètres!$A$1:$I$88,3,0)*0.475*44/12</f>
        <v>7.2097193475602976</v>
      </c>
      <c r="EX134" s="23">
        <f>EXP(-LN(2)/2)*EX133+(1-EXP(-LN(2)/2))/(LN(2)/2)*ER134*EU134*VLOOKUP('Données projet'!$B$15,Paramètres!$A$1:$I$88,3,0)*0.475*44/12</f>
        <v>0</v>
      </c>
      <c r="EY134" s="24">
        <f t="shared" si="129"/>
        <v>18.675443532144854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231</v>
      </c>
      <c r="FF134" s="18">
        <f>FE134*VLOOKUP('Données projet'!$B$16,Paramètres!$A$1:$I$88,3,0)*VLOOKUP('Données projet'!$B$16,Paramètres!$A$1:$I$88,5,0)</f>
        <v>169.36920000000001</v>
      </c>
      <c r="FG134" s="14">
        <f t="shared" si="155"/>
        <v>42.948714817158674</v>
      </c>
      <c r="FH134" s="22">
        <f t="shared" si="130"/>
        <v>369.787034973218</v>
      </c>
      <c r="FI134" s="62">
        <f t="shared" si="131"/>
        <v>653.86078721632373</v>
      </c>
      <c r="FJ134" s="62">
        <f ca="1">AVERAGE(OFFSET($FI$3,0,0,'Données projet'!$E$16+1,1))-AVERAGE(OFFSET($H$3,0,0,'Données projet'!$E$16+1,1))</f>
        <v>207.66160354686221</v>
      </c>
      <c r="FK134" s="62">
        <f t="shared" si="156"/>
        <v>260.45879589483525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projet'!$B$16,Paramètres!$A$1:$I$88,3,0)*0.475*44/12</f>
        <v>0.70047239742060174</v>
      </c>
      <c r="FR134" s="23">
        <f>EXP(-LN(2)/25)*FR133+(1-EXP(-LN(2)/25))/(LN(2)/25)*Calculateur!FM134*Calculateur!FO134*VLOOKUP('Données projet'!$B$16,Paramètres!$A$1:$I$88,3,0)*0.475*44/12</f>
        <v>0</v>
      </c>
      <c r="FS134" s="23">
        <f>EXP(-LN(2)/2)*FS133+(1-EXP(-LN(2)/2))/(LN(2)/2)*FM134*FP134*VLOOKUP('Données projet'!$B$16,Paramètres!$A$1:$I$88,3,0)*0.475*44/12</f>
        <v>0</v>
      </c>
      <c r="FT134" s="24">
        <f t="shared" si="132"/>
        <v>0.70047239742060174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projet'!$B$9,Paramètres!$A$1:$I$88,3,0)*VLOOKUP('Données projet'!$B$9,Paramètres!$A$1:$I$88,5,0)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378.13552372917843</v>
      </c>
      <c r="T135" s="62">
        <f t="shared" si="142"/>
        <v>528.97123645404952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52.997160152817152</v>
      </c>
      <c r="AA135" s="23">
        <f>EXP(-LN(2)/25)*AA134+(1-EXP(-LN(2)/25))/(LN(2)/25)*Calculateur!V135*Calculateur!X135*VLOOKUP('Données projet'!$B$9,Paramètres!$A$1:$I$88,3,0)*0.475*44/12</f>
        <v>14.895481290980104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67.89264144379726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6.7</v>
      </c>
      <c r="AI135" s="14">
        <f>IF('Données projet'!$A$62&gt;35,AI134+AH135-AQ134,IF(A135&lt;'Données projet'!$A$62,$AF$205^A135,IF(A135='Données projet'!$A$62,'Données projet'!$B$62,AI134+AH135-AQ134)))</f>
        <v>342.40000000000043</v>
      </c>
      <c r="AJ135" s="14">
        <f>AI135*VLOOKUP('Données projet'!$B$10,Paramètres!$A$1:$I$88,3,0)*VLOOKUP('Données projet'!$B$10,Paramètres!$A$1:$I$88,5,0)</f>
        <v>309.80352000000039</v>
      </c>
      <c r="AK135" s="14">
        <f t="shared" si="143"/>
        <v>73.227795813703892</v>
      </c>
      <c r="AL135" s="22">
        <f t="shared" si="112"/>
        <v>667.11287504220161</v>
      </c>
      <c r="AM135" s="62">
        <f t="shared" si="113"/>
        <v>951.34726031590071</v>
      </c>
      <c r="AN135" s="62">
        <f ca="1">AVERAGE(OFFSET($AM$3,0,0,'Données projet'!$E$10+1,1))-AVERAGE(OFFSET($H$3,0,0,'Données projet'!$E$10+1,1))</f>
        <v>536.3707066106856</v>
      </c>
      <c r="AO135" s="62">
        <f t="shared" si="144"/>
        <v>217.6280015974086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38.949404528305728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38.949404528305728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302.3</v>
      </c>
      <c r="BE135" s="14">
        <f>BD135*VLOOKUP('Données projet'!$B$11,Paramètres!$A$1:$I$88,3,0)*VLOOKUP('Données projet'!$B$11,Paramètres!$A$1:$I$88,5,0)</f>
        <v>180.77540000000005</v>
      </c>
      <c r="BF135" s="14">
        <f t="shared" si="145"/>
        <v>45.494655198846154</v>
      </c>
      <c r="BG135" s="22">
        <f t="shared" si="115"/>
        <v>394.08701280465715</v>
      </c>
      <c r="BH135" s="62">
        <f t="shared" si="116"/>
        <v>678.32139807835631</v>
      </c>
      <c r="BI135" s="62">
        <f ca="1">AVERAGE(OFFSET($BH$3,0,0,'Données projet'!$E$11+1,1))-AVERAGE(OFFSET($H$3,0,0,'Données projet'!$E$11+1,1))</f>
        <v>248.66193174773525</v>
      </c>
      <c r="BJ135" s="62">
        <f t="shared" si="146"/>
        <v>249.61655682981151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4.9843142974171766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6.0410428426193259E-11</v>
      </c>
      <c r="BS135" s="24">
        <f t="shared" si="117"/>
        <v>4.9843142974775869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860.00000000000023</v>
      </c>
      <c r="BZ135" s="14">
        <f>BY135*VLOOKUP('Données projet'!$B$12,Paramètres!$A$1:$I$88,3,0)*VLOOKUP('Données projet'!$B$12,Paramètres!$A$1:$I$88,5,0)</f>
        <v>346.5800000000001</v>
      </c>
      <c r="CA135" s="14">
        <f t="shared" si="147"/>
        <v>80.857895771535127</v>
      </c>
      <c r="CB135" s="22">
        <f t="shared" si="118"/>
        <v>744.45433513542378</v>
      </c>
      <c r="CC135" s="62">
        <f t="shared" si="119"/>
        <v>1028.6887204091229</v>
      </c>
      <c r="CD135" s="62">
        <f ca="1">AVERAGE(OFFSET($CC$3,0,0,'Données projet'!$E$12+1,1))-AVERAGE(OFFSET($H$3,0,0,'Données projet'!$E$12+1,1))</f>
        <v>432.59662347701629</v>
      </c>
      <c r="CE135" s="62">
        <f t="shared" si="148"/>
        <v>348.67401091099748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22.45265190428178</v>
      </c>
      <c r="CL135" s="23">
        <f>EXP(-LN(2)/25)*CL134+(1-EXP(-LN(2)/25))/(LN(2)/25)*Calculateur!CG135*Calculateur!CI135*VLOOKUP('Données projet'!$B$12,Paramètres!$A$1:$I$88,3,0)*0.475*44/12</f>
        <v>16.445164924447432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38.897816828729212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1099.9999999999998</v>
      </c>
      <c r="CU135" s="18">
        <f>CT135*VLOOKUP('Données projet'!$B$13,Paramètres!$A$1:$I$88,3,0)*VLOOKUP('Données projet'!$B$13,Paramètres!$A$1:$I$88,5,0)</f>
        <v>486.19999999999993</v>
      </c>
      <c r="CV135" s="14">
        <f t="shared" si="149"/>
        <v>109.0490179035375</v>
      </c>
      <c r="CW135" s="22">
        <f t="shared" si="121"/>
        <v>1036.725372848661</v>
      </c>
      <c r="CX135" s="62">
        <f t="shared" si="122"/>
        <v>1320.9597581223602</v>
      </c>
      <c r="CY135" s="62">
        <f ca="1">AVERAGE(OFFSET($CX$3,0,0,'Données projet'!$E$13+1,1))-AVERAGE(OFFSET($H$3,0,0,'Données projet'!$E$13+1,1))</f>
        <v>582.26951914082088</v>
      </c>
      <c r="CZ135" s="62">
        <f t="shared" si="150"/>
        <v>434.80429932654715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22.624158840714138</v>
      </c>
      <c r="DG135" s="23">
        <f>EXP(-LN(2)/25)*DG134+(1-EXP(-LN(2)/25))/(LN(2)/25)*Calculateur!DB135*Calculateur!DD135*VLOOKUP('Données projet'!$B$13,Paramètres!$A$1:$I$88,3,0)*0.475*44/12</f>
        <v>14.777260752965841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37.401419593679975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498.99999999999955</v>
      </c>
      <c r="DP135" s="18">
        <f>DO135*VLOOKUP('Données projet'!$B$14,Paramètres!$A$1:$I$88,3,0)*VLOOKUP('Données projet'!$B$14,Paramètres!$A$1:$I$88,5,0)</f>
        <v>240.01899999999978</v>
      </c>
      <c r="DQ135" s="14">
        <f t="shared" si="151"/>
        <v>58.443618405936313</v>
      </c>
      <c r="DR135" s="22">
        <f t="shared" si="124"/>
        <v>519.82239372367201</v>
      </c>
      <c r="DS135" s="62">
        <f t="shared" si="125"/>
        <v>804.05677899737111</v>
      </c>
      <c r="DT135" s="62">
        <f ca="1">AVERAGE(OFFSET($DS$3,0,0,'Données projet'!$E$14+1,1))-AVERAGE(OFFSET($H$3,0,0,'Données projet'!$E$14+1,1))</f>
        <v>273.24375559399846</v>
      </c>
      <c r="DU135" s="62">
        <f t="shared" si="152"/>
        <v>270.77718895097848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projet'!$B$14,Paramètres!$A$1:$I$88,3,0)*0.475*44/12</f>
        <v>11.553135224690688</v>
      </c>
      <c r="EB135" s="23">
        <f>EXP(-LN(2)/25)*EB134+(1-EXP(-LN(2)/25))/(LN(2)/25)*Calculateur!DW135*Calculateur!DY135*VLOOKUP('Données projet'!$B$14,Paramètres!$A$1:$I$88,3,0)*0.475*44/12</f>
        <v>7.2073627815491195</v>
      </c>
      <c r="EC135" s="23">
        <f>EXP(-LN(2)/2)*EC134+(1-EXP(-LN(2)/2))/(LN(2)/2)*DW135*DZ135*VLOOKUP('Données projet'!$B$14,Paramètres!$A$1:$I$88,3,0)*0.475*44/12</f>
        <v>0</v>
      </c>
      <c r="ED135" s="24">
        <f t="shared" si="126"/>
        <v>18.760498006239807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498.99999999999955</v>
      </c>
      <c r="EK135" s="18">
        <f>EJ135*VLOOKUP('Données projet'!$B$15,Paramètres!$A$1:$I$88,3,0)*VLOOKUP('Données projet'!$B$15,Paramètres!$A$1:$I$88,5,0)</f>
        <v>233.53199999999975</v>
      </c>
      <c r="EL135" s="14">
        <f t="shared" si="153"/>
        <v>57.04570382109803</v>
      </c>
      <c r="EM135" s="22">
        <f t="shared" si="127"/>
        <v>506.08950082174533</v>
      </c>
      <c r="EN135" s="62">
        <f t="shared" si="128"/>
        <v>790.32388609544455</v>
      </c>
      <c r="EO135" s="62">
        <f ca="1">AVERAGE(OFFSET($EN$3,0,0,'Données projet'!$E$15+1,1))-AVERAGE(OFFSET($H$3,0,0,'Données projet'!$E$15+1,1))</f>
        <v>267.26203506406682</v>
      </c>
      <c r="EP135" s="62">
        <f t="shared" si="154"/>
        <v>265.10857635664843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projet'!$B$15,Paramètres!$A$1:$I$88,3,0)*0.475*44/12</f>
        <v>11.240888326726063</v>
      </c>
      <c r="EW135" s="23">
        <f>EXP(-LN(2)/25)*EW134+(1-EXP(-LN(2)/25))/(LN(2)/25)*Calculateur!ER135*Calculateur!ET135*VLOOKUP('Données projet'!$B$15,Paramètres!$A$1:$I$88,3,0)*0.475*44/12</f>
        <v>7.0125691928585985</v>
      </c>
      <c r="EX135" s="23">
        <f>EXP(-LN(2)/2)*EX134+(1-EXP(-LN(2)/2))/(LN(2)/2)*ER135*EU135*VLOOKUP('Données projet'!$B$15,Paramètres!$A$1:$I$88,3,0)*0.475*44/12</f>
        <v>0</v>
      </c>
      <c r="EY135" s="24">
        <f t="shared" si="129"/>
        <v>18.253457519584661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231</v>
      </c>
      <c r="FF135" s="18">
        <f>FE135*VLOOKUP('Données projet'!$B$16,Paramètres!$A$1:$I$88,3,0)*VLOOKUP('Données projet'!$B$16,Paramètres!$A$1:$I$88,5,0)</f>
        <v>169.36920000000001</v>
      </c>
      <c r="FG135" s="14">
        <f t="shared" si="155"/>
        <v>42.948714817158674</v>
      </c>
      <c r="FH135" s="22">
        <f t="shared" si="130"/>
        <v>369.787034973218</v>
      </c>
      <c r="FI135" s="62">
        <f t="shared" si="131"/>
        <v>654.02142024691716</v>
      </c>
      <c r="FJ135" s="62">
        <f ca="1">AVERAGE(OFFSET($FI$3,0,0,'Données projet'!$E$16+1,1))-AVERAGE(OFFSET($H$3,0,0,'Données projet'!$E$16+1,1))</f>
        <v>207.66160354686221</v>
      </c>
      <c r="FK135" s="62">
        <f t="shared" si="156"/>
        <v>260.45879589483525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projet'!$B$16,Paramètres!$A$1:$I$88,3,0)*0.475*44/12</f>
        <v>0.68673656095315916</v>
      </c>
      <c r="FR135" s="23">
        <f>EXP(-LN(2)/25)*FR134+(1-EXP(-LN(2)/25))/(LN(2)/25)*Calculateur!FM135*Calculateur!FO135*VLOOKUP('Données projet'!$B$16,Paramètres!$A$1:$I$88,3,0)*0.475*44/12</f>
        <v>0</v>
      </c>
      <c r="FS135" s="23">
        <f>EXP(-LN(2)/2)*FS134+(1-EXP(-LN(2)/2))/(LN(2)/2)*FM135*FP135*VLOOKUP('Données projet'!$B$16,Paramètres!$A$1:$I$88,3,0)*0.475*44/12</f>
        <v>0</v>
      </c>
      <c r="FT135" s="24">
        <f t="shared" si="132"/>
        <v>0.68673656095315916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projet'!$B$9,Paramètres!$A$1:$I$88,3,0)*VLOOKUP('Données projet'!$B$9,Paramètres!$A$1:$I$88,5,0)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378.13552372917843</v>
      </c>
      <c r="T136" s="62">
        <f t="shared" si="142"/>
        <v>528.97123645404952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51.957918167296263</v>
      </c>
      <c r="AA136" s="23">
        <f>EXP(-LN(2)/25)*AA135+(1-EXP(-LN(2)/25))/(LN(2)/25)*Calculateur!V136*Calculateur!X136*VLOOKUP('Données projet'!$B$9,Paramètres!$A$1:$I$88,3,0)*0.475*44/12</f>
        <v>14.488163571758935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66.446081739055202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6.7</v>
      </c>
      <c r="AI136" s="14">
        <f>IF('Données projet'!$A$62&gt;35,AI135+AH136-AQ135,IF(A136&lt;'Données projet'!$A$62,$AF$205^A136,IF(A136='Données projet'!$A$62,'Données projet'!$B$62,AI135+AH136-AQ135)))</f>
        <v>349.10000000000042</v>
      </c>
      <c r="AJ136" s="14">
        <f>AI136*VLOOKUP('Données projet'!$B$10,Paramètres!$A$1:$I$88,3,0)*VLOOKUP('Données projet'!$B$10,Paramètres!$A$1:$I$88,5,0)</f>
        <v>315.8656800000004</v>
      </c>
      <c r="AK136" s="14">
        <f t="shared" si="143"/>
        <v>74.492478023071655</v>
      </c>
      <c r="AL136" s="22">
        <f t="shared" si="112"/>
        <v>679.87379189018372</v>
      </c>
      <c r="AM136" s="62">
        <f t="shared" si="113"/>
        <v>964.26602357051706</v>
      </c>
      <c r="AN136" s="62">
        <f ca="1">AVERAGE(OFFSET($AM$3,0,0,'Données projet'!$E$10+1,1))-AVERAGE(OFFSET($H$3,0,0,'Données projet'!$E$10+1,1))</f>
        <v>536.3707066106856</v>
      </c>
      <c r="AO136" s="62">
        <f t="shared" si="144"/>
        <v>217.6280015974086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38.185630462296629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38.185630462296629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302.3</v>
      </c>
      <c r="BE136" s="14">
        <f>BD136*VLOOKUP('Données projet'!$B$11,Paramètres!$A$1:$I$88,3,0)*VLOOKUP('Données projet'!$B$11,Paramètres!$A$1:$I$88,5,0)</f>
        <v>180.77540000000005</v>
      </c>
      <c r="BF136" s="14">
        <f t="shared" si="145"/>
        <v>45.494655198846154</v>
      </c>
      <c r="BG136" s="22">
        <f t="shared" si="115"/>
        <v>394.08701280465715</v>
      </c>
      <c r="BH136" s="62">
        <f t="shared" si="116"/>
        <v>678.47924448499055</v>
      </c>
      <c r="BI136" s="62">
        <f ca="1">AVERAGE(OFFSET($BH$3,0,0,'Données projet'!$E$11+1,1))-AVERAGE(OFFSET($H$3,0,0,'Données projet'!$E$11+1,1))</f>
        <v>248.66193174773525</v>
      </c>
      <c r="BJ136" s="62">
        <f t="shared" si="146"/>
        <v>249.61655682981151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4.8865749341763589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4.2716623594545828E-11</v>
      </c>
      <c r="BS136" s="24">
        <f t="shared" si="117"/>
        <v>4.8865749342190758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860.00000000000023</v>
      </c>
      <c r="BZ136" s="14">
        <f>BY136*VLOOKUP('Données projet'!$B$12,Paramètres!$A$1:$I$88,3,0)*VLOOKUP('Données projet'!$B$12,Paramètres!$A$1:$I$88,5,0)</f>
        <v>346.5800000000001</v>
      </c>
      <c r="CA136" s="14">
        <f t="shared" si="147"/>
        <v>80.857895771535127</v>
      </c>
      <c r="CB136" s="22">
        <f t="shared" si="118"/>
        <v>744.45433513542378</v>
      </c>
      <c r="CC136" s="62">
        <f t="shared" si="119"/>
        <v>1028.8465668157571</v>
      </c>
      <c r="CD136" s="62">
        <f ca="1">AVERAGE(OFFSET($CC$3,0,0,'Données projet'!$E$12+1,1))-AVERAGE(OFFSET($H$3,0,0,'Données projet'!$E$12+1,1))</f>
        <v>432.59662347701629</v>
      </c>
      <c r="CE136" s="62">
        <f t="shared" si="148"/>
        <v>348.67401091099748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22.012369095204228</v>
      </c>
      <c r="CL136" s="23">
        <f>EXP(-LN(2)/25)*CL135+(1-EXP(-LN(2)/25))/(LN(2)/25)*Calculateur!CG136*Calculateur!CI136*VLOOKUP('Données projet'!$B$12,Paramètres!$A$1:$I$88,3,0)*0.475*44/12</f>
        <v>15.99547102477478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38.007840119979008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1099.9999999999998</v>
      </c>
      <c r="CU136" s="18">
        <f>CT136*VLOOKUP('Données projet'!$B$13,Paramètres!$A$1:$I$88,3,0)*VLOOKUP('Données projet'!$B$13,Paramètres!$A$1:$I$88,5,0)</f>
        <v>486.19999999999993</v>
      </c>
      <c r="CV136" s="14">
        <f t="shared" si="149"/>
        <v>109.0490179035375</v>
      </c>
      <c r="CW136" s="22">
        <f t="shared" si="121"/>
        <v>1036.725372848661</v>
      </c>
      <c r="CX136" s="62">
        <f t="shared" si="122"/>
        <v>1321.1176045289944</v>
      </c>
      <c r="CY136" s="62">
        <f ca="1">AVERAGE(OFFSET($CX$3,0,0,'Données projet'!$E$13+1,1))-AVERAGE(OFFSET($H$3,0,0,'Données projet'!$E$13+1,1))</f>
        <v>582.26951914082088</v>
      </c>
      <c r="CZ136" s="62">
        <f t="shared" si="150"/>
        <v>434.80429932654715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22.180512885222051</v>
      </c>
      <c r="DG136" s="23">
        <f>EXP(-LN(2)/25)*DG135+(1-EXP(-LN(2)/25))/(LN(2)/25)*Calculateur!DB136*Calculateur!DD136*VLOOKUP('Données projet'!$B$13,Paramètres!$A$1:$I$88,3,0)*0.475*44/12</f>
        <v>14.373175780573622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36.553688665795676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498.99999999999955</v>
      </c>
      <c r="DP136" s="18">
        <f>DO136*VLOOKUP('Données projet'!$B$14,Paramètres!$A$1:$I$88,3,0)*VLOOKUP('Données projet'!$B$14,Paramètres!$A$1:$I$88,5,0)</f>
        <v>240.01899999999978</v>
      </c>
      <c r="DQ136" s="14">
        <f t="shared" si="151"/>
        <v>58.443618405936313</v>
      </c>
      <c r="DR136" s="22">
        <f t="shared" si="124"/>
        <v>519.82239372367201</v>
      </c>
      <c r="DS136" s="62">
        <f t="shared" si="125"/>
        <v>804.21462540400535</v>
      </c>
      <c r="DT136" s="62">
        <f ca="1">AVERAGE(OFFSET($DS$3,0,0,'Données projet'!$E$14+1,1))-AVERAGE(OFFSET($H$3,0,0,'Données projet'!$E$14+1,1))</f>
        <v>273.24375559399846</v>
      </c>
      <c r="DU136" s="62">
        <f t="shared" si="152"/>
        <v>270.77718895097848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projet'!$B$14,Paramètres!$A$1:$I$88,3,0)*0.475*44/12</f>
        <v>11.326585289651186</v>
      </c>
      <c r="EB136" s="23">
        <f>EXP(-LN(2)/25)*EB135+(1-EXP(-LN(2)/25))/(LN(2)/25)*Calculateur!DW136*Calculateur!DY136*VLOOKUP('Données projet'!$B$14,Paramètres!$A$1:$I$88,3,0)*0.475*44/12</f>
        <v>7.0102770672689232</v>
      </c>
      <c r="EC136" s="23">
        <f>EXP(-LN(2)/2)*EC135+(1-EXP(-LN(2)/2))/(LN(2)/2)*DW136*DZ136*VLOOKUP('Données projet'!$B$14,Paramètres!$A$1:$I$88,3,0)*0.475*44/12</f>
        <v>0</v>
      </c>
      <c r="ED136" s="24">
        <f t="shared" si="126"/>
        <v>18.336862356920108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498.99999999999955</v>
      </c>
      <c r="EK136" s="18">
        <f>EJ136*VLOOKUP('Données projet'!$B$15,Paramètres!$A$1:$I$88,3,0)*VLOOKUP('Données projet'!$B$15,Paramètres!$A$1:$I$88,5,0)</f>
        <v>233.53199999999975</v>
      </c>
      <c r="EL136" s="14">
        <f t="shared" si="153"/>
        <v>57.04570382109803</v>
      </c>
      <c r="EM136" s="22">
        <f t="shared" si="127"/>
        <v>506.08950082174533</v>
      </c>
      <c r="EN136" s="62">
        <f t="shared" si="128"/>
        <v>790.48173250207878</v>
      </c>
      <c r="EO136" s="62">
        <f ca="1">AVERAGE(OFFSET($EN$3,0,0,'Données projet'!$E$15+1,1))-AVERAGE(OFFSET($H$3,0,0,'Données projet'!$E$15+1,1))</f>
        <v>267.26203506406682</v>
      </c>
      <c r="EP136" s="62">
        <f t="shared" si="154"/>
        <v>265.10857635664843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projet'!$B$15,Paramètres!$A$1:$I$88,3,0)*0.475*44/12</f>
        <v>11.020461362903845</v>
      </c>
      <c r="EW136" s="23">
        <f>EXP(-LN(2)/25)*EW135+(1-EXP(-LN(2)/25))/(LN(2)/25)*Calculateur!ER136*Calculateur!ET136*VLOOKUP('Données projet'!$B$15,Paramètres!$A$1:$I$88,3,0)*0.475*44/12</f>
        <v>6.8208101195048938</v>
      </c>
      <c r="EX136" s="23">
        <f>EXP(-LN(2)/2)*EX135+(1-EXP(-LN(2)/2))/(LN(2)/2)*ER136*EU136*VLOOKUP('Données projet'!$B$15,Paramètres!$A$1:$I$88,3,0)*0.475*44/12</f>
        <v>0</v>
      </c>
      <c r="EY136" s="24">
        <f t="shared" si="129"/>
        <v>17.84127148240874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231</v>
      </c>
      <c r="FF136" s="18">
        <f>FE136*VLOOKUP('Données projet'!$B$16,Paramètres!$A$1:$I$88,3,0)*VLOOKUP('Données projet'!$B$16,Paramètres!$A$1:$I$88,5,0)</f>
        <v>169.36920000000001</v>
      </c>
      <c r="FG136" s="14">
        <f t="shared" si="155"/>
        <v>42.948714817158674</v>
      </c>
      <c r="FH136" s="22">
        <f t="shared" si="130"/>
        <v>369.787034973218</v>
      </c>
      <c r="FI136" s="62">
        <f t="shared" si="131"/>
        <v>654.17926665355139</v>
      </c>
      <c r="FJ136" s="62">
        <f ca="1">AVERAGE(OFFSET($FI$3,0,0,'Données projet'!$E$16+1,1))-AVERAGE(OFFSET($H$3,0,0,'Données projet'!$E$16+1,1))</f>
        <v>207.66160354686221</v>
      </c>
      <c r="FK136" s="62">
        <f t="shared" si="156"/>
        <v>260.45879589483525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projet'!$B$16,Paramètres!$A$1:$I$88,3,0)*0.475*44/12</f>
        <v>0.67327007586081011</v>
      </c>
      <c r="FR136" s="23">
        <f>EXP(-LN(2)/25)*FR135+(1-EXP(-LN(2)/25))/(LN(2)/25)*Calculateur!FM136*Calculateur!FO136*VLOOKUP('Données projet'!$B$16,Paramètres!$A$1:$I$88,3,0)*0.475*44/12</f>
        <v>0</v>
      </c>
      <c r="FS136" s="23">
        <f>EXP(-LN(2)/2)*FS135+(1-EXP(-LN(2)/2))/(LN(2)/2)*FM136*FP136*VLOOKUP('Données projet'!$B$16,Paramètres!$A$1:$I$88,3,0)*0.475*44/12</f>
        <v>0</v>
      </c>
      <c r="FT136" s="24">
        <f t="shared" si="132"/>
        <v>0.67327007586081011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projet'!$B$9,Paramètres!$A$1:$I$88,3,0)*VLOOKUP('Données projet'!$B$9,Paramètres!$A$1:$I$88,5,0)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378.13552372917843</v>
      </c>
      <c r="T137" s="62">
        <f t="shared" si="142"/>
        <v>528.97123645404952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50.939055083236418</v>
      </c>
      <c r="AA137" s="23">
        <f>EXP(-LN(2)/25)*AA136+(1-EXP(-LN(2)/25))/(LN(2)/25)*Calculateur!V137*Calculateur!X137*VLOOKUP('Données projet'!$B$9,Paramètres!$A$1:$I$88,3,0)*0.475*44/12</f>
        <v>14.091983976989779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65.031039060226192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6.7</v>
      </c>
      <c r="AI137" s="14">
        <f>IF('Données projet'!$A$62&gt;35,AI136+AH137-AQ136,IF(A137&lt;'Données projet'!$A$62,$AF$205^A137,IF(A137='Données projet'!$A$62,'Données projet'!$B$62,AI136+AH137-AQ136)))</f>
        <v>355.80000000000041</v>
      </c>
      <c r="AJ137" s="14">
        <f>AI137*VLOOKUP('Données projet'!$B$10,Paramètres!$A$1:$I$88,3,0)*VLOOKUP('Données projet'!$B$10,Paramètres!$A$1:$I$88,5,0)</f>
        <v>321.92784000000034</v>
      </c>
      <c r="AK137" s="14">
        <f t="shared" si="143"/>
        <v>75.754337936715828</v>
      </c>
      <c r="AL137" s="22">
        <f t="shared" si="112"/>
        <v>692.62979323978072</v>
      </c>
      <c r="AM137" s="62">
        <f t="shared" si="113"/>
        <v>977.177133044485</v>
      </c>
      <c r="AN137" s="62">
        <f ca="1">AVERAGE(OFFSET($AM$3,0,0,'Données projet'!$E$10+1,1))-AVERAGE(OFFSET($H$3,0,0,'Données projet'!$E$10+1,1))</f>
        <v>536.3707066106856</v>
      </c>
      <c r="AO137" s="62">
        <f t="shared" si="144"/>
        <v>217.6280015974086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37.436833539865788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37.436833539865788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302.3</v>
      </c>
      <c r="BE137" s="14">
        <f>BD137*VLOOKUP('Données projet'!$B$11,Paramètres!$A$1:$I$88,3,0)*VLOOKUP('Données projet'!$B$11,Paramètres!$A$1:$I$88,5,0)</f>
        <v>180.77540000000005</v>
      </c>
      <c r="BF137" s="14">
        <f t="shared" si="145"/>
        <v>45.494655198846154</v>
      </c>
      <c r="BG137" s="22">
        <f t="shared" si="115"/>
        <v>394.08701280465715</v>
      </c>
      <c r="BH137" s="62">
        <f t="shared" si="116"/>
        <v>678.63435260936149</v>
      </c>
      <c r="BI137" s="62">
        <f ca="1">AVERAGE(OFFSET($BH$3,0,0,'Données projet'!$E$11+1,1))-AVERAGE(OFFSET($H$3,0,0,'Données projet'!$E$11+1,1))</f>
        <v>248.66193174773525</v>
      </c>
      <c r="BJ137" s="62">
        <f t="shared" si="146"/>
        <v>249.61655682981151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4.7907521802335689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3.0205214213096629E-11</v>
      </c>
      <c r="BS137" s="24">
        <f t="shared" si="117"/>
        <v>4.790752180263774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860.00000000000023</v>
      </c>
      <c r="BZ137" s="14">
        <f>BY137*VLOOKUP('Données projet'!$B$12,Paramètres!$A$1:$I$88,3,0)*VLOOKUP('Données projet'!$B$12,Paramètres!$A$1:$I$88,5,0)</f>
        <v>346.5800000000001</v>
      </c>
      <c r="CA137" s="14">
        <f t="shared" si="147"/>
        <v>80.857895771535127</v>
      </c>
      <c r="CB137" s="22">
        <f t="shared" si="118"/>
        <v>744.45433513542378</v>
      </c>
      <c r="CC137" s="62">
        <f t="shared" si="119"/>
        <v>1029.0016749401279</v>
      </c>
      <c r="CD137" s="62">
        <f ca="1">AVERAGE(OFFSET($CC$3,0,0,'Données projet'!$E$12+1,1))-AVERAGE(OFFSET($H$3,0,0,'Données projet'!$E$12+1,1))</f>
        <v>432.59662347701629</v>
      </c>
      <c r="CE137" s="62">
        <f t="shared" si="148"/>
        <v>348.67401091099748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21.580719963466692</v>
      </c>
      <c r="CL137" s="23">
        <f>EXP(-LN(2)/25)*CL136+(1-EXP(-LN(2)/25))/(LN(2)/25)*Calculateur!CG137*Calculateur!CI137*VLOOKUP('Données projet'!$B$12,Paramètres!$A$1:$I$88,3,0)*0.475*44/12</f>
        <v>15.55807402843705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37.138793991903739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1099.9999999999998</v>
      </c>
      <c r="CU137" s="18">
        <f>CT137*VLOOKUP('Données projet'!$B$13,Paramètres!$A$1:$I$88,3,0)*VLOOKUP('Données projet'!$B$13,Paramètres!$A$1:$I$88,5,0)</f>
        <v>486.19999999999993</v>
      </c>
      <c r="CV137" s="14">
        <f t="shared" si="149"/>
        <v>109.0490179035375</v>
      </c>
      <c r="CW137" s="22">
        <f t="shared" si="121"/>
        <v>1036.725372848661</v>
      </c>
      <c r="CX137" s="62">
        <f t="shared" si="122"/>
        <v>1321.2727126533653</v>
      </c>
      <c r="CY137" s="62">
        <f ca="1">AVERAGE(OFFSET($CX$3,0,0,'Données projet'!$E$13+1,1))-AVERAGE(OFFSET($H$3,0,0,'Données projet'!$E$13+1,1))</f>
        <v>582.26951914082088</v>
      </c>
      <c r="CZ137" s="62">
        <f t="shared" si="150"/>
        <v>434.80429932654715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21.745566556319851</v>
      </c>
      <c r="DG137" s="23">
        <f>EXP(-LN(2)/25)*DG136+(1-EXP(-LN(2)/25))/(LN(2)/25)*Calculateur!DB137*Calculateur!DD137*VLOOKUP('Données projet'!$B$13,Paramètres!$A$1:$I$88,3,0)*0.475*44/12</f>
        <v>13.980140533001371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35.725707089321219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498.99999999999955</v>
      </c>
      <c r="DP137" s="18">
        <f>DO137*VLOOKUP('Données projet'!$B$14,Paramètres!$A$1:$I$88,3,0)*VLOOKUP('Données projet'!$B$14,Paramètres!$A$1:$I$88,5,0)</f>
        <v>240.01899999999978</v>
      </c>
      <c r="DQ137" s="14">
        <f t="shared" si="151"/>
        <v>58.443618405936313</v>
      </c>
      <c r="DR137" s="22">
        <f t="shared" si="124"/>
        <v>519.82239372367201</v>
      </c>
      <c r="DS137" s="62">
        <f t="shared" si="125"/>
        <v>804.36973352837629</v>
      </c>
      <c r="DT137" s="62">
        <f ca="1">AVERAGE(OFFSET($DS$3,0,0,'Données projet'!$E$14+1,1))-AVERAGE(OFFSET($H$3,0,0,'Données projet'!$E$14+1,1))</f>
        <v>273.24375559399846</v>
      </c>
      <c r="DU137" s="62">
        <f t="shared" si="152"/>
        <v>270.77718895097848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projet'!$B$14,Paramètres!$A$1:$I$88,3,0)*0.475*44/12</f>
        <v>11.104477860655992</v>
      </c>
      <c r="EB137" s="23">
        <f>EXP(-LN(2)/25)*EB136+(1-EXP(-LN(2)/25))/(LN(2)/25)*Calculateur!DW137*Calculateur!DY137*VLOOKUP('Données projet'!$B$14,Paramètres!$A$1:$I$88,3,0)*0.475*44/12</f>
        <v>6.8185806722100057</v>
      </c>
      <c r="EC137" s="23">
        <f>EXP(-LN(2)/2)*EC136+(1-EXP(-LN(2)/2))/(LN(2)/2)*DW137*DZ137*VLOOKUP('Données projet'!$B$14,Paramètres!$A$1:$I$88,3,0)*0.475*44/12</f>
        <v>0</v>
      </c>
      <c r="ED137" s="24">
        <f t="shared" si="126"/>
        <v>17.923058532865998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498.99999999999955</v>
      </c>
      <c r="EK137" s="18">
        <f>EJ137*VLOOKUP('Données projet'!$B$15,Paramètres!$A$1:$I$88,3,0)*VLOOKUP('Données projet'!$B$15,Paramètres!$A$1:$I$88,5,0)</f>
        <v>233.53199999999975</v>
      </c>
      <c r="EL137" s="14">
        <f t="shared" si="153"/>
        <v>57.04570382109803</v>
      </c>
      <c r="EM137" s="22">
        <f t="shared" si="127"/>
        <v>506.08950082174533</v>
      </c>
      <c r="EN137" s="62">
        <f t="shared" si="128"/>
        <v>790.63684062644961</v>
      </c>
      <c r="EO137" s="62">
        <f ca="1">AVERAGE(OFFSET($EN$3,0,0,'Données projet'!$E$15+1,1))-AVERAGE(OFFSET($H$3,0,0,'Données projet'!$E$15+1,1))</f>
        <v>267.26203506406682</v>
      </c>
      <c r="EP137" s="62">
        <f t="shared" si="154"/>
        <v>265.10857635664843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projet'!$B$15,Paramètres!$A$1:$I$88,3,0)*0.475*44/12</f>
        <v>10.804356837395007</v>
      </c>
      <c r="EW137" s="23">
        <f>EXP(-LN(2)/25)*EW136+(1-EXP(-LN(2)/25))/(LN(2)/25)*Calculateur!ER137*Calculateur!ET137*VLOOKUP('Données projet'!$B$15,Paramètres!$A$1:$I$88,3,0)*0.475*44/12</f>
        <v>6.6342947080962178</v>
      </c>
      <c r="EX137" s="23">
        <f>EXP(-LN(2)/2)*EX136+(1-EXP(-LN(2)/2))/(LN(2)/2)*ER137*EU137*VLOOKUP('Données projet'!$B$15,Paramètres!$A$1:$I$88,3,0)*0.475*44/12</f>
        <v>0</v>
      </c>
      <c r="EY137" s="24">
        <f t="shared" si="129"/>
        <v>17.438651545491226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231</v>
      </c>
      <c r="FF137" s="18">
        <f>FE137*VLOOKUP('Données projet'!$B$16,Paramètres!$A$1:$I$88,3,0)*VLOOKUP('Données projet'!$B$16,Paramètres!$A$1:$I$88,5,0)</f>
        <v>169.36920000000001</v>
      </c>
      <c r="FG137" s="14">
        <f t="shared" si="155"/>
        <v>42.948714817158674</v>
      </c>
      <c r="FH137" s="22">
        <f t="shared" si="130"/>
        <v>369.787034973218</v>
      </c>
      <c r="FI137" s="62">
        <f t="shared" si="131"/>
        <v>654.33437477792222</v>
      </c>
      <c r="FJ137" s="62">
        <f ca="1">AVERAGE(OFFSET($FI$3,0,0,'Données projet'!$E$16+1,1))-AVERAGE(OFFSET($H$3,0,0,'Données projet'!$E$16+1,1))</f>
        <v>207.66160354686221</v>
      </c>
      <c r="FK137" s="62">
        <f t="shared" si="156"/>
        <v>260.45879589483525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projet'!$B$16,Paramètres!$A$1:$I$88,3,0)*0.475*44/12</f>
        <v>0.66006766032737718</v>
      </c>
      <c r="FR137" s="23">
        <f>EXP(-LN(2)/25)*FR136+(1-EXP(-LN(2)/25))/(LN(2)/25)*Calculateur!FM137*Calculateur!FO137*VLOOKUP('Données projet'!$B$16,Paramètres!$A$1:$I$88,3,0)*0.475*44/12</f>
        <v>0</v>
      </c>
      <c r="FS137" s="23">
        <f>EXP(-LN(2)/2)*FS136+(1-EXP(-LN(2)/2))/(LN(2)/2)*FM137*FP137*VLOOKUP('Données projet'!$B$16,Paramètres!$A$1:$I$88,3,0)*0.475*44/12</f>
        <v>0</v>
      </c>
      <c r="FT137" s="24">
        <f t="shared" si="132"/>
        <v>0.66006766032737718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projet'!$B$9,Paramètres!$A$1:$I$88,3,0)*VLOOKUP('Données projet'!$B$9,Paramètres!$A$1:$I$88,5,0)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378.13552372917843</v>
      </c>
      <c r="T138" s="62">
        <f t="shared" si="142"/>
        <v>528.97123645404952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49.940171282809871</v>
      </c>
      <c r="AA138" s="23">
        <f>EXP(-LN(2)/25)*AA137+(1-EXP(-LN(2)/25))/(LN(2)/25)*Calculateur!V138*Calculateur!X138*VLOOKUP('Données projet'!$B$9,Paramètres!$A$1:$I$88,3,0)*0.475*44/12</f>
        <v>13.706637934073763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63.646809216883632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6.7</v>
      </c>
      <c r="AI138" s="14">
        <f>IF('Données projet'!$A$62&gt;35,AI137+AH138-AQ137,IF(A138&lt;'Données projet'!$A$62,$AF$205^A138,IF(A138='Données projet'!$A$62,'Données projet'!$B$62,AI137+AH138-AQ137)))</f>
        <v>362.5000000000004</v>
      </c>
      <c r="AJ138" s="14">
        <f>AI138*VLOOKUP('Données projet'!$B$10,Paramètres!$A$1:$I$88,3,0)*VLOOKUP('Données projet'!$B$10,Paramètres!$A$1:$I$88,5,0)</f>
        <v>327.99000000000035</v>
      </c>
      <c r="AK138" s="14">
        <f t="shared" si="143"/>
        <v>77.013434829027688</v>
      </c>
      <c r="AL138" s="22">
        <f t="shared" si="112"/>
        <v>705.38098232722371</v>
      </c>
      <c r="AM138" s="62">
        <f t="shared" si="113"/>
        <v>990.08073947711091</v>
      </c>
      <c r="AN138" s="62">
        <f ca="1">AVERAGE(OFFSET($AM$3,0,0,'Données projet'!$E$10+1,1))-AVERAGE(OFFSET($H$3,0,0,'Données projet'!$E$10+1,1))</f>
        <v>536.3707066106856</v>
      </c>
      <c r="AO138" s="62">
        <f t="shared" si="144"/>
        <v>217.6280015974086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36.702720068362787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36.702720068362787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302.3</v>
      </c>
      <c r="BE138" s="14">
        <f>BD138*VLOOKUP('Données projet'!$B$11,Paramètres!$A$1:$I$88,3,0)*VLOOKUP('Données projet'!$B$11,Paramètres!$A$1:$I$88,5,0)</f>
        <v>180.77540000000005</v>
      </c>
      <c r="BF138" s="14">
        <f t="shared" si="145"/>
        <v>45.494655198846154</v>
      </c>
      <c r="BG138" s="22">
        <f t="shared" si="115"/>
        <v>394.08701280465715</v>
      </c>
      <c r="BH138" s="62">
        <f t="shared" si="116"/>
        <v>678.7867699545443</v>
      </c>
      <c r="BI138" s="62">
        <f ca="1">AVERAGE(OFFSET($BH$3,0,0,'Données projet'!$E$11+1,1))-AVERAGE(OFFSET($H$3,0,0,'Données projet'!$E$11+1,1))</f>
        <v>248.66193174773525</v>
      </c>
      <c r="BJ138" s="62">
        <f t="shared" si="146"/>
        <v>249.61655682981151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4.6968084520494884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2.1358311797272914E-11</v>
      </c>
      <c r="BS138" s="24">
        <f t="shared" si="117"/>
        <v>4.6968084520708464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860.00000000000023</v>
      </c>
      <c r="BZ138" s="14">
        <f>BY138*VLOOKUP('Données projet'!$B$12,Paramètres!$A$1:$I$88,3,0)*VLOOKUP('Données projet'!$B$12,Paramètres!$A$1:$I$88,5,0)</f>
        <v>346.5800000000001</v>
      </c>
      <c r="CA138" s="14">
        <f t="shared" si="147"/>
        <v>80.857895771535127</v>
      </c>
      <c r="CB138" s="22">
        <f t="shared" si="118"/>
        <v>744.45433513542378</v>
      </c>
      <c r="CC138" s="62">
        <f t="shared" si="119"/>
        <v>1029.154092285311</v>
      </c>
      <c r="CD138" s="62">
        <f ca="1">AVERAGE(OFFSET($CC$3,0,0,'Données projet'!$E$12+1,1))-AVERAGE(OFFSET($H$3,0,0,'Données projet'!$E$12+1,1))</f>
        <v>432.59662347701629</v>
      </c>
      <c r="CE138" s="62">
        <f t="shared" si="148"/>
        <v>348.67401091099748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21.157535207922557</v>
      </c>
      <c r="CL138" s="23">
        <f>EXP(-LN(2)/25)*CL137+(1-EXP(-LN(2)/25))/(LN(2)/25)*Calculateur!CG138*Calculateur!CI138*VLOOKUP('Données projet'!$B$12,Paramètres!$A$1:$I$88,3,0)*0.475*44/12</f>
        <v>15.132637675965883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36.290172883888438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1099.9999999999998</v>
      </c>
      <c r="CU138" s="18">
        <f>CT138*VLOOKUP('Données projet'!$B$13,Paramètres!$A$1:$I$88,3,0)*VLOOKUP('Données projet'!$B$13,Paramètres!$A$1:$I$88,5,0)</f>
        <v>486.19999999999993</v>
      </c>
      <c r="CV138" s="14">
        <f t="shared" si="149"/>
        <v>109.0490179035375</v>
      </c>
      <c r="CW138" s="22">
        <f t="shared" si="121"/>
        <v>1036.725372848661</v>
      </c>
      <c r="CX138" s="62">
        <f t="shared" si="122"/>
        <v>1321.4251299985481</v>
      </c>
      <c r="CY138" s="62">
        <f ca="1">AVERAGE(OFFSET($CX$3,0,0,'Données projet'!$E$13+1,1))-AVERAGE(OFFSET($H$3,0,0,'Données projet'!$E$13+1,1))</f>
        <v>582.26951914082088</v>
      </c>
      <c r="CZ138" s="62">
        <f t="shared" si="150"/>
        <v>434.80429932654715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21.319149259636358</v>
      </c>
      <c r="DG138" s="23">
        <f>EXP(-LN(2)/25)*DG137+(1-EXP(-LN(2)/25))/(LN(2)/25)*Calculateur!DB138*Calculateur!DD138*VLOOKUP('Données projet'!$B$13,Paramètres!$A$1:$I$88,3,0)*0.475*44/12</f>
        <v>13.597852854942811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34.917002114579169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498.99999999999955</v>
      </c>
      <c r="DP138" s="18">
        <f>DO138*VLOOKUP('Données projet'!$B$14,Paramètres!$A$1:$I$88,3,0)*VLOOKUP('Données projet'!$B$14,Paramètres!$A$1:$I$88,5,0)</f>
        <v>240.01899999999978</v>
      </c>
      <c r="DQ138" s="14">
        <f t="shared" si="151"/>
        <v>58.443618405936313</v>
      </c>
      <c r="DR138" s="22">
        <f t="shared" si="124"/>
        <v>519.82239372367201</v>
      </c>
      <c r="DS138" s="62">
        <f t="shared" si="125"/>
        <v>804.52215087355921</v>
      </c>
      <c r="DT138" s="62">
        <f ca="1">AVERAGE(OFFSET($DS$3,0,0,'Données projet'!$E$14+1,1))-AVERAGE(OFFSET($H$3,0,0,'Données projet'!$E$14+1,1))</f>
        <v>273.24375559399846</v>
      </c>
      <c r="DU138" s="62">
        <f t="shared" si="152"/>
        <v>270.77718895097848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projet'!$B$14,Paramètres!$A$1:$I$88,3,0)*0.475*44/12</f>
        <v>10.886725822871238</v>
      </c>
      <c r="EB138" s="23">
        <f>EXP(-LN(2)/25)*EB137+(1-EXP(-LN(2)/25))/(LN(2)/25)*Calculateur!DW138*Calculateur!DY138*VLOOKUP('Données projet'!$B$14,Paramètres!$A$1:$I$88,3,0)*0.475*44/12</f>
        <v>6.6321262251548498</v>
      </c>
      <c r="EC138" s="23">
        <f>EXP(-LN(2)/2)*EC137+(1-EXP(-LN(2)/2))/(LN(2)/2)*DW138*DZ138*VLOOKUP('Données projet'!$B$14,Paramètres!$A$1:$I$88,3,0)*0.475*44/12</f>
        <v>0</v>
      </c>
      <c r="ED138" s="24">
        <f t="shared" si="126"/>
        <v>17.518852048026087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498.99999999999955</v>
      </c>
      <c r="EK138" s="18">
        <f>EJ138*VLOOKUP('Données projet'!$B$15,Paramètres!$A$1:$I$88,3,0)*VLOOKUP('Données projet'!$B$15,Paramètres!$A$1:$I$88,5,0)</f>
        <v>233.53199999999975</v>
      </c>
      <c r="EL138" s="14">
        <f t="shared" si="153"/>
        <v>57.04570382109803</v>
      </c>
      <c r="EM138" s="22">
        <f t="shared" si="127"/>
        <v>506.08950082174533</v>
      </c>
      <c r="EN138" s="62">
        <f t="shared" si="128"/>
        <v>790.78925797163242</v>
      </c>
      <c r="EO138" s="62">
        <f ca="1">AVERAGE(OFFSET($EN$3,0,0,'Données projet'!$E$15+1,1))-AVERAGE(OFFSET($H$3,0,0,'Données projet'!$E$15+1,1))</f>
        <v>267.26203506406682</v>
      </c>
      <c r="EP138" s="62">
        <f t="shared" si="154"/>
        <v>265.10857635664843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projet'!$B$15,Paramètres!$A$1:$I$88,3,0)*0.475*44/12</f>
        <v>10.592489989820653</v>
      </c>
      <c r="EW138" s="23">
        <f>EXP(-LN(2)/25)*EW137+(1-EXP(-LN(2)/25))/(LN(2)/25)*Calculateur!ER138*Calculateur!ET138*VLOOKUP('Données projet'!$B$15,Paramètres!$A$1:$I$88,3,0)*0.475*44/12</f>
        <v>6.4528795704209312</v>
      </c>
      <c r="EX138" s="23">
        <f>EXP(-LN(2)/2)*EX137+(1-EXP(-LN(2)/2))/(LN(2)/2)*ER138*EU138*VLOOKUP('Données projet'!$B$15,Paramètres!$A$1:$I$88,3,0)*0.475*44/12</f>
        <v>0</v>
      </c>
      <c r="EY138" s="24">
        <f t="shared" si="129"/>
        <v>17.045369560241582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231</v>
      </c>
      <c r="FF138" s="18">
        <f>FE138*VLOOKUP('Données projet'!$B$16,Paramètres!$A$1:$I$88,3,0)*VLOOKUP('Données projet'!$B$16,Paramètres!$A$1:$I$88,5,0)</f>
        <v>169.36920000000001</v>
      </c>
      <c r="FG138" s="14">
        <f t="shared" si="155"/>
        <v>42.948714817158674</v>
      </c>
      <c r="FH138" s="22">
        <f t="shared" si="130"/>
        <v>369.787034973218</v>
      </c>
      <c r="FI138" s="62">
        <f t="shared" si="131"/>
        <v>654.48679212310515</v>
      </c>
      <c r="FJ138" s="62">
        <f ca="1">AVERAGE(OFFSET($FI$3,0,0,'Données projet'!$E$16+1,1))-AVERAGE(OFFSET($H$3,0,0,'Données projet'!$E$16+1,1))</f>
        <v>207.66160354686221</v>
      </c>
      <c r="FK138" s="62">
        <f t="shared" si="156"/>
        <v>260.45879589483525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projet'!$B$16,Paramètres!$A$1:$I$88,3,0)*0.475*44/12</f>
        <v>0.64712413610987651</v>
      </c>
      <c r="FR138" s="23">
        <f>EXP(-LN(2)/25)*FR137+(1-EXP(-LN(2)/25))/(LN(2)/25)*Calculateur!FM138*Calculateur!FO138*VLOOKUP('Données projet'!$B$16,Paramètres!$A$1:$I$88,3,0)*0.475*44/12</f>
        <v>0</v>
      </c>
      <c r="FS138" s="23">
        <f>EXP(-LN(2)/2)*FS137+(1-EXP(-LN(2)/2))/(LN(2)/2)*FM138*FP138*VLOOKUP('Données projet'!$B$16,Paramètres!$A$1:$I$88,3,0)*0.475*44/12</f>
        <v>0</v>
      </c>
      <c r="FT138" s="24">
        <f t="shared" si="132"/>
        <v>0.64712413610987651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projet'!$B$9,Paramètres!$A$1:$I$88,3,0)*VLOOKUP('Données projet'!$B$9,Paramètres!$A$1:$I$88,5,0)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378.13552372917843</v>
      </c>
      <c r="T139" s="62">
        <f t="shared" si="142"/>
        <v>528.97123645404952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48.960874984450726</v>
      </c>
      <c r="AA139" s="23">
        <f>EXP(-LN(2)/25)*AA138+(1-EXP(-LN(2)/25))/(LN(2)/25)*Calculateur!V139*Calculateur!X139*VLOOKUP('Données projet'!$B$9,Paramètres!$A$1:$I$88,3,0)*0.475*44/12</f>
        <v>13.331829198965753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62.292704183416475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6.7</v>
      </c>
      <c r="AI139" s="14">
        <f>IF('Données projet'!$A$62&gt;35,AI138+AH139-AQ138,IF(A139&lt;'Données projet'!$A$62,$AF$205^A139,IF(A139='Données projet'!$A$62,'Données projet'!$B$62,AI138+AH139-AQ138)))</f>
        <v>369.20000000000039</v>
      </c>
      <c r="AJ139" s="14">
        <f>AI139*VLOOKUP('Données projet'!$B$10,Paramètres!$A$1:$I$88,3,0)*VLOOKUP('Données projet'!$B$10,Paramètres!$A$1:$I$88,5,0)</f>
        <v>334.05216000000036</v>
      </c>
      <c r="AK139" s="14">
        <f t="shared" si="143"/>
        <v>78.269825657864502</v>
      </c>
      <c r="AL139" s="22">
        <f t="shared" si="112"/>
        <v>718.12745835411454</v>
      </c>
      <c r="AM139" s="62">
        <f t="shared" si="113"/>
        <v>1002.9769887489997</v>
      </c>
      <c r="AN139" s="62">
        <f ca="1">AVERAGE(OFFSET($AM$3,0,0,'Données projet'!$E$10+1,1))-AVERAGE(OFFSET($H$3,0,0,'Données projet'!$E$10+1,1))</f>
        <v>536.3707066106856</v>
      </c>
      <c r="AO139" s="62">
        <f t="shared" si="144"/>
        <v>217.6280015974086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35.983002114270953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35.983002114270953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302.3</v>
      </c>
      <c r="BE139" s="14">
        <f>BD139*VLOOKUP('Données projet'!$B$11,Paramètres!$A$1:$I$88,3,0)*VLOOKUP('Données projet'!$B$11,Paramètres!$A$1:$I$88,5,0)</f>
        <v>180.77540000000005</v>
      </c>
      <c r="BF139" s="14">
        <f t="shared" si="145"/>
        <v>45.494655198846154</v>
      </c>
      <c r="BG139" s="22">
        <f t="shared" si="115"/>
        <v>394.08701280465715</v>
      </c>
      <c r="BH139" s="62">
        <f t="shared" si="116"/>
        <v>678.93654319954237</v>
      </c>
      <c r="BI139" s="62">
        <f ca="1">AVERAGE(OFFSET($BH$3,0,0,'Données projet'!$E$11+1,1))-AVERAGE(OFFSET($H$3,0,0,'Données projet'!$E$11+1,1))</f>
        <v>248.66193174773525</v>
      </c>
      <c r="BJ139" s="62">
        <f t="shared" si="146"/>
        <v>249.61655682981151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4.6047069030750807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1.5102607106548315E-11</v>
      </c>
      <c r="BS139" s="24">
        <f t="shared" si="117"/>
        <v>4.6047069030901833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860.00000000000023</v>
      </c>
      <c r="BZ139" s="14">
        <f>BY139*VLOOKUP('Données projet'!$B$12,Paramètres!$A$1:$I$88,3,0)*VLOOKUP('Données projet'!$B$12,Paramètres!$A$1:$I$88,5,0)</f>
        <v>346.5800000000001</v>
      </c>
      <c r="CA139" s="14">
        <f t="shared" si="147"/>
        <v>80.857895771535127</v>
      </c>
      <c r="CB139" s="22">
        <f t="shared" si="118"/>
        <v>744.45433513542378</v>
      </c>
      <c r="CC139" s="62">
        <f t="shared" si="119"/>
        <v>1029.3038655303089</v>
      </c>
      <c r="CD139" s="62">
        <f ca="1">AVERAGE(OFFSET($CC$3,0,0,'Données projet'!$E$12+1,1))-AVERAGE(OFFSET($H$3,0,0,'Données projet'!$E$12+1,1))</f>
        <v>432.59662347701629</v>
      </c>
      <c r="CE139" s="62">
        <f t="shared" si="148"/>
        <v>348.67401091099748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20.742648847317426</v>
      </c>
      <c r="CL139" s="23">
        <f>EXP(-LN(2)/25)*CL138+(1-EXP(-LN(2)/25))/(LN(2)/25)*Calculateur!CG139*Calculateur!CI139*VLOOKUP('Données projet'!$B$12,Paramètres!$A$1:$I$88,3,0)*0.475*44/12</f>
        <v>14.718834902925767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35.46148375024319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1099.9999999999998</v>
      </c>
      <c r="CU139" s="18">
        <f>CT139*VLOOKUP('Données projet'!$B$13,Paramètres!$A$1:$I$88,3,0)*VLOOKUP('Données projet'!$B$13,Paramètres!$A$1:$I$88,5,0)</f>
        <v>486.19999999999993</v>
      </c>
      <c r="CV139" s="14">
        <f t="shared" si="149"/>
        <v>109.0490179035375</v>
      </c>
      <c r="CW139" s="22">
        <f t="shared" si="121"/>
        <v>1036.725372848661</v>
      </c>
      <c r="CX139" s="62">
        <f t="shared" si="122"/>
        <v>1321.5749032435463</v>
      </c>
      <c r="CY139" s="62">
        <f ca="1">AVERAGE(OFFSET($CX$3,0,0,'Données projet'!$E$13+1,1))-AVERAGE(OFFSET($H$3,0,0,'Données projet'!$E$13+1,1))</f>
        <v>582.26951914082088</v>
      </c>
      <c r="CZ139" s="62">
        <f t="shared" si="150"/>
        <v>434.80429932654715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20.901093746051959</v>
      </c>
      <c r="DG139" s="23">
        <f>EXP(-LN(2)/25)*DG138+(1-EXP(-LN(2)/25))/(LN(2)/25)*Calculateur!DB139*Calculateur!DD139*VLOOKUP('Données projet'!$B$13,Paramètres!$A$1:$I$88,3,0)*0.475*44/12</f>
        <v>13.226018853544396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34.127112599596359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498.99999999999955</v>
      </c>
      <c r="DP139" s="18">
        <f>DO139*VLOOKUP('Données projet'!$B$14,Paramètres!$A$1:$I$88,3,0)*VLOOKUP('Données projet'!$B$14,Paramètres!$A$1:$I$88,5,0)</f>
        <v>240.01899999999978</v>
      </c>
      <c r="DQ139" s="14">
        <f t="shared" si="151"/>
        <v>58.443618405936313</v>
      </c>
      <c r="DR139" s="22">
        <f t="shared" si="124"/>
        <v>519.82239372367201</v>
      </c>
      <c r="DS139" s="62">
        <f t="shared" si="125"/>
        <v>804.67192411855717</v>
      </c>
      <c r="DT139" s="62">
        <f ca="1">AVERAGE(OFFSET($DS$3,0,0,'Données projet'!$E$14+1,1))-AVERAGE(OFFSET($H$3,0,0,'Données projet'!$E$14+1,1))</f>
        <v>273.24375559399846</v>
      </c>
      <c r="DU139" s="62">
        <f t="shared" si="152"/>
        <v>270.77718895097848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projet'!$B$14,Paramètres!$A$1:$I$88,3,0)*0.475*44/12</f>
        <v>10.673243769731815</v>
      </c>
      <c r="EB139" s="23">
        <f>EXP(-LN(2)/25)*EB138+(1-EXP(-LN(2)/25))/(LN(2)/25)*Calculateur!DW139*Calculateur!DY139*VLOOKUP('Données projet'!$B$14,Paramètres!$A$1:$I$88,3,0)*0.475*44/12</f>
        <v>6.4507703847596298</v>
      </c>
      <c r="EC139" s="23">
        <f>EXP(-LN(2)/2)*EC138+(1-EXP(-LN(2)/2))/(LN(2)/2)*DW139*DZ139*VLOOKUP('Données projet'!$B$14,Paramètres!$A$1:$I$88,3,0)*0.475*44/12</f>
        <v>0</v>
      </c>
      <c r="ED139" s="24">
        <f t="shared" si="126"/>
        <v>17.124014154491444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498.99999999999955</v>
      </c>
      <c r="EK139" s="18">
        <f>EJ139*VLOOKUP('Données projet'!$B$15,Paramètres!$A$1:$I$88,3,0)*VLOOKUP('Données projet'!$B$15,Paramètres!$A$1:$I$88,5,0)</f>
        <v>233.53199999999975</v>
      </c>
      <c r="EL139" s="14">
        <f t="shared" si="153"/>
        <v>57.04570382109803</v>
      </c>
      <c r="EM139" s="22">
        <f t="shared" si="127"/>
        <v>506.08950082174533</v>
      </c>
      <c r="EN139" s="62">
        <f t="shared" si="128"/>
        <v>790.93903121663061</v>
      </c>
      <c r="EO139" s="62">
        <f ca="1">AVERAGE(OFFSET($EN$3,0,0,'Données projet'!$E$15+1,1))-AVERAGE(OFFSET($H$3,0,0,'Données projet'!$E$15+1,1))</f>
        <v>267.26203506406682</v>
      </c>
      <c r="EP139" s="62">
        <f t="shared" si="154"/>
        <v>265.10857635664843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projet'!$B$15,Paramètres!$A$1:$I$88,3,0)*0.475*44/12</f>
        <v>10.384777721901214</v>
      </c>
      <c r="EW139" s="23">
        <f>EXP(-LN(2)/25)*EW138+(1-EXP(-LN(2)/25))/(LN(2)/25)*Calculateur!ER139*Calculateur!ET139*VLOOKUP('Données projet'!$B$15,Paramètres!$A$1:$I$88,3,0)*0.475*44/12</f>
        <v>6.2764252392255822</v>
      </c>
      <c r="EX139" s="23">
        <f>EXP(-LN(2)/2)*EX138+(1-EXP(-LN(2)/2))/(LN(2)/2)*ER139*EU139*VLOOKUP('Données projet'!$B$15,Paramètres!$A$1:$I$88,3,0)*0.475*44/12</f>
        <v>0</v>
      </c>
      <c r="EY139" s="24">
        <f t="shared" si="129"/>
        <v>16.661202961126797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231</v>
      </c>
      <c r="FF139" s="18">
        <f>FE139*VLOOKUP('Données projet'!$B$16,Paramètres!$A$1:$I$88,3,0)*VLOOKUP('Données projet'!$B$16,Paramètres!$A$1:$I$88,5,0)</f>
        <v>169.36920000000001</v>
      </c>
      <c r="FG139" s="14">
        <f t="shared" si="155"/>
        <v>42.948714817158674</v>
      </c>
      <c r="FH139" s="22">
        <f t="shared" si="130"/>
        <v>369.787034973218</v>
      </c>
      <c r="FI139" s="62">
        <f t="shared" si="131"/>
        <v>654.63656536810322</v>
      </c>
      <c r="FJ139" s="62">
        <f ca="1">AVERAGE(OFFSET($FI$3,0,0,'Données projet'!$E$16+1,1))-AVERAGE(OFFSET($H$3,0,0,'Données projet'!$E$16+1,1))</f>
        <v>207.66160354686221</v>
      </c>
      <c r="FK139" s="62">
        <f t="shared" si="156"/>
        <v>260.45879589483525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projet'!$B$16,Paramètres!$A$1:$I$88,3,0)*0.475*44/12</f>
        <v>0.63443442650751081</v>
      </c>
      <c r="FR139" s="23">
        <f>EXP(-LN(2)/25)*FR138+(1-EXP(-LN(2)/25))/(LN(2)/25)*Calculateur!FM139*Calculateur!FO139*VLOOKUP('Données projet'!$B$16,Paramètres!$A$1:$I$88,3,0)*0.475*44/12</f>
        <v>0</v>
      </c>
      <c r="FS139" s="23">
        <f>EXP(-LN(2)/2)*FS138+(1-EXP(-LN(2)/2))/(LN(2)/2)*FM139*FP139*VLOOKUP('Données projet'!$B$16,Paramètres!$A$1:$I$88,3,0)*0.475*44/12</f>
        <v>0</v>
      </c>
      <c r="FT139" s="24">
        <f t="shared" si="132"/>
        <v>0.63443442650751081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projet'!$B$9,Paramètres!$A$1:$I$88,3,0)*VLOOKUP('Données projet'!$B$9,Paramètres!$A$1:$I$88,5,0)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378.13552372917843</v>
      </c>
      <c r="T140" s="62">
        <f t="shared" si="142"/>
        <v>528.97123645404952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48.000782089190643</v>
      </c>
      <c r="AA140" s="23">
        <f>EXP(-LN(2)/25)*AA139+(1-EXP(-LN(2)/25))/(LN(2)/25)*Calculateur!V140*Calculateur!X140*VLOOKUP('Données projet'!$B$9,Paramètres!$A$1:$I$88,3,0)*0.475*44/12</f>
        <v>12.967269628429607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60.968051717620249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6.7</v>
      </c>
      <c r="AI140" s="14">
        <f>IF('Données projet'!$A$62&gt;35,AI139+AH140-AQ139,IF(A140&lt;'Données projet'!$A$62,$AF$205^A140,IF(A140='Données projet'!$A$62,'Données projet'!$B$62,AI139+AH140-AQ139)))</f>
        <v>375.90000000000038</v>
      </c>
      <c r="AJ140" s="14">
        <f>AI140*VLOOKUP('Données projet'!$B$10,Paramètres!$A$1:$I$88,3,0)*VLOOKUP('Données projet'!$B$10,Paramètres!$A$1:$I$88,5,0)</f>
        <v>340.1143200000003</v>
      </c>
      <c r="AK140" s="14">
        <f t="shared" si="143"/>
        <v>79.523565195450729</v>
      </c>
      <c r="AL140" s="22">
        <f t="shared" si="112"/>
        <v>730.86931671541049</v>
      </c>
      <c r="AM140" s="62">
        <f t="shared" si="113"/>
        <v>1015.8660221243358</v>
      </c>
      <c r="AN140" s="62">
        <f ca="1">AVERAGE(OFFSET($AM$3,0,0,'Données projet'!$E$10+1,1))-AVERAGE(OFFSET($H$3,0,0,'Données projet'!$E$10+1,1))</f>
        <v>536.3707066106856</v>
      </c>
      <c r="AO140" s="62">
        <f t="shared" si="144"/>
        <v>217.6280015974086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35.27739739027426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35.27739739027426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302.3</v>
      </c>
      <c r="BE140" s="14">
        <f>BD140*VLOOKUP('Données projet'!$B$11,Paramètres!$A$1:$I$88,3,0)*VLOOKUP('Données projet'!$B$11,Paramètres!$A$1:$I$88,5,0)</f>
        <v>180.77540000000005</v>
      </c>
      <c r="BF140" s="14">
        <f t="shared" si="145"/>
        <v>45.494655198846154</v>
      </c>
      <c r="BG140" s="22">
        <f t="shared" si="115"/>
        <v>394.08701280465715</v>
      </c>
      <c r="BH140" s="62">
        <f t="shared" si="116"/>
        <v>679.08371821358253</v>
      </c>
      <c r="BI140" s="62">
        <f ca="1">AVERAGE(OFFSET($BH$3,0,0,'Données projet'!$E$11+1,1))-AVERAGE(OFFSET($H$3,0,0,'Données projet'!$E$11+1,1))</f>
        <v>248.66193174773525</v>
      </c>
      <c r="BJ140" s="62">
        <f t="shared" si="146"/>
        <v>249.61655682981151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4.5144114092996634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1.0679155898636457E-11</v>
      </c>
      <c r="BS140" s="24">
        <f t="shared" si="117"/>
        <v>4.5144114093103429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860.00000000000023</v>
      </c>
      <c r="BZ140" s="14">
        <f>BY140*VLOOKUP('Données projet'!$B$12,Paramètres!$A$1:$I$88,3,0)*VLOOKUP('Données projet'!$B$12,Paramètres!$A$1:$I$88,5,0)</f>
        <v>346.5800000000001</v>
      </c>
      <c r="CA140" s="14">
        <f t="shared" si="147"/>
        <v>80.857895771535127</v>
      </c>
      <c r="CB140" s="22">
        <f t="shared" si="118"/>
        <v>744.45433513542378</v>
      </c>
      <c r="CC140" s="62">
        <f t="shared" si="119"/>
        <v>1029.4510405443491</v>
      </c>
      <c r="CD140" s="62">
        <f ca="1">AVERAGE(OFFSET($CC$3,0,0,'Données projet'!$E$12+1,1))-AVERAGE(OFFSET($H$3,0,0,'Données projet'!$E$12+1,1))</f>
        <v>432.59662347701629</v>
      </c>
      <c r="CE140" s="62">
        <f t="shared" si="148"/>
        <v>348.67401091099748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20.335898155188069</v>
      </c>
      <c r="CL140" s="23">
        <f>EXP(-LN(2)/25)*CL139+(1-EXP(-LN(2)/25))/(LN(2)/25)*Calculateur!CG140*Calculateur!CI140*VLOOKUP('Données projet'!$B$12,Paramètres!$A$1:$I$88,3,0)*0.475*44/12</f>
        <v>14.316347588475375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34.652245743663443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1099.9999999999998</v>
      </c>
      <c r="CU140" s="18">
        <f>CT140*VLOOKUP('Données projet'!$B$13,Paramètres!$A$1:$I$88,3,0)*VLOOKUP('Données projet'!$B$13,Paramètres!$A$1:$I$88,5,0)</f>
        <v>486.19999999999993</v>
      </c>
      <c r="CV140" s="14">
        <f t="shared" si="149"/>
        <v>109.0490179035375</v>
      </c>
      <c r="CW140" s="22">
        <f t="shared" si="121"/>
        <v>1036.725372848661</v>
      </c>
      <c r="CX140" s="62">
        <f t="shared" si="122"/>
        <v>1321.7220782575864</v>
      </c>
      <c r="CY140" s="62">
        <f ca="1">AVERAGE(OFFSET($CX$3,0,0,'Données projet'!$E$13+1,1))-AVERAGE(OFFSET($H$3,0,0,'Données projet'!$E$13+1,1))</f>
        <v>582.26951914082088</v>
      </c>
      <c r="CZ140" s="62">
        <f t="shared" si="150"/>
        <v>434.80429932654715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20.491236046100266</v>
      </c>
      <c r="DG140" s="23">
        <f>EXP(-LN(2)/25)*DG139+(1-EXP(-LN(2)/25))/(LN(2)/25)*Calculateur!DB140*Calculateur!DD140*VLOOKUP('Données projet'!$B$13,Paramètres!$A$1:$I$88,3,0)*0.475*44/12</f>
        <v>12.864352672468121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33.355588718568384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498.99999999999955</v>
      </c>
      <c r="DP140" s="18">
        <f>DO140*VLOOKUP('Données projet'!$B$14,Paramètres!$A$1:$I$88,3,0)*VLOOKUP('Données projet'!$B$14,Paramètres!$A$1:$I$88,5,0)</f>
        <v>240.01899999999978</v>
      </c>
      <c r="DQ140" s="14">
        <f t="shared" si="151"/>
        <v>58.443618405936313</v>
      </c>
      <c r="DR140" s="22">
        <f t="shared" si="124"/>
        <v>519.82239372367201</v>
      </c>
      <c r="DS140" s="62">
        <f t="shared" si="125"/>
        <v>804.81909913259733</v>
      </c>
      <c r="DT140" s="62">
        <f ca="1">AVERAGE(OFFSET($DS$3,0,0,'Données projet'!$E$14+1,1))-AVERAGE(OFFSET($H$3,0,0,'Données projet'!$E$14+1,1))</f>
        <v>273.24375559399846</v>
      </c>
      <c r="DU140" s="62">
        <f t="shared" si="152"/>
        <v>270.77718895097848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projet'!$B$14,Paramètres!$A$1:$I$88,3,0)*0.475*44/12</f>
        <v>10.463947969443261</v>
      </c>
      <c r="EB140" s="23">
        <f>EXP(-LN(2)/25)*EB139+(1-EXP(-LN(2)/25))/(LN(2)/25)*Calculateur!DW140*Calculateur!DY140*VLOOKUP('Données projet'!$B$14,Paramètres!$A$1:$I$88,3,0)*0.475*44/12</f>
        <v>6.2743737293571069</v>
      </c>
      <c r="EC140" s="23">
        <f>EXP(-LN(2)/2)*EC139+(1-EXP(-LN(2)/2))/(LN(2)/2)*DW140*DZ140*VLOOKUP('Données projet'!$B$14,Paramètres!$A$1:$I$88,3,0)*0.475*44/12</f>
        <v>0</v>
      </c>
      <c r="ED140" s="24">
        <f t="shared" si="126"/>
        <v>16.73832169880037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498.99999999999955</v>
      </c>
      <c r="EK140" s="18">
        <f>EJ140*VLOOKUP('Données projet'!$B$15,Paramètres!$A$1:$I$88,3,0)*VLOOKUP('Données projet'!$B$15,Paramètres!$A$1:$I$88,5,0)</f>
        <v>233.53199999999975</v>
      </c>
      <c r="EL140" s="14">
        <f t="shared" si="153"/>
        <v>57.04570382109803</v>
      </c>
      <c r="EM140" s="22">
        <f t="shared" si="127"/>
        <v>506.08950082174533</v>
      </c>
      <c r="EN140" s="62">
        <f t="shared" si="128"/>
        <v>791.08620623067077</v>
      </c>
      <c r="EO140" s="62">
        <f ca="1">AVERAGE(OFFSET($EN$3,0,0,'Données projet'!$E$15+1,1))-AVERAGE(OFFSET($H$3,0,0,'Données projet'!$E$15+1,1))</f>
        <v>267.26203506406682</v>
      </c>
      <c r="EP140" s="62">
        <f t="shared" si="154"/>
        <v>265.10857635664843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projet'!$B$15,Paramètres!$A$1:$I$88,3,0)*0.475*44/12</f>
        <v>10.181138564863703</v>
      </c>
      <c r="EW140" s="23">
        <f>EXP(-LN(2)/25)*EW139+(1-EXP(-LN(2)/25))/(LN(2)/25)*Calculateur!ER140*Calculateur!ET140*VLOOKUP('Données projet'!$B$15,Paramètres!$A$1:$I$88,3,0)*0.475*44/12</f>
        <v>6.1047960609961001</v>
      </c>
      <c r="EX140" s="23">
        <f>EXP(-LN(2)/2)*EX139+(1-EXP(-LN(2)/2))/(LN(2)/2)*ER140*EU140*VLOOKUP('Données projet'!$B$15,Paramètres!$A$1:$I$88,3,0)*0.475*44/12</f>
        <v>0</v>
      </c>
      <c r="EY140" s="24">
        <f t="shared" si="129"/>
        <v>16.285934625859802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231</v>
      </c>
      <c r="FF140" s="18">
        <f>FE140*VLOOKUP('Données projet'!$B$16,Paramètres!$A$1:$I$88,3,0)*VLOOKUP('Données projet'!$B$16,Paramètres!$A$1:$I$88,5,0)</f>
        <v>169.36920000000001</v>
      </c>
      <c r="FG140" s="14">
        <f t="shared" si="155"/>
        <v>42.948714817158674</v>
      </c>
      <c r="FH140" s="22">
        <f t="shared" si="130"/>
        <v>369.787034973218</v>
      </c>
      <c r="FI140" s="62">
        <f t="shared" si="131"/>
        <v>654.78374038214338</v>
      </c>
      <c r="FJ140" s="62">
        <f ca="1">AVERAGE(OFFSET($FI$3,0,0,'Données projet'!$E$16+1,1))-AVERAGE(OFFSET($H$3,0,0,'Données projet'!$E$16+1,1))</f>
        <v>207.66160354686221</v>
      </c>
      <c r="FK140" s="62">
        <f t="shared" si="156"/>
        <v>260.45879589483525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projet'!$B$16,Paramètres!$A$1:$I$88,3,0)*0.475*44/12</f>
        <v>0.62199355437048887</v>
      </c>
      <c r="FR140" s="23">
        <f>EXP(-LN(2)/25)*FR139+(1-EXP(-LN(2)/25))/(LN(2)/25)*Calculateur!FM140*Calculateur!FO140*VLOOKUP('Données projet'!$B$16,Paramètres!$A$1:$I$88,3,0)*0.475*44/12</f>
        <v>0</v>
      </c>
      <c r="FS140" s="23">
        <f>EXP(-LN(2)/2)*FS139+(1-EXP(-LN(2)/2))/(LN(2)/2)*FM140*FP140*VLOOKUP('Données projet'!$B$16,Paramètres!$A$1:$I$88,3,0)*0.475*44/12</f>
        <v>0</v>
      </c>
      <c r="FT140" s="24">
        <f t="shared" si="132"/>
        <v>0.62199355437048887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projet'!$B$9,Paramètres!$A$1:$I$88,3,0)*VLOOKUP('Données projet'!$B$9,Paramètres!$A$1:$I$88,5,0)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378.13552372917843</v>
      </c>
      <c r="T141" s="62">
        <f t="shared" si="142"/>
        <v>528.97123645404952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47.059516030007771</v>
      </c>
      <c r="AA141" s="23">
        <f>EXP(-LN(2)/25)*AA140+(1-EXP(-LN(2)/25))/(LN(2)/25)*Calculateur!V141*Calculateur!X141*VLOOKUP('Données projet'!$B$9,Paramètres!$A$1:$I$88,3,0)*0.475*44/12</f>
        <v>12.612678958521126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59.672194988528901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6.7</v>
      </c>
      <c r="AI141" s="14">
        <f>IF('Données projet'!$A$62&gt;35,AI140+AH141-AQ140,IF(A141&lt;'Données projet'!$A$62,$AF$205^A141,IF(A141='Données projet'!$A$62,'Données projet'!$B$62,AI140+AH141-AQ140)))</f>
        <v>382.60000000000036</v>
      </c>
      <c r="AJ141" s="14">
        <f>AI141*VLOOKUP('Données projet'!$B$10,Paramètres!$A$1:$I$88,3,0)*VLOOKUP('Données projet'!$B$10,Paramètres!$A$1:$I$88,5,0)</f>
        <v>346.17648000000031</v>
      </c>
      <c r="AK141" s="14">
        <f t="shared" si="143"/>
        <v>80.774706149681137</v>
      </c>
      <c r="AL141" s="22">
        <f t="shared" si="112"/>
        <v>743.6066492106952</v>
      </c>
      <c r="AM141" s="62">
        <f t="shared" si="113"/>
        <v>1028.7479764762011</v>
      </c>
      <c r="AN141" s="62">
        <f ca="1">AVERAGE(OFFSET($AM$3,0,0,'Données projet'!$E$10+1,1))-AVERAGE(OFFSET($H$3,0,0,'Données projet'!$E$10+1,1))</f>
        <v>536.3707066106856</v>
      </c>
      <c r="AO141" s="62">
        <f t="shared" si="144"/>
        <v>217.6280015974086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34.585629144538757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34.585629144538757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302.3</v>
      </c>
      <c r="BE141" s="14">
        <f>BD141*VLOOKUP('Données projet'!$B$11,Paramètres!$A$1:$I$88,3,0)*VLOOKUP('Données projet'!$B$11,Paramètres!$A$1:$I$88,5,0)</f>
        <v>180.77540000000005</v>
      </c>
      <c r="BF141" s="14">
        <f t="shared" si="145"/>
        <v>45.494655198846154</v>
      </c>
      <c r="BG141" s="22">
        <f t="shared" si="115"/>
        <v>394.08701280465715</v>
      </c>
      <c r="BH141" s="62">
        <f t="shared" si="116"/>
        <v>679.22834007016309</v>
      </c>
      <c r="BI141" s="62">
        <f ca="1">AVERAGE(OFFSET($BH$3,0,0,'Données projet'!$E$11+1,1))-AVERAGE(OFFSET($H$3,0,0,'Données projet'!$E$11+1,1))</f>
        <v>248.66193174773525</v>
      </c>
      <c r="BJ141" s="62">
        <f t="shared" si="146"/>
        <v>249.61655682981151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4.4258865550823696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7.5513035532741573E-12</v>
      </c>
      <c r="BS141" s="24">
        <f t="shared" si="117"/>
        <v>4.4258865550899209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860.00000000000023</v>
      </c>
      <c r="BZ141" s="14">
        <f>BY141*VLOOKUP('Données projet'!$B$12,Paramètres!$A$1:$I$88,3,0)*VLOOKUP('Données projet'!$B$12,Paramètres!$A$1:$I$88,5,0)</f>
        <v>346.5800000000001</v>
      </c>
      <c r="CA141" s="14">
        <f t="shared" si="147"/>
        <v>80.857895771535127</v>
      </c>
      <c r="CB141" s="22">
        <f t="shared" si="118"/>
        <v>744.45433513542378</v>
      </c>
      <c r="CC141" s="62">
        <f t="shared" si="119"/>
        <v>1029.5956624009298</v>
      </c>
      <c r="CD141" s="62">
        <f ca="1">AVERAGE(OFFSET($CC$3,0,0,'Données projet'!$E$12+1,1))-AVERAGE(OFFSET($H$3,0,0,'Données projet'!$E$12+1,1))</f>
        <v>432.59662347701629</v>
      </c>
      <c r="CE141" s="62">
        <f t="shared" si="148"/>
        <v>348.67401091099748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19.937123596037946</v>
      </c>
      <c r="CL141" s="23">
        <f>EXP(-LN(2)/25)*CL140+(1-EXP(-LN(2)/25))/(LN(2)/25)*Calculateur!CG141*Calculateur!CI141*VLOOKUP('Données projet'!$B$12,Paramètres!$A$1:$I$88,3,0)*0.475*44/12</f>
        <v>13.924866310804518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33.861989906842467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1099.9999999999998</v>
      </c>
      <c r="CU141" s="18">
        <f>CT141*VLOOKUP('Données projet'!$B$13,Paramètres!$A$1:$I$88,3,0)*VLOOKUP('Données projet'!$B$13,Paramètres!$A$1:$I$88,5,0)</f>
        <v>486.19999999999993</v>
      </c>
      <c r="CV141" s="14">
        <f t="shared" si="149"/>
        <v>109.0490179035375</v>
      </c>
      <c r="CW141" s="22">
        <f t="shared" si="121"/>
        <v>1036.725372848661</v>
      </c>
      <c r="CX141" s="62">
        <f t="shared" si="122"/>
        <v>1321.8667001141669</v>
      </c>
      <c r="CY141" s="62">
        <f ca="1">AVERAGE(OFFSET($CX$3,0,0,'Données projet'!$E$13+1,1))-AVERAGE(OFFSET($H$3,0,0,'Données projet'!$E$13+1,1))</f>
        <v>582.26951914082088</v>
      </c>
      <c r="CZ141" s="62">
        <f t="shared" si="150"/>
        <v>434.80429932654715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20.089415405656112</v>
      </c>
      <c r="DG141" s="23">
        <f>EXP(-LN(2)/25)*DG140+(1-EXP(-LN(2)/25))/(LN(2)/25)*Calculateur!DB141*Calculateur!DD141*VLOOKUP('Données projet'!$B$13,Paramètres!$A$1:$I$88,3,0)*0.475*44/12</f>
        <v>12.512576272132575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32.601991677788689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498.99999999999955</v>
      </c>
      <c r="DP141" s="18">
        <f>DO141*VLOOKUP('Données projet'!$B$14,Paramètres!$A$1:$I$88,3,0)*VLOOKUP('Données projet'!$B$14,Paramètres!$A$1:$I$88,5,0)</f>
        <v>240.01899999999978</v>
      </c>
      <c r="DQ141" s="14">
        <f t="shared" si="151"/>
        <v>58.443618405936313</v>
      </c>
      <c r="DR141" s="22">
        <f t="shared" si="124"/>
        <v>519.82239372367201</v>
      </c>
      <c r="DS141" s="62">
        <f t="shared" si="125"/>
        <v>804.963720989178</v>
      </c>
      <c r="DT141" s="62">
        <f ca="1">AVERAGE(OFFSET($DS$3,0,0,'Données projet'!$E$14+1,1))-AVERAGE(OFFSET($H$3,0,0,'Données projet'!$E$14+1,1))</f>
        <v>273.24375559399846</v>
      </c>
      <c r="DU141" s="62">
        <f t="shared" si="152"/>
        <v>270.77718895097848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projet'!$B$14,Paramètres!$A$1:$I$88,3,0)*0.475*44/12</f>
        <v>10.258756332140532</v>
      </c>
      <c r="EB141" s="23">
        <f>EXP(-LN(2)/25)*EB140+(1-EXP(-LN(2)/25))/(LN(2)/25)*Calculateur!DW141*Calculateur!DY141*VLOOKUP('Données projet'!$B$14,Paramètres!$A$1:$I$88,3,0)*0.475*44/12</f>
        <v>6.1028006497728624</v>
      </c>
      <c r="EC141" s="23">
        <f>EXP(-LN(2)/2)*EC140+(1-EXP(-LN(2)/2))/(LN(2)/2)*DW141*DZ141*VLOOKUP('Données projet'!$B$14,Paramètres!$A$1:$I$88,3,0)*0.475*44/12</f>
        <v>0</v>
      </c>
      <c r="ED141" s="24">
        <f t="shared" si="126"/>
        <v>16.361556981913395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498.99999999999955</v>
      </c>
      <c r="EK141" s="18">
        <f>EJ141*VLOOKUP('Données projet'!$B$15,Paramètres!$A$1:$I$88,3,0)*VLOOKUP('Données projet'!$B$15,Paramètres!$A$1:$I$88,5,0)</f>
        <v>233.53199999999975</v>
      </c>
      <c r="EL141" s="14">
        <f t="shared" si="153"/>
        <v>57.04570382109803</v>
      </c>
      <c r="EM141" s="22">
        <f t="shared" si="127"/>
        <v>506.08950082174533</v>
      </c>
      <c r="EN141" s="62">
        <f t="shared" si="128"/>
        <v>791.23082808725121</v>
      </c>
      <c r="EO141" s="62">
        <f ca="1">AVERAGE(OFFSET($EN$3,0,0,'Données projet'!$E$15+1,1))-AVERAGE(OFFSET($H$3,0,0,'Données projet'!$E$15+1,1))</f>
        <v>267.26203506406682</v>
      </c>
      <c r="EP141" s="62">
        <f t="shared" si="154"/>
        <v>265.10857635664843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projet'!$B$15,Paramètres!$A$1:$I$88,3,0)*0.475*44/12</f>
        <v>9.981492647488075</v>
      </c>
      <c r="EW141" s="23">
        <f>EXP(-LN(2)/25)*EW140+(1-EXP(-LN(2)/25))/(LN(2)/25)*Calculateur!ER141*Calculateur!ET141*VLOOKUP('Données projet'!$B$15,Paramètres!$A$1:$I$88,3,0)*0.475*44/12</f>
        <v>5.9378600916708892</v>
      </c>
      <c r="EX141" s="23">
        <f>EXP(-LN(2)/2)*EX140+(1-EXP(-LN(2)/2))/(LN(2)/2)*ER141*EU141*VLOOKUP('Données projet'!$B$15,Paramètres!$A$1:$I$88,3,0)*0.475*44/12</f>
        <v>0</v>
      </c>
      <c r="EY141" s="24">
        <f t="shared" si="129"/>
        <v>15.919352739158963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231</v>
      </c>
      <c r="FF141" s="18">
        <f>FE141*VLOOKUP('Données projet'!$B$16,Paramètres!$A$1:$I$88,3,0)*VLOOKUP('Données projet'!$B$16,Paramètres!$A$1:$I$88,5,0)</f>
        <v>169.36920000000001</v>
      </c>
      <c r="FG141" s="14">
        <f t="shared" si="155"/>
        <v>42.948714817158674</v>
      </c>
      <c r="FH141" s="22">
        <f t="shared" si="130"/>
        <v>369.787034973218</v>
      </c>
      <c r="FI141" s="62">
        <f t="shared" si="131"/>
        <v>654.92836223872393</v>
      </c>
      <c r="FJ141" s="62">
        <f ca="1">AVERAGE(OFFSET($FI$3,0,0,'Données projet'!$E$16+1,1))-AVERAGE(OFFSET($H$3,0,0,'Données projet'!$E$16+1,1))</f>
        <v>207.66160354686221</v>
      </c>
      <c r="FK141" s="62">
        <f t="shared" si="156"/>
        <v>260.45879589483525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projet'!$B$16,Paramètres!$A$1:$I$88,3,0)*0.475*44/12</f>
        <v>0.60979664014789126</v>
      </c>
      <c r="FR141" s="23">
        <f>EXP(-LN(2)/25)*FR140+(1-EXP(-LN(2)/25))/(LN(2)/25)*Calculateur!FM141*Calculateur!FO141*VLOOKUP('Données projet'!$B$16,Paramètres!$A$1:$I$88,3,0)*0.475*44/12</f>
        <v>0</v>
      </c>
      <c r="FS141" s="23">
        <f>EXP(-LN(2)/2)*FS140+(1-EXP(-LN(2)/2))/(LN(2)/2)*FM141*FP141*VLOOKUP('Données projet'!$B$16,Paramètres!$A$1:$I$88,3,0)*0.475*44/12</f>
        <v>0</v>
      </c>
      <c r="FT141" s="24">
        <f t="shared" si="132"/>
        <v>0.60979664014789126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projet'!$B$9,Paramètres!$A$1:$I$88,3,0)*VLOOKUP('Données projet'!$B$9,Paramètres!$A$1:$I$88,5,0)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378.13552372917843</v>
      </c>
      <c r="T142" s="62">
        <f t="shared" si="142"/>
        <v>528.97123645404952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46.136707624129862</v>
      </c>
      <c r="AA142" s="23">
        <f>EXP(-LN(2)/25)*AA141+(1-EXP(-LN(2)/25))/(LN(2)/25)*Calculateur!V142*Calculateur!X142*VLOOKUP('Données projet'!$B$9,Paramètres!$A$1:$I$88,3,0)*0.475*44/12</f>
        <v>12.267784589128407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58.404492213258266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6.7</v>
      </c>
      <c r="AI142" s="14">
        <f>IF('Données projet'!$A$62&gt;35,AI141+AH142-AQ141,IF(A142&lt;'Données projet'!$A$62,$AF$205^A142,IF(A142='Données projet'!$A$62,'Données projet'!$B$62,AI141+AH142-AQ141)))</f>
        <v>389.30000000000035</v>
      </c>
      <c r="AJ142" s="14">
        <f>AI142*VLOOKUP('Données projet'!$B$10,Paramètres!$A$1:$I$88,3,0)*VLOOKUP('Données projet'!$B$10,Paramètres!$A$1:$I$88,5,0)</f>
        <v>352.23864000000032</v>
      </c>
      <c r="AK142" s="14">
        <f t="shared" si="143"/>
        <v>82.023299276687595</v>
      </c>
      <c r="AL142" s="22">
        <f t="shared" si="112"/>
        <v>756.33954424023148</v>
      </c>
      <c r="AM142" s="62">
        <f t="shared" si="113"/>
        <v>1041.6229844964323</v>
      </c>
      <c r="AN142" s="62">
        <f ca="1">AVERAGE(OFFSET($AM$3,0,0,'Données projet'!$E$10+1,1))-AVERAGE(OFFSET($H$3,0,0,'Données projet'!$E$10+1,1))</f>
        <v>536.3707066106856</v>
      </c>
      <c r="AO142" s="62">
        <f t="shared" si="144"/>
        <v>217.6280015974086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33.907426052165157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33.907426052165157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302.3</v>
      </c>
      <c r="BE142" s="14">
        <f>BD142*VLOOKUP('Données projet'!$B$11,Paramètres!$A$1:$I$88,3,0)*VLOOKUP('Données projet'!$B$11,Paramètres!$A$1:$I$88,5,0)</f>
        <v>180.77540000000005</v>
      </c>
      <c r="BF142" s="14">
        <f t="shared" si="145"/>
        <v>45.494655198846154</v>
      </c>
      <c r="BG142" s="22">
        <f t="shared" si="115"/>
        <v>394.08701280465715</v>
      </c>
      <c r="BH142" s="62">
        <f t="shared" si="116"/>
        <v>679.37045306085804</v>
      </c>
      <c r="BI142" s="62">
        <f ca="1">AVERAGE(OFFSET($BH$3,0,0,'Données projet'!$E$11+1,1))-AVERAGE(OFFSET($H$3,0,0,'Données projet'!$E$11+1,1))</f>
        <v>248.66193174773525</v>
      </c>
      <c r="BJ142" s="62">
        <f t="shared" si="146"/>
        <v>249.61655682981151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4.3390976192614472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5.3395779493182285E-12</v>
      </c>
      <c r="BS142" s="24">
        <f t="shared" si="117"/>
        <v>4.3390976192667869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860.00000000000023</v>
      </c>
      <c r="BZ142" s="14">
        <f>BY142*VLOOKUP('Données projet'!$B$12,Paramètres!$A$1:$I$88,3,0)*VLOOKUP('Données projet'!$B$12,Paramètres!$A$1:$I$88,5,0)</f>
        <v>346.5800000000001</v>
      </c>
      <c r="CA142" s="14">
        <f t="shared" si="147"/>
        <v>80.857895771535127</v>
      </c>
      <c r="CB142" s="22">
        <f t="shared" si="118"/>
        <v>744.45433513542378</v>
      </c>
      <c r="CC142" s="62">
        <f t="shared" si="119"/>
        <v>1029.7377753916246</v>
      </c>
      <c r="CD142" s="62">
        <f ca="1">AVERAGE(OFFSET($CC$3,0,0,'Données projet'!$E$12+1,1))-AVERAGE(OFFSET($H$3,0,0,'Données projet'!$E$12+1,1))</f>
        <v>432.59662347701629</v>
      </c>
      <c r="CE142" s="62">
        <f t="shared" si="148"/>
        <v>348.67401091099748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19.546168762764292</v>
      </c>
      <c r="CL142" s="23">
        <f>EXP(-LN(2)/25)*CL141+(1-EXP(-LN(2)/25))/(LN(2)/25)*Calculateur!CG142*Calculateur!CI142*VLOOKUP('Données projet'!$B$12,Paramètres!$A$1:$I$88,3,0)*0.475*44/12</f>
        <v>13.544090109258676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33.090258872022972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1099.9999999999998</v>
      </c>
      <c r="CU142" s="18">
        <f>CT142*VLOOKUP('Données projet'!$B$13,Paramètres!$A$1:$I$88,3,0)*VLOOKUP('Données projet'!$B$13,Paramètres!$A$1:$I$88,5,0)</f>
        <v>486.19999999999993</v>
      </c>
      <c r="CV142" s="14">
        <f t="shared" si="149"/>
        <v>109.0490179035375</v>
      </c>
      <c r="CW142" s="22">
        <f t="shared" si="121"/>
        <v>1036.725372848661</v>
      </c>
      <c r="CX142" s="62">
        <f t="shared" si="122"/>
        <v>1322.0088131048619</v>
      </c>
      <c r="CY142" s="62">
        <f ca="1">AVERAGE(OFFSET($CX$3,0,0,'Données projet'!$E$13+1,1))-AVERAGE(OFFSET($H$3,0,0,'Données projet'!$E$13+1,1))</f>
        <v>582.26951914082088</v>
      </c>
      <c r="CZ142" s="62">
        <f t="shared" si="150"/>
        <v>434.80429932654715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19.695474222884677</v>
      </c>
      <c r="DG142" s="23">
        <f>EXP(-LN(2)/25)*DG141+(1-EXP(-LN(2)/25))/(LN(2)/25)*Calculateur!DB142*Calculateur!DD142*VLOOKUP('Données projet'!$B$13,Paramètres!$A$1:$I$88,3,0)*0.475*44/12</f>
        <v>12.170419215963321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31.865893438847998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498.99999999999955</v>
      </c>
      <c r="DP142" s="18">
        <f>DO142*VLOOKUP('Données projet'!$B$14,Paramètres!$A$1:$I$88,3,0)*VLOOKUP('Données projet'!$B$14,Paramètres!$A$1:$I$88,5,0)</f>
        <v>240.01899999999978</v>
      </c>
      <c r="DQ142" s="14">
        <f t="shared" si="151"/>
        <v>58.443618405936313</v>
      </c>
      <c r="DR142" s="22">
        <f t="shared" si="124"/>
        <v>519.82239372367201</v>
      </c>
      <c r="DS142" s="62">
        <f t="shared" si="125"/>
        <v>805.10583397987284</v>
      </c>
      <c r="DT142" s="62">
        <f ca="1">AVERAGE(OFFSET($DS$3,0,0,'Données projet'!$E$14+1,1))-AVERAGE(OFFSET($H$3,0,0,'Données projet'!$E$14+1,1))</f>
        <v>273.24375559399846</v>
      </c>
      <c r="DU142" s="62">
        <f t="shared" si="152"/>
        <v>270.77718895097848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projet'!$B$14,Paramètres!$A$1:$I$88,3,0)*0.475*44/12</f>
        <v>10.057588377690768</v>
      </c>
      <c r="EB142" s="23">
        <f>EXP(-LN(2)/25)*EB141+(1-EXP(-LN(2)/25))/(LN(2)/25)*Calculateur!DW142*Calculateur!DY142*VLOOKUP('Données projet'!$B$14,Paramètres!$A$1:$I$88,3,0)*0.475*44/12</f>
        <v>5.9359192450724851</v>
      </c>
      <c r="EC142" s="23">
        <f>EXP(-LN(2)/2)*EC141+(1-EXP(-LN(2)/2))/(LN(2)/2)*DW142*DZ142*VLOOKUP('Données projet'!$B$14,Paramètres!$A$1:$I$88,3,0)*0.475*44/12</f>
        <v>0</v>
      </c>
      <c r="ED142" s="24">
        <f t="shared" si="126"/>
        <v>15.993507622763254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498.99999999999955</v>
      </c>
      <c r="EK142" s="18">
        <f>EJ142*VLOOKUP('Données projet'!$B$15,Paramètres!$A$1:$I$88,3,0)*VLOOKUP('Données projet'!$B$15,Paramètres!$A$1:$I$88,5,0)</f>
        <v>233.53199999999975</v>
      </c>
      <c r="EL142" s="14">
        <f t="shared" si="153"/>
        <v>57.04570382109803</v>
      </c>
      <c r="EM142" s="22">
        <f t="shared" si="127"/>
        <v>506.08950082174533</v>
      </c>
      <c r="EN142" s="62">
        <f t="shared" si="128"/>
        <v>791.37294107794628</v>
      </c>
      <c r="EO142" s="62">
        <f ca="1">AVERAGE(OFFSET($EN$3,0,0,'Données projet'!$E$15+1,1))-AVERAGE(OFFSET($H$3,0,0,'Données projet'!$E$15+1,1))</f>
        <v>267.26203506406682</v>
      </c>
      <c r="EP142" s="62">
        <f t="shared" si="154"/>
        <v>265.10857635664843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projet'!$B$15,Paramètres!$A$1:$I$88,3,0)*0.475*44/12</f>
        <v>9.7857616647801979</v>
      </c>
      <c r="EW142" s="23">
        <f>EXP(-LN(2)/25)*EW141+(1-EXP(-LN(2)/25))/(LN(2)/25)*Calculateur!ER142*Calculateur!ET142*VLOOKUP('Données projet'!$B$15,Paramètres!$A$1:$I$88,3,0)*0.475*44/12</f>
        <v>5.7754889952056576</v>
      </c>
      <c r="EX142" s="23">
        <f>EXP(-LN(2)/2)*EX141+(1-EXP(-LN(2)/2))/(LN(2)/2)*ER142*EU142*VLOOKUP('Données projet'!$B$15,Paramètres!$A$1:$I$88,3,0)*0.475*44/12</f>
        <v>0</v>
      </c>
      <c r="EY142" s="24">
        <f t="shared" si="129"/>
        <v>15.561250659985856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231</v>
      </c>
      <c r="FF142" s="18">
        <f>FE142*VLOOKUP('Données projet'!$B$16,Paramètres!$A$1:$I$88,3,0)*VLOOKUP('Données projet'!$B$16,Paramètres!$A$1:$I$88,5,0)</f>
        <v>169.36920000000001</v>
      </c>
      <c r="FG142" s="14">
        <f t="shared" si="155"/>
        <v>42.948714817158674</v>
      </c>
      <c r="FH142" s="22">
        <f t="shared" si="130"/>
        <v>369.787034973218</v>
      </c>
      <c r="FI142" s="62">
        <f t="shared" si="131"/>
        <v>655.07047522941889</v>
      </c>
      <c r="FJ142" s="62">
        <f ca="1">AVERAGE(OFFSET($FI$3,0,0,'Données projet'!$E$16+1,1))-AVERAGE(OFFSET($H$3,0,0,'Données projet'!$E$16+1,1))</f>
        <v>207.66160354686221</v>
      </c>
      <c r="FK142" s="62">
        <f t="shared" si="156"/>
        <v>260.45879589483525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projet'!$B$16,Paramètres!$A$1:$I$88,3,0)*0.475*44/12</f>
        <v>0.59783889997381567</v>
      </c>
      <c r="FR142" s="23">
        <f>EXP(-LN(2)/25)*FR141+(1-EXP(-LN(2)/25))/(LN(2)/25)*Calculateur!FM142*Calculateur!FO142*VLOOKUP('Données projet'!$B$16,Paramètres!$A$1:$I$88,3,0)*0.475*44/12</f>
        <v>0</v>
      </c>
      <c r="FS142" s="23">
        <f>EXP(-LN(2)/2)*FS141+(1-EXP(-LN(2)/2))/(LN(2)/2)*FM142*FP142*VLOOKUP('Données projet'!$B$16,Paramètres!$A$1:$I$88,3,0)*0.475*44/12</f>
        <v>0</v>
      </c>
      <c r="FT142" s="24">
        <f t="shared" si="132"/>
        <v>0.59783889997381567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projet'!$B$9,Paramètres!$A$1:$I$88,3,0)*VLOOKUP('Données projet'!$B$9,Paramètres!$A$1:$I$88,5,0)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378.13552372917843</v>
      </c>
      <c r="T143" s="62">
        <f t="shared" si="142"/>
        <v>528.97123645404952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45.231994928233668</v>
      </c>
      <c r="AA143" s="23">
        <f>EXP(-LN(2)/25)*AA142+(1-EXP(-LN(2)/25))/(LN(2)/25)*Calculateur!V143*Calculateur!X143*VLOOKUP('Données projet'!$B$9,Paramètres!$A$1:$I$88,3,0)*0.475*44/12</f>
        <v>11.932321374403937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57.164316302637602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396</v>
      </c>
      <c r="AG143" s="13">
        <f>VLOOKUP(A143,'Données projet'!$A$61:$I$81,9,0)</f>
        <v>6.7</v>
      </c>
      <c r="AH143" s="13">
        <f t="array" ref="AH143">INDEX(AG:AG,MIN(IF(ISNUMBER(AG143:AG339),ROW(AG143:AG339),"")))</f>
        <v>6.7</v>
      </c>
      <c r="AI143" s="14">
        <f>IF('Données projet'!$A$62&gt;35,AI142+AH143-AQ142,IF(A143&lt;'Données projet'!$A$62,$AF$205^A143,IF(A143='Données projet'!$A$62,'Données projet'!$B$62,AI142+AH143-AQ142)))</f>
        <v>396.00000000000034</v>
      </c>
      <c r="AJ143" s="14">
        <f>AI143*VLOOKUP('Données projet'!$B$10,Paramètres!$A$1:$I$88,3,0)*VLOOKUP('Données projet'!$B$10,Paramètres!$A$1:$I$88,5,0)</f>
        <v>358.30080000000027</v>
      </c>
      <c r="AK143" s="14">
        <f t="shared" si="143"/>
        <v>83.269393485435813</v>
      </c>
      <c r="AL143" s="22">
        <f t="shared" si="112"/>
        <v>769.06808698713451</v>
      </c>
      <c r="AM143" s="62">
        <f t="shared" si="113"/>
        <v>1054.4911748913589</v>
      </c>
      <c r="AN143" s="62">
        <f ca="1">AVERAGE(OFFSET($AM$3,0,0,'Données projet'!$E$10+1,1))-AVERAGE(OFFSET($H$3,0,0,'Données projet'!$E$10+1,1))</f>
        <v>536.3707066106856</v>
      </c>
      <c r="AO143" s="62">
        <f t="shared" si="144"/>
        <v>217.6280015974086</v>
      </c>
      <c r="AP143" s="16">
        <f>IF(ISNA(VLOOKUP(A143,'Données projet'!$A$61:$I$81,3,0)),0,VLOOKUP(A143,'Données projet'!$A$61:$I$81,3,0))</f>
        <v>16</v>
      </c>
      <c r="AQ143" s="16">
        <f>IF(ISNA(VLOOKUP(A143,'Données projet'!$A$61:$I$81,4,0)),0,VLOOKUP(A143,'Données projet'!$A$61:$I$81,4,0))</f>
        <v>45</v>
      </c>
      <c r="AR143" s="17">
        <f>IF(ISNA(VLOOKUP(A143,'Données projet'!$A$61:$I$81,5,0)),0%,VLOOKUP(A143,'Données projet'!$A$61:$I$81,5,0)*VLOOKUP('Données projet'!$B$10,Paramètres!$A$1:$I$88,7,0))</f>
        <v>0.25800000000000001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44.855187757820367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44.855187757820367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302.3</v>
      </c>
      <c r="BE143" s="14">
        <f>BD143*VLOOKUP('Données projet'!$B$11,Paramètres!$A$1:$I$88,3,0)*VLOOKUP('Données projet'!$B$11,Paramètres!$A$1:$I$88,5,0)</f>
        <v>180.77540000000005</v>
      </c>
      <c r="BF143" s="14">
        <f t="shared" si="145"/>
        <v>45.494655198846154</v>
      </c>
      <c r="BG143" s="22">
        <f t="shared" si="115"/>
        <v>394.08701280465715</v>
      </c>
      <c r="BH143" s="62">
        <f t="shared" si="116"/>
        <v>679.51010070888151</v>
      </c>
      <c r="BI143" s="62">
        <f ca="1">AVERAGE(OFFSET($BH$3,0,0,'Données projet'!$E$11+1,1))-AVERAGE(OFFSET($H$3,0,0,'Données projet'!$E$11+1,1))</f>
        <v>248.66193174773525</v>
      </c>
      <c r="BJ143" s="62">
        <f t="shared" si="146"/>
        <v>249.61655682981151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4.2540105615359494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3.7756517766370787E-12</v>
      </c>
      <c r="BS143" s="24">
        <f t="shared" si="117"/>
        <v>4.254010561539725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860.00000000000023</v>
      </c>
      <c r="BZ143" s="14">
        <f>BY143*VLOOKUP('Données projet'!$B$12,Paramètres!$A$1:$I$88,3,0)*VLOOKUP('Données projet'!$B$12,Paramètres!$A$1:$I$88,5,0)</f>
        <v>346.5800000000001</v>
      </c>
      <c r="CA143" s="14">
        <f t="shared" si="147"/>
        <v>80.857895771535127</v>
      </c>
      <c r="CB143" s="22">
        <f t="shared" si="118"/>
        <v>744.45433513542378</v>
      </c>
      <c r="CC143" s="62">
        <f t="shared" si="119"/>
        <v>1029.8774230396482</v>
      </c>
      <c r="CD143" s="62">
        <f ca="1">AVERAGE(OFFSET($CC$3,0,0,'Données projet'!$E$12+1,1))-AVERAGE(OFFSET($H$3,0,0,'Données projet'!$E$12+1,1))</f>
        <v>432.59662347701629</v>
      </c>
      <c r="CE143" s="62">
        <f t="shared" si="148"/>
        <v>348.67401091099748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19.162880315312233</v>
      </c>
      <c r="CL143" s="23">
        <f>EXP(-LN(2)/25)*CL142+(1-EXP(-LN(2)/25))/(LN(2)/25)*Calculateur!CG143*Calculateur!CI143*VLOOKUP('Données projet'!$B$12,Paramètres!$A$1:$I$88,3,0)*0.475*44/12</f>
        <v>13.173726252968255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32.336606568280487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1099.9999999999998</v>
      </c>
      <c r="CU143" s="18">
        <f>CT143*VLOOKUP('Données projet'!$B$13,Paramètres!$A$1:$I$88,3,0)*VLOOKUP('Données projet'!$B$13,Paramètres!$A$1:$I$88,5,0)</f>
        <v>486.19999999999993</v>
      </c>
      <c r="CV143" s="14">
        <f t="shared" si="149"/>
        <v>109.0490179035375</v>
      </c>
      <c r="CW143" s="22">
        <f t="shared" si="121"/>
        <v>1036.725372848661</v>
      </c>
      <c r="CX143" s="62">
        <f t="shared" si="122"/>
        <v>1322.1484607528853</v>
      </c>
      <c r="CY143" s="62">
        <f ca="1">AVERAGE(OFFSET($CX$3,0,0,'Données projet'!$E$13+1,1))-AVERAGE(OFFSET($H$3,0,0,'Données projet'!$E$13+1,1))</f>
        <v>582.26951914082088</v>
      </c>
      <c r="CZ143" s="62">
        <f t="shared" si="150"/>
        <v>434.80429932654715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19.309257986426992</v>
      </c>
      <c r="DG143" s="23">
        <f>EXP(-LN(2)/25)*DG142+(1-EXP(-LN(2)/25))/(LN(2)/25)*Calculateur!DB143*Calculateur!DD143*VLOOKUP('Données projet'!$B$13,Paramètres!$A$1:$I$88,3,0)*0.475*44/12</f>
        <v>11.837618462488273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31.146876448915265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498.99999999999955</v>
      </c>
      <c r="DP143" s="18">
        <f>DO143*VLOOKUP('Données projet'!$B$14,Paramètres!$A$1:$I$88,3,0)*VLOOKUP('Données projet'!$B$14,Paramètres!$A$1:$I$88,5,0)</f>
        <v>240.01899999999978</v>
      </c>
      <c r="DQ143" s="14">
        <f t="shared" si="151"/>
        <v>58.443618405936313</v>
      </c>
      <c r="DR143" s="22">
        <f t="shared" si="124"/>
        <v>519.82239372367201</v>
      </c>
      <c r="DS143" s="62">
        <f t="shared" si="125"/>
        <v>805.24548162789642</v>
      </c>
      <c r="DT143" s="62">
        <f ca="1">AVERAGE(OFFSET($DS$3,0,0,'Données projet'!$E$14+1,1))-AVERAGE(OFFSET($H$3,0,0,'Données projet'!$E$14+1,1))</f>
        <v>273.24375559399846</v>
      </c>
      <c r="DU143" s="62">
        <f t="shared" si="152"/>
        <v>270.77718895097848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projet'!$B$14,Paramètres!$A$1:$I$88,3,0)*0.475*44/12</f>
        <v>9.8603652041274295</v>
      </c>
      <c r="EB143" s="23">
        <f>EXP(-LN(2)/25)*EB142+(1-EXP(-LN(2)/25))/(LN(2)/25)*Calculateur!DW143*Calculateur!DY143*VLOOKUP('Données projet'!$B$14,Paramètres!$A$1:$I$88,3,0)*0.475*44/12</f>
        <v>5.7736012211595513</v>
      </c>
      <c r="EC143" s="23">
        <f>EXP(-LN(2)/2)*EC142+(1-EXP(-LN(2)/2))/(LN(2)/2)*DW143*DZ143*VLOOKUP('Données projet'!$B$14,Paramètres!$A$1:$I$88,3,0)*0.475*44/12</f>
        <v>0</v>
      </c>
      <c r="ED143" s="24">
        <f t="shared" si="126"/>
        <v>15.633966425286982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498.99999999999955</v>
      </c>
      <c r="EK143" s="18">
        <f>EJ143*VLOOKUP('Données projet'!$B$15,Paramètres!$A$1:$I$88,3,0)*VLOOKUP('Données projet'!$B$15,Paramètres!$A$1:$I$88,5,0)</f>
        <v>233.53199999999975</v>
      </c>
      <c r="EL143" s="14">
        <f t="shared" si="153"/>
        <v>57.04570382109803</v>
      </c>
      <c r="EM143" s="22">
        <f t="shared" si="127"/>
        <v>506.08950082174533</v>
      </c>
      <c r="EN143" s="62">
        <f t="shared" si="128"/>
        <v>791.51258872596964</v>
      </c>
      <c r="EO143" s="62">
        <f ca="1">AVERAGE(OFFSET($EN$3,0,0,'Données projet'!$E$15+1,1))-AVERAGE(OFFSET($H$3,0,0,'Données projet'!$E$15+1,1))</f>
        <v>267.26203506406682</v>
      </c>
      <c r="EP143" s="62">
        <f t="shared" si="154"/>
        <v>265.10857635664843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projet'!$B$15,Paramètres!$A$1:$I$88,3,0)*0.475*44/12</f>
        <v>9.5938688472591114</v>
      </c>
      <c r="EW143" s="23">
        <f>EXP(-LN(2)/25)*EW142+(1-EXP(-LN(2)/25))/(LN(2)/25)*Calculateur!ER143*Calculateur!ET143*VLOOKUP('Données projet'!$B$15,Paramètres!$A$1:$I$88,3,0)*0.475*44/12</f>
        <v>5.6175579449119928</v>
      </c>
      <c r="EX143" s="23">
        <f>EXP(-LN(2)/2)*EX142+(1-EXP(-LN(2)/2))/(LN(2)/2)*ER143*EU143*VLOOKUP('Données projet'!$B$15,Paramètres!$A$1:$I$88,3,0)*0.475*44/12</f>
        <v>0</v>
      </c>
      <c r="EY143" s="24">
        <f t="shared" si="129"/>
        <v>15.211426792171103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231</v>
      </c>
      <c r="FF143" s="18">
        <f>FE143*VLOOKUP('Données projet'!$B$16,Paramètres!$A$1:$I$88,3,0)*VLOOKUP('Données projet'!$B$16,Paramètres!$A$1:$I$88,5,0)</f>
        <v>169.36920000000001</v>
      </c>
      <c r="FG143" s="14">
        <f t="shared" si="155"/>
        <v>42.948714817158674</v>
      </c>
      <c r="FH143" s="22">
        <f t="shared" si="130"/>
        <v>369.787034973218</v>
      </c>
      <c r="FI143" s="62">
        <f t="shared" si="131"/>
        <v>655.21012287744236</v>
      </c>
      <c r="FJ143" s="62">
        <f ca="1">AVERAGE(OFFSET($FI$3,0,0,'Données projet'!$E$16+1,1))-AVERAGE(OFFSET($H$3,0,0,'Données projet'!$E$16+1,1))</f>
        <v>207.66160354686221</v>
      </c>
      <c r="FK143" s="62">
        <f t="shared" si="156"/>
        <v>260.45879589483525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projet'!$B$16,Paramètres!$A$1:$I$88,3,0)*0.475*44/12</f>
        <v>0.58611564379105241</v>
      </c>
      <c r="FR143" s="23">
        <f>EXP(-LN(2)/25)*FR142+(1-EXP(-LN(2)/25))/(LN(2)/25)*Calculateur!FM143*Calculateur!FO143*VLOOKUP('Données projet'!$B$16,Paramètres!$A$1:$I$88,3,0)*0.475*44/12</f>
        <v>0</v>
      </c>
      <c r="FS143" s="23">
        <f>EXP(-LN(2)/2)*FS142+(1-EXP(-LN(2)/2))/(LN(2)/2)*FM143*FP143*VLOOKUP('Données projet'!$B$16,Paramètres!$A$1:$I$88,3,0)*0.475*44/12</f>
        <v>0</v>
      </c>
      <c r="FT143" s="24">
        <f t="shared" si="132"/>
        <v>0.58611564379105241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projet'!$B$9,Paramètres!$A$1:$I$88,3,0)*VLOOKUP('Données projet'!$B$9,Paramètres!$A$1:$I$88,5,0)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378.13552372917843</v>
      </c>
      <c r="T144" s="62">
        <f t="shared" si="142"/>
        <v>528.97123645404952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44.345023096483743</v>
      </c>
      <c r="AA144" s="23">
        <f>EXP(-LN(2)/25)*AA143+(1-EXP(-LN(2)/25))/(LN(2)/25)*Calculateur!V144*Calculateur!X144*VLOOKUP('Données projet'!$B$9,Paramètres!$A$1:$I$88,3,0)*0.475*44/12</f>
        <v>11.606031418927351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55.951054515411094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6.7</v>
      </c>
      <c r="AI144" s="14">
        <f>IF('Données projet'!$A$62&gt;35,AI143+AH144-AQ143,IF(A144&lt;'Données projet'!$A$62,$AF$205^A144,IF(A144='Données projet'!$A$62,'Données projet'!$B$62,AI143+AH144-AQ143)))</f>
        <v>357.70000000000033</v>
      </c>
      <c r="AJ144" s="14">
        <f>AI144*VLOOKUP('Données projet'!$B$10,Paramètres!$A$1:$I$88,3,0)*VLOOKUP('Données projet'!$B$10,Paramètres!$A$1:$I$88,5,0)</f>
        <v>323.64696000000026</v>
      </c>
      <c r="AK144" s="14">
        <f t="shared" si="143"/>
        <v>76.11167341903851</v>
      </c>
      <c r="AL144" s="22">
        <f t="shared" si="112"/>
        <v>696.2462865381591</v>
      </c>
      <c r="AM144" s="62">
        <f t="shared" si="113"/>
        <v>981.80659951591906</v>
      </c>
      <c r="AN144" s="62">
        <f ca="1">AVERAGE(OFFSET($AM$3,0,0,'Données projet'!$E$10+1,1))-AVERAGE(OFFSET($H$3,0,0,'Données projet'!$E$10+1,1))</f>
        <v>536.3707066106856</v>
      </c>
      <c r="AO144" s="62">
        <f t="shared" si="144"/>
        <v>217.6280015974086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43.975604884852572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43.975604884852572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302.3</v>
      </c>
      <c r="BE144" s="14">
        <f>BD144*VLOOKUP('Données projet'!$B$11,Paramètres!$A$1:$I$88,3,0)*VLOOKUP('Données projet'!$B$11,Paramètres!$A$1:$I$88,5,0)</f>
        <v>180.77540000000005</v>
      </c>
      <c r="BF144" s="14">
        <f t="shared" si="145"/>
        <v>45.494655198846154</v>
      </c>
      <c r="BG144" s="22">
        <f t="shared" si="115"/>
        <v>394.08701280465715</v>
      </c>
      <c r="BH144" s="62">
        <f t="shared" si="116"/>
        <v>679.64732578241717</v>
      </c>
      <c r="BI144" s="62">
        <f ca="1">AVERAGE(OFFSET($BH$3,0,0,'Données projet'!$E$11+1,1))-AVERAGE(OFFSET($H$3,0,0,'Données projet'!$E$11+1,1))</f>
        <v>248.66193174773525</v>
      </c>
      <c r="BJ144" s="62">
        <f t="shared" si="146"/>
        <v>249.61655682981151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4.1705920091144675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2.6697889746591142E-12</v>
      </c>
      <c r="BS144" s="24">
        <f t="shared" si="117"/>
        <v>4.1705920091171373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860.00000000000023</v>
      </c>
      <c r="BZ144" s="14">
        <f>BY144*VLOOKUP('Données projet'!$B$12,Paramètres!$A$1:$I$88,3,0)*VLOOKUP('Données projet'!$B$12,Paramètres!$A$1:$I$88,5,0)</f>
        <v>346.5800000000001</v>
      </c>
      <c r="CA144" s="14">
        <f t="shared" si="147"/>
        <v>80.857895771535127</v>
      </c>
      <c r="CB144" s="22">
        <f t="shared" si="118"/>
        <v>744.45433513542378</v>
      </c>
      <c r="CC144" s="62">
        <f t="shared" si="119"/>
        <v>1030.0146481131837</v>
      </c>
      <c r="CD144" s="62">
        <f ca="1">AVERAGE(OFFSET($CC$3,0,0,'Données projet'!$E$12+1,1))-AVERAGE(OFFSET($H$3,0,0,'Données projet'!$E$12+1,1))</f>
        <v>432.59662347701629</v>
      </c>
      <c r="CE144" s="62">
        <f t="shared" si="148"/>
        <v>348.67401091099748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18.787107920531838</v>
      </c>
      <c r="CL144" s="23">
        <f>EXP(-LN(2)/25)*CL143+(1-EXP(-LN(2)/25))/(LN(2)/25)*Calculateur!CG144*Calculateur!CI144*VLOOKUP('Données projet'!$B$12,Paramètres!$A$1:$I$88,3,0)*0.475*44/12</f>
        <v>12.813490015804684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31.60059793633652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1099.9999999999998</v>
      </c>
      <c r="CU144" s="18">
        <f>CT144*VLOOKUP('Données projet'!$B$13,Paramètres!$A$1:$I$88,3,0)*VLOOKUP('Données projet'!$B$13,Paramètres!$A$1:$I$88,5,0)</f>
        <v>486.19999999999993</v>
      </c>
      <c r="CV144" s="14">
        <f t="shared" si="149"/>
        <v>109.0490179035375</v>
      </c>
      <c r="CW144" s="22">
        <f t="shared" si="121"/>
        <v>1036.725372848661</v>
      </c>
      <c r="CX144" s="62">
        <f t="shared" si="122"/>
        <v>1322.2856858264211</v>
      </c>
      <c r="CY144" s="62">
        <f ca="1">AVERAGE(OFFSET($CX$3,0,0,'Données projet'!$E$13+1,1))-AVERAGE(OFFSET($H$3,0,0,'Données projet'!$E$13+1,1))</f>
        <v>582.26951914082088</v>
      </c>
      <c r="CZ144" s="62">
        <f t="shared" si="150"/>
        <v>434.80429932654715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18.930615214797601</v>
      </c>
      <c r="DG144" s="23">
        <f>EXP(-LN(2)/25)*DG143+(1-EXP(-LN(2)/25))/(LN(2)/25)*Calculateur!DB144*Calculateur!DD144*VLOOKUP('Données projet'!$B$13,Paramètres!$A$1:$I$88,3,0)*0.475*44/12</f>
        <v>11.51391816311823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30.444533377915832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498.99999999999955</v>
      </c>
      <c r="DP144" s="18">
        <f>DO144*VLOOKUP('Données projet'!$B$14,Paramètres!$A$1:$I$88,3,0)*VLOOKUP('Données projet'!$B$14,Paramètres!$A$1:$I$88,5,0)</f>
        <v>240.01899999999978</v>
      </c>
      <c r="DQ144" s="14">
        <f t="shared" si="151"/>
        <v>58.443618405936313</v>
      </c>
      <c r="DR144" s="22">
        <f t="shared" si="124"/>
        <v>519.82239372367201</v>
      </c>
      <c r="DS144" s="62">
        <f t="shared" si="125"/>
        <v>805.38270670143197</v>
      </c>
      <c r="DT144" s="62">
        <f ca="1">AVERAGE(OFFSET($DS$3,0,0,'Données projet'!$E$14+1,1))-AVERAGE(OFFSET($H$3,0,0,'Données projet'!$E$14+1,1))</f>
        <v>273.24375559399846</v>
      </c>
      <c r="DU144" s="62">
        <f t="shared" si="152"/>
        <v>270.77718895097848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projet'!$B$14,Paramètres!$A$1:$I$88,3,0)*0.475*44/12</f>
        <v>9.6670094567034095</v>
      </c>
      <c r="EB144" s="23">
        <f>EXP(-LN(2)/25)*EB143+(1-EXP(-LN(2)/25))/(LN(2)/25)*Calculateur!DW144*Calculateur!DY144*VLOOKUP('Données projet'!$B$14,Paramètres!$A$1:$I$88,3,0)*0.475*44/12</f>
        <v>5.6157217921464513</v>
      </c>
      <c r="EC144" s="23">
        <f>EXP(-LN(2)/2)*EC143+(1-EXP(-LN(2)/2))/(LN(2)/2)*DW144*DZ144*VLOOKUP('Données projet'!$B$14,Paramètres!$A$1:$I$88,3,0)*0.475*44/12</f>
        <v>0</v>
      </c>
      <c r="ED144" s="24">
        <f t="shared" si="126"/>
        <v>15.28273124884986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498.99999999999955</v>
      </c>
      <c r="EK144" s="18">
        <f>EJ144*VLOOKUP('Données projet'!$B$15,Paramètres!$A$1:$I$88,3,0)*VLOOKUP('Données projet'!$B$15,Paramètres!$A$1:$I$88,5,0)</f>
        <v>233.53199999999975</v>
      </c>
      <c r="EL144" s="14">
        <f t="shared" si="153"/>
        <v>57.04570382109803</v>
      </c>
      <c r="EM144" s="22">
        <f t="shared" si="127"/>
        <v>506.08950082174533</v>
      </c>
      <c r="EN144" s="62">
        <f t="shared" si="128"/>
        <v>791.64981379950541</v>
      </c>
      <c r="EO144" s="62">
        <f ca="1">AVERAGE(OFFSET($EN$3,0,0,'Données projet'!$E$15+1,1))-AVERAGE(OFFSET($H$3,0,0,'Données projet'!$E$15+1,1))</f>
        <v>267.26203506406682</v>
      </c>
      <c r="EP144" s="62">
        <f t="shared" si="154"/>
        <v>265.10857635664843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projet'!$B$15,Paramètres!$A$1:$I$88,3,0)*0.475*44/12</f>
        <v>9.4057389308465513</v>
      </c>
      <c r="EW144" s="23">
        <f>EXP(-LN(2)/25)*EW143+(1-EXP(-LN(2)/25))/(LN(2)/25)*Calculateur!ER144*Calculateur!ET144*VLOOKUP('Données projet'!$B$15,Paramètres!$A$1:$I$88,3,0)*0.475*44/12</f>
        <v>5.4639455274938413</v>
      </c>
      <c r="EX144" s="23">
        <f>EXP(-LN(2)/2)*EX143+(1-EXP(-LN(2)/2))/(LN(2)/2)*ER144*EU144*VLOOKUP('Données projet'!$B$15,Paramètres!$A$1:$I$88,3,0)*0.475*44/12</f>
        <v>0</v>
      </c>
      <c r="EY144" s="24">
        <f t="shared" si="129"/>
        <v>14.869684458340393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231</v>
      </c>
      <c r="FF144" s="18">
        <f>FE144*VLOOKUP('Données projet'!$B$16,Paramètres!$A$1:$I$88,3,0)*VLOOKUP('Données projet'!$B$16,Paramètres!$A$1:$I$88,5,0)</f>
        <v>169.36920000000001</v>
      </c>
      <c r="FG144" s="14">
        <f t="shared" si="155"/>
        <v>42.948714817158674</v>
      </c>
      <c r="FH144" s="22">
        <f t="shared" si="130"/>
        <v>369.787034973218</v>
      </c>
      <c r="FI144" s="62">
        <f t="shared" si="131"/>
        <v>655.34734795097802</v>
      </c>
      <c r="FJ144" s="62">
        <f ca="1">AVERAGE(OFFSET($FI$3,0,0,'Données projet'!$E$16+1,1))-AVERAGE(OFFSET($H$3,0,0,'Données projet'!$E$16+1,1))</f>
        <v>207.66160354686221</v>
      </c>
      <c r="FK144" s="62">
        <f t="shared" si="156"/>
        <v>260.45879589483525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projet'!$B$16,Paramètres!$A$1:$I$88,3,0)*0.475*44/12</f>
        <v>0.57462227351155282</v>
      </c>
      <c r="FR144" s="23">
        <f>EXP(-LN(2)/25)*FR143+(1-EXP(-LN(2)/25))/(LN(2)/25)*Calculateur!FM144*Calculateur!FO144*VLOOKUP('Données projet'!$B$16,Paramètres!$A$1:$I$88,3,0)*0.475*44/12</f>
        <v>0</v>
      </c>
      <c r="FS144" s="23">
        <f>EXP(-LN(2)/2)*FS143+(1-EXP(-LN(2)/2))/(LN(2)/2)*FM144*FP144*VLOOKUP('Données projet'!$B$16,Paramètres!$A$1:$I$88,3,0)*0.475*44/12</f>
        <v>0</v>
      </c>
      <c r="FT144" s="24">
        <f t="shared" si="132"/>
        <v>0.57462227351155282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projet'!$B$9,Paramètres!$A$1:$I$88,3,0)*VLOOKUP('Données projet'!$B$9,Paramètres!$A$1:$I$88,5,0)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378.13552372917843</v>
      </c>
      <c r="T145" s="62">
        <f t="shared" si="142"/>
        <v>528.97123645404952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43.475444241355035</v>
      </c>
      <c r="AA145" s="23">
        <f>EXP(-LN(2)/25)*AA144+(1-EXP(-LN(2)/25))/(LN(2)/25)*Calculateur!V145*Calculateur!X145*VLOOKUP('Données projet'!$B$9,Paramètres!$A$1:$I$88,3,0)*0.475*44/12</f>
        <v>11.288663879442117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54.764108120797154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6.7</v>
      </c>
      <c r="AI145" s="14">
        <f>IF('Données projet'!$A$62&gt;35,AI144+AH145-AQ144,IF(A145&lt;'Données projet'!$A$62,$AF$205^A145,IF(A145='Données projet'!$A$62,'Données projet'!$B$62,AI144+AH145-AQ144)))</f>
        <v>364.40000000000032</v>
      </c>
      <c r="AJ145" s="14">
        <f>AI145*VLOOKUP('Données projet'!$B$10,Paramètres!$A$1:$I$88,3,0)*VLOOKUP('Données projet'!$B$10,Paramètres!$A$1:$I$88,5,0)</f>
        <v>329.70912000000027</v>
      </c>
      <c r="AK145" s="14">
        <f t="shared" si="143"/>
        <v>77.369997231692594</v>
      </c>
      <c r="AL145" s="22">
        <f t="shared" si="112"/>
        <v>708.99612917853165</v>
      </c>
      <c r="AM145" s="62">
        <f t="shared" si="113"/>
        <v>994.69128668159078</v>
      </c>
      <c r="AN145" s="62">
        <f ca="1">AVERAGE(OFFSET($AM$3,0,0,'Données projet'!$E$10+1,1))-AVERAGE(OFFSET($H$3,0,0,'Données projet'!$E$10+1,1))</f>
        <v>536.3707066106856</v>
      </c>
      <c r="AO145" s="62">
        <f t="shared" si="144"/>
        <v>217.6280015974086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43.113270095531092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43.113270095531092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302.3</v>
      </c>
      <c r="BE145" s="14">
        <f>BD145*VLOOKUP('Données projet'!$B$11,Paramètres!$A$1:$I$88,3,0)*VLOOKUP('Données projet'!$B$11,Paramètres!$A$1:$I$88,5,0)</f>
        <v>180.77540000000005</v>
      </c>
      <c r="BF145" s="14">
        <f t="shared" si="145"/>
        <v>45.494655198846154</v>
      </c>
      <c r="BG145" s="22">
        <f t="shared" si="115"/>
        <v>394.08701280465715</v>
      </c>
      <c r="BH145" s="62">
        <f t="shared" si="116"/>
        <v>679.78217030771623</v>
      </c>
      <c r="BI145" s="62">
        <f ca="1">AVERAGE(OFFSET($BH$3,0,0,'Données projet'!$E$11+1,1))-AVERAGE(OFFSET($H$3,0,0,'Données projet'!$E$11+1,1))</f>
        <v>248.66193174773525</v>
      </c>
      <c r="BJ145" s="62">
        <f t="shared" si="146"/>
        <v>249.61655682981151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4.0888092436256782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1.8878258883185393E-12</v>
      </c>
      <c r="BS145" s="24">
        <f t="shared" si="117"/>
        <v>4.0888092436275665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860.00000000000023</v>
      </c>
      <c r="BZ145" s="14">
        <f>BY145*VLOOKUP('Données projet'!$B$12,Paramètres!$A$1:$I$88,3,0)*VLOOKUP('Données projet'!$B$12,Paramètres!$A$1:$I$88,5,0)</f>
        <v>346.5800000000001</v>
      </c>
      <c r="CA145" s="14">
        <f t="shared" si="147"/>
        <v>80.857895771535127</v>
      </c>
      <c r="CB145" s="22">
        <f t="shared" si="118"/>
        <v>744.45433513542378</v>
      </c>
      <c r="CC145" s="62">
        <f t="shared" si="119"/>
        <v>1030.1494926384828</v>
      </c>
      <c r="CD145" s="62">
        <f ca="1">AVERAGE(OFFSET($CC$3,0,0,'Données projet'!$E$12+1,1))-AVERAGE(OFFSET($H$3,0,0,'Données projet'!$E$12+1,1))</f>
        <v>432.59662347701629</v>
      </c>
      <c r="CE145" s="62">
        <f t="shared" si="148"/>
        <v>348.67401091099748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18.418704193214559</v>
      </c>
      <c r="CL145" s="23">
        <f>EXP(-LN(2)/25)*CL144+(1-EXP(-LN(2)/25))/(LN(2)/25)*Calculateur!CG145*Calculateur!CI145*VLOOKUP('Données projet'!$B$12,Paramètres!$A$1:$I$88,3,0)*0.475*44/12</f>
        <v>12.463104457490351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30.881808650704912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1099.9999999999998</v>
      </c>
      <c r="CU145" s="18">
        <f>CT145*VLOOKUP('Données projet'!$B$13,Paramètres!$A$1:$I$88,3,0)*VLOOKUP('Données projet'!$B$13,Paramètres!$A$1:$I$88,5,0)</f>
        <v>486.19999999999993</v>
      </c>
      <c r="CV145" s="14">
        <f t="shared" si="149"/>
        <v>109.0490179035375</v>
      </c>
      <c r="CW145" s="22">
        <f t="shared" si="121"/>
        <v>1036.725372848661</v>
      </c>
      <c r="CX145" s="62">
        <f t="shared" si="122"/>
        <v>1322.4205303517201</v>
      </c>
      <c r="CY145" s="62">
        <f ca="1">AVERAGE(OFFSET($CX$3,0,0,'Données projet'!$E$13+1,1))-AVERAGE(OFFSET($H$3,0,0,'Données projet'!$E$13+1,1))</f>
        <v>582.26951914082088</v>
      </c>
      <c r="CZ145" s="62">
        <f t="shared" si="150"/>
        <v>434.80429932654715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18.559397396970574</v>
      </c>
      <c r="DG145" s="23">
        <f>EXP(-LN(2)/25)*DG144+(1-EXP(-LN(2)/25))/(LN(2)/25)*Calculateur!DB145*Calculateur!DD145*VLOOKUP('Données projet'!$B$13,Paramètres!$A$1:$I$88,3,0)*0.475*44/12</f>
        <v>11.199069465457121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29.758466862427696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498.99999999999955</v>
      </c>
      <c r="DP145" s="18">
        <f>DO145*VLOOKUP('Données projet'!$B$14,Paramètres!$A$1:$I$88,3,0)*VLOOKUP('Données projet'!$B$14,Paramètres!$A$1:$I$88,5,0)</f>
        <v>240.01899999999978</v>
      </c>
      <c r="DQ145" s="14">
        <f t="shared" si="151"/>
        <v>58.443618405936313</v>
      </c>
      <c r="DR145" s="22">
        <f t="shared" si="124"/>
        <v>519.82239372367201</v>
      </c>
      <c r="DS145" s="62">
        <f t="shared" si="125"/>
        <v>805.51755122673103</v>
      </c>
      <c r="DT145" s="62">
        <f ca="1">AVERAGE(OFFSET($DS$3,0,0,'Données projet'!$E$14+1,1))-AVERAGE(OFFSET($H$3,0,0,'Données projet'!$E$14+1,1))</f>
        <v>273.24375559399846</v>
      </c>
      <c r="DU145" s="62">
        <f t="shared" si="152"/>
        <v>270.77718895097848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projet'!$B$14,Paramètres!$A$1:$I$88,3,0)*0.475*44/12</f>
        <v>9.4774452975510144</v>
      </c>
      <c r="EB145" s="23">
        <f>EXP(-LN(2)/25)*EB144+(1-EXP(-LN(2)/25))/(LN(2)/25)*Calculateur!DW145*Calculateur!DY145*VLOOKUP('Données projet'!$B$14,Paramètres!$A$1:$I$88,3,0)*0.475*44/12</f>
        <v>5.4621595844222322</v>
      </c>
      <c r="EC145" s="23">
        <f>EXP(-LN(2)/2)*EC144+(1-EXP(-LN(2)/2))/(LN(2)/2)*DW145*DZ145*VLOOKUP('Données projet'!$B$14,Paramètres!$A$1:$I$88,3,0)*0.475*44/12</f>
        <v>0</v>
      </c>
      <c r="ED145" s="24">
        <f t="shared" si="126"/>
        <v>14.939604881973246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498.99999999999955</v>
      </c>
      <c r="EK145" s="18">
        <f>EJ145*VLOOKUP('Données projet'!$B$15,Paramètres!$A$1:$I$88,3,0)*VLOOKUP('Données projet'!$B$15,Paramètres!$A$1:$I$88,5,0)</f>
        <v>233.53199999999975</v>
      </c>
      <c r="EL145" s="14">
        <f t="shared" si="153"/>
        <v>57.04570382109803</v>
      </c>
      <c r="EM145" s="22">
        <f t="shared" si="127"/>
        <v>506.08950082174533</v>
      </c>
      <c r="EN145" s="62">
        <f t="shared" si="128"/>
        <v>791.78465832480447</v>
      </c>
      <c r="EO145" s="62">
        <f ca="1">AVERAGE(OFFSET($EN$3,0,0,'Données projet'!$E$15+1,1))-AVERAGE(OFFSET($H$3,0,0,'Données projet'!$E$15+1,1))</f>
        <v>267.26203506406682</v>
      </c>
      <c r="EP145" s="62">
        <f t="shared" si="154"/>
        <v>265.10857635664843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projet'!$B$15,Paramètres!$A$1:$I$88,3,0)*0.475*44/12</f>
        <v>9.2212981273469232</v>
      </c>
      <c r="EW145" s="23">
        <f>EXP(-LN(2)/25)*EW144+(1-EXP(-LN(2)/25))/(LN(2)/25)*Calculateur!ER145*Calculateur!ET145*VLOOKUP('Données projet'!$B$15,Paramètres!$A$1:$I$88,3,0)*0.475*44/12</f>
        <v>5.3145336497081148</v>
      </c>
      <c r="EX145" s="23">
        <f>EXP(-LN(2)/2)*EX144+(1-EXP(-LN(2)/2))/(LN(2)/2)*ER145*EU145*VLOOKUP('Données projet'!$B$15,Paramètres!$A$1:$I$88,3,0)*0.475*44/12</f>
        <v>0</v>
      </c>
      <c r="EY145" s="24">
        <f t="shared" si="129"/>
        <v>14.535831777055037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231</v>
      </c>
      <c r="FF145" s="18">
        <f>FE145*VLOOKUP('Données projet'!$B$16,Paramètres!$A$1:$I$88,3,0)*VLOOKUP('Données projet'!$B$16,Paramètres!$A$1:$I$88,5,0)</f>
        <v>169.36920000000001</v>
      </c>
      <c r="FG145" s="14">
        <f t="shared" si="155"/>
        <v>42.948714817158674</v>
      </c>
      <c r="FH145" s="22">
        <f t="shared" si="130"/>
        <v>369.787034973218</v>
      </c>
      <c r="FI145" s="62">
        <f t="shared" si="131"/>
        <v>655.48219247627708</v>
      </c>
      <c r="FJ145" s="62">
        <f ca="1">AVERAGE(OFFSET($FI$3,0,0,'Données projet'!$E$16+1,1))-AVERAGE(OFFSET($H$3,0,0,'Données projet'!$E$16+1,1))</f>
        <v>207.66160354686221</v>
      </c>
      <c r="FK145" s="62">
        <f t="shared" si="156"/>
        <v>260.45879589483525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projet'!$B$16,Paramètres!$A$1:$I$88,3,0)*0.475*44/12</f>
        <v>0.5633542812129706</v>
      </c>
      <c r="FR145" s="23">
        <f>EXP(-LN(2)/25)*FR144+(1-EXP(-LN(2)/25))/(LN(2)/25)*Calculateur!FM145*Calculateur!FO145*VLOOKUP('Données projet'!$B$16,Paramètres!$A$1:$I$88,3,0)*0.475*44/12</f>
        <v>0</v>
      </c>
      <c r="FS145" s="23">
        <f>EXP(-LN(2)/2)*FS144+(1-EXP(-LN(2)/2))/(LN(2)/2)*FM145*FP145*VLOOKUP('Données projet'!$B$16,Paramètres!$A$1:$I$88,3,0)*0.475*44/12</f>
        <v>0</v>
      </c>
      <c r="FT145" s="24">
        <f t="shared" si="132"/>
        <v>0.5633542812129706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projet'!$B$9,Paramètres!$A$1:$I$88,3,0)*VLOOKUP('Données projet'!$B$9,Paramètres!$A$1:$I$88,5,0)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378.13552372917843</v>
      </c>
      <c r="T146" s="62">
        <f t="shared" si="142"/>
        <v>528.97123645404952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42.622917297184671</v>
      </c>
      <c r="AA146" s="23">
        <f>EXP(-LN(2)/25)*AA145+(1-EXP(-LN(2)/25))/(LN(2)/25)*Calculateur!V146*Calculateur!X146*VLOOKUP('Données projet'!$B$9,Paramètres!$A$1:$I$88,3,0)*0.475*44/12</f>
        <v>10.979974772013739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53.602892069198411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6.7</v>
      </c>
      <c r="AI146" s="14">
        <f>IF('Données projet'!$A$62&gt;35,AI145+AH146-AQ145,IF(A146&lt;'Données projet'!$A$62,$AF$205^A146,IF(A146='Données projet'!$A$62,'Données projet'!$B$62,AI145+AH146-AQ145)))</f>
        <v>371.10000000000031</v>
      </c>
      <c r="AJ146" s="14">
        <f>AI146*VLOOKUP('Données projet'!$B$10,Paramètres!$A$1:$I$88,3,0)*VLOOKUP('Données projet'!$B$10,Paramètres!$A$1:$I$88,5,0)</f>
        <v>335.77128000000027</v>
      </c>
      <c r="AK146" s="14">
        <f t="shared" si="143"/>
        <v>78.625630729870224</v>
      </c>
      <c r="AL146" s="22">
        <f t="shared" si="112"/>
        <v>721.74128618785778</v>
      </c>
      <c r="AM146" s="62">
        <f t="shared" si="113"/>
        <v>1007.5689489651693</v>
      </c>
      <c r="AN146" s="62">
        <f ca="1">AVERAGE(OFFSET($AM$3,0,0,'Données projet'!$E$10+1,1))-AVERAGE(OFFSET($H$3,0,0,'Données projet'!$E$10+1,1))</f>
        <v>536.3707066106856</v>
      </c>
      <c r="AO146" s="62">
        <f t="shared" si="144"/>
        <v>217.6280015974086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42.267845165455924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42.267845165455924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302.3</v>
      </c>
      <c r="BE146" s="14">
        <f>BD146*VLOOKUP('Données projet'!$B$11,Paramètres!$A$1:$I$88,3,0)*VLOOKUP('Données projet'!$B$11,Paramètres!$A$1:$I$88,5,0)</f>
        <v>180.77540000000005</v>
      </c>
      <c r="BF146" s="14">
        <f t="shared" si="145"/>
        <v>45.494655198846154</v>
      </c>
      <c r="BG146" s="22">
        <f t="shared" si="115"/>
        <v>394.08701280465715</v>
      </c>
      <c r="BH146" s="62">
        <f t="shared" si="116"/>
        <v>679.91467558196859</v>
      </c>
      <c r="BI146" s="62">
        <f ca="1">AVERAGE(OFFSET($BH$3,0,0,'Données projet'!$E$11+1,1))-AVERAGE(OFFSET($H$3,0,0,'Données projet'!$E$11+1,1))</f>
        <v>248.66193174773525</v>
      </c>
      <c r="BJ146" s="62">
        <f t="shared" si="146"/>
        <v>249.61655682981151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4.0086301882855624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1.3348944873295571E-12</v>
      </c>
      <c r="BS146" s="24">
        <f t="shared" si="117"/>
        <v>4.0086301882868973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860.00000000000023</v>
      </c>
      <c r="BZ146" s="14">
        <f>BY146*VLOOKUP('Données projet'!$B$12,Paramètres!$A$1:$I$88,3,0)*VLOOKUP('Données projet'!$B$12,Paramètres!$A$1:$I$88,5,0)</f>
        <v>346.5800000000001</v>
      </c>
      <c r="CA146" s="14">
        <f t="shared" si="147"/>
        <v>80.857895771535127</v>
      </c>
      <c r="CB146" s="22">
        <f t="shared" si="118"/>
        <v>744.45433513542378</v>
      </c>
      <c r="CC146" s="62">
        <f t="shared" si="119"/>
        <v>1030.2819979127353</v>
      </c>
      <c r="CD146" s="62">
        <f ca="1">AVERAGE(OFFSET($CC$3,0,0,'Données projet'!$E$12+1,1))-AVERAGE(OFFSET($H$3,0,0,'Données projet'!$E$12+1,1))</f>
        <v>432.59662347701629</v>
      </c>
      <c r="CE146" s="62">
        <f t="shared" si="148"/>
        <v>348.67401091099748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18.057524638285884</v>
      </c>
      <c r="CL146" s="23">
        <f>EXP(-LN(2)/25)*CL145+(1-EXP(-LN(2)/25))/(LN(2)/25)*Calculateur!CG146*Calculateur!CI146*VLOOKUP('Données projet'!$B$12,Paramètres!$A$1:$I$88,3,0)*0.475*44/12</f>
        <v>12.122300210694098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30.179824848979983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1099.9999999999998</v>
      </c>
      <c r="CU146" s="18">
        <f>CT146*VLOOKUP('Données projet'!$B$13,Paramètres!$A$1:$I$88,3,0)*VLOOKUP('Données projet'!$B$13,Paramètres!$A$1:$I$88,5,0)</f>
        <v>486.19999999999993</v>
      </c>
      <c r="CV146" s="14">
        <f t="shared" si="149"/>
        <v>109.0490179035375</v>
      </c>
      <c r="CW146" s="22">
        <f t="shared" si="121"/>
        <v>1036.725372848661</v>
      </c>
      <c r="CX146" s="62">
        <f t="shared" si="122"/>
        <v>1322.5530356259724</v>
      </c>
      <c r="CY146" s="62">
        <f ca="1">AVERAGE(OFFSET($CX$3,0,0,'Données projet'!$E$13+1,1))-AVERAGE(OFFSET($H$3,0,0,'Données projet'!$E$13+1,1))</f>
        <v>582.26951914082088</v>
      </c>
      <c r="CZ146" s="62">
        <f t="shared" si="150"/>
        <v>434.80429932654715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18.195458934130624</v>
      </c>
      <c r="DG146" s="23">
        <f>EXP(-LN(2)/25)*DG145+(1-EXP(-LN(2)/25))/(LN(2)/25)*Calculateur!DB146*Calculateur!DD146*VLOOKUP('Données projet'!$B$13,Paramètres!$A$1:$I$88,3,0)*0.475*44/12</f>
        <v>10.892830321990729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29.088289256121353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498.99999999999955</v>
      </c>
      <c r="DP146" s="18">
        <f>DO146*VLOOKUP('Données projet'!$B$14,Paramètres!$A$1:$I$88,3,0)*VLOOKUP('Données projet'!$B$14,Paramètres!$A$1:$I$88,5,0)</f>
        <v>240.01899999999978</v>
      </c>
      <c r="DQ146" s="14">
        <f t="shared" si="151"/>
        <v>58.443618405936313</v>
      </c>
      <c r="DR146" s="22">
        <f t="shared" si="124"/>
        <v>519.82239372367201</v>
      </c>
      <c r="DS146" s="62">
        <f t="shared" si="125"/>
        <v>805.65005650098351</v>
      </c>
      <c r="DT146" s="62">
        <f ca="1">AVERAGE(OFFSET($DS$3,0,0,'Données projet'!$E$14+1,1))-AVERAGE(OFFSET($H$3,0,0,'Données projet'!$E$14+1,1))</f>
        <v>273.24375559399846</v>
      </c>
      <c r="DU146" s="62">
        <f t="shared" si="152"/>
        <v>270.77718895097848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projet'!$B$14,Paramètres!$A$1:$I$88,3,0)*0.475*44/12</f>
        <v>9.2915983759368768</v>
      </c>
      <c r="EB146" s="23">
        <f>EXP(-LN(2)/25)*EB145+(1-EXP(-LN(2)/25))/(LN(2)/25)*Calculateur!DW146*Calculateur!DY146*VLOOKUP('Données projet'!$B$14,Paramètres!$A$1:$I$88,3,0)*0.475*44/12</f>
        <v>5.3127965433437172</v>
      </c>
      <c r="EC146" s="23">
        <f>EXP(-LN(2)/2)*EC145+(1-EXP(-LN(2)/2))/(LN(2)/2)*DW146*DZ146*VLOOKUP('Données projet'!$B$14,Paramètres!$A$1:$I$88,3,0)*0.475*44/12</f>
        <v>0</v>
      </c>
      <c r="ED146" s="24">
        <f t="shared" si="126"/>
        <v>14.604394919280594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498.99999999999955</v>
      </c>
      <c r="EK146" s="18">
        <f>EJ146*VLOOKUP('Données projet'!$B$15,Paramètres!$A$1:$I$88,3,0)*VLOOKUP('Données projet'!$B$15,Paramètres!$A$1:$I$88,5,0)</f>
        <v>233.53199999999975</v>
      </c>
      <c r="EL146" s="14">
        <f t="shared" si="153"/>
        <v>57.04570382109803</v>
      </c>
      <c r="EM146" s="22">
        <f t="shared" si="127"/>
        <v>506.08950082174533</v>
      </c>
      <c r="EN146" s="62">
        <f t="shared" si="128"/>
        <v>791.91716359905672</v>
      </c>
      <c r="EO146" s="62">
        <f ca="1">AVERAGE(OFFSET($EN$3,0,0,'Données projet'!$E$15+1,1))-AVERAGE(OFFSET($H$3,0,0,'Données projet'!$E$15+1,1))</f>
        <v>267.26203506406682</v>
      </c>
      <c r="EP146" s="62">
        <f t="shared" si="154"/>
        <v>265.10857635664843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projet'!$B$15,Paramètres!$A$1:$I$88,3,0)*0.475*44/12</f>
        <v>9.0404740955061413</v>
      </c>
      <c r="EW146" s="23">
        <f>EXP(-LN(2)/25)*EW145+(1-EXP(-LN(2)/25))/(LN(2)/25)*Calculateur!ER146*Calculateur!ET146*VLOOKUP('Données projet'!$B$15,Paramètres!$A$1:$I$88,3,0)*0.475*44/12</f>
        <v>5.1692074475776684</v>
      </c>
      <c r="EX146" s="23">
        <f>EXP(-LN(2)/2)*EX145+(1-EXP(-LN(2)/2))/(LN(2)/2)*ER146*EU146*VLOOKUP('Données projet'!$B$15,Paramètres!$A$1:$I$88,3,0)*0.475*44/12</f>
        <v>0</v>
      </c>
      <c r="EY146" s="24">
        <f t="shared" si="129"/>
        <v>14.209681543083811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231</v>
      </c>
      <c r="FF146" s="18">
        <f>FE146*VLOOKUP('Données projet'!$B$16,Paramètres!$A$1:$I$88,3,0)*VLOOKUP('Données projet'!$B$16,Paramètres!$A$1:$I$88,5,0)</f>
        <v>169.36920000000001</v>
      </c>
      <c r="FG146" s="14">
        <f t="shared" si="155"/>
        <v>42.948714817158674</v>
      </c>
      <c r="FH146" s="22">
        <f t="shared" si="130"/>
        <v>369.787034973218</v>
      </c>
      <c r="FI146" s="62">
        <f t="shared" si="131"/>
        <v>655.61469775052944</v>
      </c>
      <c r="FJ146" s="62">
        <f ca="1">AVERAGE(OFFSET($FI$3,0,0,'Données projet'!$E$16+1,1))-AVERAGE(OFFSET($H$3,0,0,'Données projet'!$E$16+1,1))</f>
        <v>207.66160354686221</v>
      </c>
      <c r="FK146" s="62">
        <f t="shared" si="156"/>
        <v>260.45879589483525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projet'!$B$16,Paramètres!$A$1:$I$88,3,0)*0.475*44/12</f>
        <v>0.55230724737056691</v>
      </c>
      <c r="FR146" s="23">
        <f>EXP(-LN(2)/25)*FR145+(1-EXP(-LN(2)/25))/(LN(2)/25)*Calculateur!FM146*Calculateur!FO146*VLOOKUP('Données projet'!$B$16,Paramètres!$A$1:$I$88,3,0)*0.475*44/12</f>
        <v>0</v>
      </c>
      <c r="FS146" s="23">
        <f>EXP(-LN(2)/2)*FS145+(1-EXP(-LN(2)/2))/(LN(2)/2)*FM146*FP146*VLOOKUP('Données projet'!$B$16,Paramètres!$A$1:$I$88,3,0)*0.475*44/12</f>
        <v>0</v>
      </c>
      <c r="FT146" s="24">
        <f t="shared" si="132"/>
        <v>0.55230724737056691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projet'!$B$9,Paramètres!$A$1:$I$88,3,0)*VLOOKUP('Données projet'!$B$9,Paramètres!$A$1:$I$88,5,0)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378.13552372917843</v>
      </c>
      <c r="T147" s="62">
        <f t="shared" si="142"/>
        <v>528.97123645404952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41.787107886399397</v>
      </c>
      <c r="AA147" s="23">
        <f>EXP(-LN(2)/25)*AA146+(1-EXP(-LN(2)/25))/(LN(2)/25)*Calculateur!V147*Calculateur!X147*VLOOKUP('Données projet'!$B$9,Paramètres!$A$1:$I$88,3,0)*0.475*44/12</f>
        <v>10.679726784461245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52.466834670860642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6.7</v>
      </c>
      <c r="AI147" s="14">
        <f>IF('Données projet'!$A$62&gt;35,AI146+AH147-AQ146,IF(A147&lt;'Données projet'!$A$62,$AF$205^A147,IF(A147='Données projet'!$A$62,'Données projet'!$B$62,AI146+AH147-AQ146)))</f>
        <v>377.8000000000003</v>
      </c>
      <c r="AJ147" s="14">
        <f>AI147*VLOOKUP('Données projet'!$B$10,Paramètres!$A$1:$I$88,3,0)*VLOOKUP('Données projet'!$B$10,Paramètres!$A$1:$I$88,5,0)</f>
        <v>341.83344000000028</v>
      </c>
      <c r="AK147" s="14">
        <f t="shared" si="143"/>
        <v>79.878628088461753</v>
      </c>
      <c r="AL147" s="22">
        <f t="shared" si="112"/>
        <v>734.48185192073799</v>
      </c>
      <c r="AM147" s="62">
        <f t="shared" si="113"/>
        <v>1020.4397213020309</v>
      </c>
      <c r="AN147" s="62">
        <f ca="1">AVERAGE(OFFSET($AM$3,0,0,'Données projet'!$E$10+1,1))-AVERAGE(OFFSET($H$3,0,0,'Données projet'!$E$10+1,1))</f>
        <v>536.3707066106856</v>
      </c>
      <c r="AO147" s="62">
        <f t="shared" si="144"/>
        <v>217.6280015974086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41.438998502601237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41.438998502601237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302.3</v>
      </c>
      <c r="BE147" s="14">
        <f>BD147*VLOOKUP('Données projet'!$B$11,Paramètres!$A$1:$I$88,3,0)*VLOOKUP('Données projet'!$B$11,Paramètres!$A$1:$I$88,5,0)</f>
        <v>180.77540000000005</v>
      </c>
      <c r="BF147" s="14">
        <f t="shared" si="145"/>
        <v>45.494655198846154</v>
      </c>
      <c r="BG147" s="22">
        <f t="shared" si="115"/>
        <v>394.08701280465715</v>
      </c>
      <c r="BH147" s="62">
        <f t="shared" si="116"/>
        <v>680.04488218594997</v>
      </c>
      <c r="BI147" s="62">
        <f ca="1">AVERAGE(OFFSET($BH$3,0,0,'Données projet'!$E$11+1,1))-AVERAGE(OFFSET($H$3,0,0,'Données projet'!$E$11+1,1))</f>
        <v>248.66193174773525</v>
      </c>
      <c r="BJ147" s="62">
        <f t="shared" si="146"/>
        <v>249.61655682981151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3.9300233953162715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9.4391294415926967E-13</v>
      </c>
      <c r="BS147" s="24">
        <f t="shared" si="117"/>
        <v>3.9300233953172157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860.00000000000023</v>
      </c>
      <c r="BZ147" s="14">
        <f>BY147*VLOOKUP('Données projet'!$B$12,Paramètres!$A$1:$I$88,3,0)*VLOOKUP('Données projet'!$B$12,Paramètres!$A$1:$I$88,5,0)</f>
        <v>346.5800000000001</v>
      </c>
      <c r="CA147" s="14">
        <f t="shared" si="147"/>
        <v>80.857895771535127</v>
      </c>
      <c r="CB147" s="22">
        <f t="shared" si="118"/>
        <v>744.45433513542378</v>
      </c>
      <c r="CC147" s="62">
        <f t="shared" si="119"/>
        <v>1030.4122045167167</v>
      </c>
      <c r="CD147" s="62">
        <f ca="1">AVERAGE(OFFSET($CC$3,0,0,'Données projet'!$E$12+1,1))-AVERAGE(OFFSET($H$3,0,0,'Données projet'!$E$12+1,1))</f>
        <v>432.59662347701629</v>
      </c>
      <c r="CE147" s="62">
        <f t="shared" si="148"/>
        <v>348.67401091099748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17.703427594131583</v>
      </c>
      <c r="CL147" s="23">
        <f>EXP(-LN(2)/25)*CL146+(1-EXP(-LN(2)/25))/(LN(2)/25)*Calculateur!CG147*Calculateur!CI147*VLOOKUP('Données projet'!$B$12,Paramètres!$A$1:$I$88,3,0)*0.475*44/12</f>
        <v>11.790815273948606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29.494242868080189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1099.9999999999998</v>
      </c>
      <c r="CU147" s="18">
        <f>CT147*VLOOKUP('Données projet'!$B$13,Paramètres!$A$1:$I$88,3,0)*VLOOKUP('Données projet'!$B$13,Paramètres!$A$1:$I$88,5,0)</f>
        <v>486.19999999999993</v>
      </c>
      <c r="CV147" s="14">
        <f t="shared" si="149"/>
        <v>109.0490179035375</v>
      </c>
      <c r="CW147" s="22">
        <f t="shared" si="121"/>
        <v>1036.725372848661</v>
      </c>
      <c r="CX147" s="62">
        <f t="shared" si="122"/>
        <v>1322.683242229954</v>
      </c>
      <c r="CY147" s="62">
        <f ca="1">AVERAGE(OFFSET($CX$3,0,0,'Données projet'!$E$13+1,1))-AVERAGE(OFFSET($H$3,0,0,'Données projet'!$E$13+1,1))</f>
        <v>582.26951914082088</v>
      </c>
      <c r="CZ147" s="62">
        <f t="shared" si="150"/>
        <v>434.80429932654715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17.838657082566421</v>
      </c>
      <c r="DG147" s="23">
        <f>EXP(-LN(2)/25)*DG146+(1-EXP(-LN(2)/25))/(LN(2)/25)*Calculateur!DB147*Calculateur!DD147*VLOOKUP('Données projet'!$B$13,Paramètres!$A$1:$I$88,3,0)*0.475*44/12</f>
        <v>10.594965304006841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28.433622386573262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498.99999999999955</v>
      </c>
      <c r="DP147" s="18">
        <f>DO147*VLOOKUP('Données projet'!$B$14,Paramètres!$A$1:$I$88,3,0)*VLOOKUP('Données projet'!$B$14,Paramètres!$A$1:$I$88,5,0)</f>
        <v>240.01899999999978</v>
      </c>
      <c r="DQ147" s="14">
        <f t="shared" si="151"/>
        <v>58.443618405936313</v>
      </c>
      <c r="DR147" s="22">
        <f t="shared" si="124"/>
        <v>519.82239372367201</v>
      </c>
      <c r="DS147" s="62">
        <f t="shared" si="125"/>
        <v>805.78026310496489</v>
      </c>
      <c r="DT147" s="62">
        <f ca="1">AVERAGE(OFFSET($DS$3,0,0,'Données projet'!$E$14+1,1))-AVERAGE(OFFSET($H$3,0,0,'Données projet'!$E$14+1,1))</f>
        <v>273.24375559399846</v>
      </c>
      <c r="DU147" s="62">
        <f t="shared" si="152"/>
        <v>270.77718895097848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projet'!$B$14,Paramètres!$A$1:$I$88,3,0)*0.475*44/12</f>
        <v>9.1093957991001631</v>
      </c>
      <c r="EB147" s="23">
        <f>EXP(-LN(2)/25)*EB146+(1-EXP(-LN(2)/25))/(LN(2)/25)*Calculateur!DW147*Calculateur!DY147*VLOOKUP('Données projet'!$B$14,Paramètres!$A$1:$I$88,3,0)*0.475*44/12</f>
        <v>5.1675178424781558</v>
      </c>
      <c r="EC147" s="23">
        <f>EXP(-LN(2)/2)*EC146+(1-EXP(-LN(2)/2))/(LN(2)/2)*DW147*DZ147*VLOOKUP('Données projet'!$B$14,Paramètres!$A$1:$I$88,3,0)*0.475*44/12</f>
        <v>0</v>
      </c>
      <c r="ED147" s="24">
        <f t="shared" si="126"/>
        <v>14.276913641578318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498.99999999999955</v>
      </c>
      <c r="EK147" s="18">
        <f>EJ147*VLOOKUP('Données projet'!$B$15,Paramètres!$A$1:$I$88,3,0)*VLOOKUP('Données projet'!$B$15,Paramètres!$A$1:$I$88,5,0)</f>
        <v>233.53199999999975</v>
      </c>
      <c r="EL147" s="14">
        <f t="shared" si="153"/>
        <v>57.04570382109803</v>
      </c>
      <c r="EM147" s="22">
        <f t="shared" si="127"/>
        <v>506.08950082174533</v>
      </c>
      <c r="EN147" s="62">
        <f t="shared" si="128"/>
        <v>792.04737020303821</v>
      </c>
      <c r="EO147" s="62">
        <f ca="1">AVERAGE(OFFSET($EN$3,0,0,'Données projet'!$E$15+1,1))-AVERAGE(OFFSET($H$3,0,0,'Données projet'!$E$15+1,1))</f>
        <v>267.26203506406682</v>
      </c>
      <c r="EP147" s="62">
        <f t="shared" si="154"/>
        <v>265.10857635664843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projet'!$B$15,Paramètres!$A$1:$I$88,3,0)*0.475*44/12</f>
        <v>8.8631959126379876</v>
      </c>
      <c r="EW147" s="23">
        <f>EXP(-LN(2)/25)*EW146+(1-EXP(-LN(2)/25))/(LN(2)/25)*Calculateur!ER147*Calculateur!ET147*VLOOKUP('Données projet'!$B$15,Paramètres!$A$1:$I$88,3,0)*0.475*44/12</f>
        <v>5.0278551980868516</v>
      </c>
      <c r="EX147" s="23">
        <f>EXP(-LN(2)/2)*EX146+(1-EXP(-LN(2)/2))/(LN(2)/2)*ER147*EU147*VLOOKUP('Données projet'!$B$15,Paramètres!$A$1:$I$88,3,0)*0.475*44/12</f>
        <v>0</v>
      </c>
      <c r="EY147" s="24">
        <f t="shared" si="129"/>
        <v>13.891051110724838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231</v>
      </c>
      <c r="FF147" s="18">
        <f>FE147*VLOOKUP('Données projet'!$B$16,Paramètres!$A$1:$I$88,3,0)*VLOOKUP('Données projet'!$B$16,Paramètres!$A$1:$I$88,5,0)</f>
        <v>169.36920000000001</v>
      </c>
      <c r="FG147" s="14">
        <f t="shared" si="155"/>
        <v>42.948714817158674</v>
      </c>
      <c r="FH147" s="22">
        <f t="shared" si="130"/>
        <v>369.787034973218</v>
      </c>
      <c r="FI147" s="62">
        <f t="shared" si="131"/>
        <v>655.74490435451094</v>
      </c>
      <c r="FJ147" s="62">
        <f ca="1">AVERAGE(OFFSET($FI$3,0,0,'Données projet'!$E$16+1,1))-AVERAGE(OFFSET($H$3,0,0,'Données projet'!$E$16+1,1))</f>
        <v>207.66160354686221</v>
      </c>
      <c r="FK147" s="62">
        <f t="shared" si="156"/>
        <v>260.45879589483525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projet'!$B$16,Paramètres!$A$1:$I$88,3,0)*0.475*44/12</f>
        <v>0.54147683912378741</v>
      </c>
      <c r="FR147" s="23">
        <f>EXP(-LN(2)/25)*FR146+(1-EXP(-LN(2)/25))/(LN(2)/25)*Calculateur!FM147*Calculateur!FO147*VLOOKUP('Données projet'!$B$16,Paramètres!$A$1:$I$88,3,0)*0.475*44/12</f>
        <v>0</v>
      </c>
      <c r="FS147" s="23">
        <f>EXP(-LN(2)/2)*FS146+(1-EXP(-LN(2)/2))/(LN(2)/2)*FM147*FP147*VLOOKUP('Données projet'!$B$16,Paramètres!$A$1:$I$88,3,0)*0.475*44/12</f>
        <v>0</v>
      </c>
      <c r="FT147" s="24">
        <f t="shared" si="132"/>
        <v>0.54147683912378741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projet'!$B$9,Paramètres!$A$1:$I$88,3,0)*VLOOKUP('Données projet'!$B$9,Paramètres!$A$1:$I$88,5,0)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378.13552372917843</v>
      </c>
      <c r="T148" s="62">
        <f t="shared" si="142"/>
        <v>528.97123645404952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40.967688188366225</v>
      </c>
      <c r="AA148" s="23">
        <f>EXP(-LN(2)/25)*AA147+(1-EXP(-LN(2)/25))/(LN(2)/25)*Calculateur!V148*Calculateur!X148*VLOOKUP('Données projet'!$B$9,Paramètres!$A$1:$I$88,3,0)*0.475*44/12</f>
        <v>10.387689093917729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51.355377282283953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6.7</v>
      </c>
      <c r="AI148" s="14">
        <f>IF('Données projet'!$A$62&gt;35,AI147+AH148-AQ147,IF(A148&lt;'Données projet'!$A$62,$AF$205^A148,IF(A148='Données projet'!$A$62,'Données projet'!$B$62,AI147+AH148-AQ147)))</f>
        <v>384.50000000000028</v>
      </c>
      <c r="AJ148" s="14">
        <f>AI148*VLOOKUP('Données projet'!$B$10,Paramètres!$A$1:$I$88,3,0)*VLOOKUP('Données projet'!$B$10,Paramètres!$A$1:$I$88,5,0)</f>
        <v>347.89560000000029</v>
      </c>
      <c r="AK148" s="14">
        <f t="shared" si="143"/>
        <v>81.129041450802077</v>
      </c>
      <c r="AL148" s="22">
        <f t="shared" si="112"/>
        <v>747.21791719348073</v>
      </c>
      <c r="AM148" s="62">
        <f t="shared" si="113"/>
        <v>1033.3037343852743</v>
      </c>
      <c r="AN148" s="62">
        <f ca="1">AVERAGE(OFFSET($AM$3,0,0,'Données projet'!$E$10+1,1))-AVERAGE(OFFSET($H$3,0,0,'Données projet'!$E$10+1,1))</f>
        <v>536.3707066106856</v>
      </c>
      <c r="AO148" s="62">
        <f t="shared" si="144"/>
        <v>217.6280015974086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40.626405017258584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40.626405017258584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302.3</v>
      </c>
      <c r="BE148" s="14">
        <f>BD148*VLOOKUP('Données projet'!$B$11,Paramètres!$A$1:$I$88,3,0)*VLOOKUP('Données projet'!$B$11,Paramètres!$A$1:$I$88,5,0)</f>
        <v>180.77540000000005</v>
      </c>
      <c r="BF148" s="14">
        <f t="shared" si="145"/>
        <v>45.494655198846154</v>
      </c>
      <c r="BG148" s="22">
        <f t="shared" si="115"/>
        <v>394.08701280465715</v>
      </c>
      <c r="BH148" s="62">
        <f t="shared" si="116"/>
        <v>680.17282999645067</v>
      </c>
      <c r="BI148" s="62">
        <f ca="1">AVERAGE(OFFSET($BH$3,0,0,'Données projet'!$E$11+1,1))-AVERAGE(OFFSET($H$3,0,0,'Données projet'!$E$11+1,1))</f>
        <v>248.66193174773525</v>
      </c>
      <c r="BJ148" s="62">
        <f t="shared" si="146"/>
        <v>249.61655682981151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3.8529580336116989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6.6744724366477856E-13</v>
      </c>
      <c r="BS148" s="24">
        <f t="shared" si="117"/>
        <v>3.8529580336123663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860.00000000000023</v>
      </c>
      <c r="BZ148" s="14">
        <f>BY148*VLOOKUP('Données projet'!$B$12,Paramètres!$A$1:$I$88,3,0)*VLOOKUP('Données projet'!$B$12,Paramètres!$A$1:$I$88,5,0)</f>
        <v>346.5800000000001</v>
      </c>
      <c r="CA148" s="14">
        <f t="shared" si="147"/>
        <v>80.857895771535127</v>
      </c>
      <c r="CB148" s="22">
        <f t="shared" si="118"/>
        <v>744.45433513542378</v>
      </c>
      <c r="CC148" s="62">
        <f t="shared" si="119"/>
        <v>1030.5401523272174</v>
      </c>
      <c r="CD148" s="62">
        <f ca="1">AVERAGE(OFFSET($CC$3,0,0,'Données projet'!$E$12+1,1))-AVERAGE(OFFSET($H$3,0,0,'Données projet'!$E$12+1,1))</f>
        <v>432.59662347701629</v>
      </c>
      <c r="CE148" s="62">
        <f t="shared" si="148"/>
        <v>348.67401091099748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17.356274177035278</v>
      </c>
      <c r="CL148" s="23">
        <f>EXP(-LN(2)/25)*CL147+(1-EXP(-LN(2)/25))/(LN(2)/25)*Calculateur!CG148*Calculateur!CI148*VLOOKUP('Données projet'!$B$12,Paramètres!$A$1:$I$88,3,0)*0.475*44/12</f>
        <v>11.468394810230455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28.824668987265731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1099.9999999999998</v>
      </c>
      <c r="CU148" s="18">
        <f>CT148*VLOOKUP('Données projet'!$B$13,Paramètres!$A$1:$I$88,3,0)*VLOOKUP('Données projet'!$B$13,Paramètres!$A$1:$I$88,5,0)</f>
        <v>486.19999999999993</v>
      </c>
      <c r="CV148" s="14">
        <f t="shared" si="149"/>
        <v>109.0490179035375</v>
      </c>
      <c r="CW148" s="22">
        <f t="shared" si="121"/>
        <v>1036.725372848661</v>
      </c>
      <c r="CX148" s="62">
        <f t="shared" si="122"/>
        <v>1322.8111900404547</v>
      </c>
      <c r="CY148" s="62">
        <f ca="1">AVERAGE(OFFSET($CX$3,0,0,'Données projet'!$E$13+1,1))-AVERAGE(OFFSET($H$3,0,0,'Données projet'!$E$13+1,1))</f>
        <v>582.26951914082088</v>
      </c>
      <c r="CZ148" s="62">
        <f t="shared" si="150"/>
        <v>434.80429932654715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17.488851897683752</v>
      </c>
      <c r="DG148" s="23">
        <f>EXP(-LN(2)/25)*DG147+(1-EXP(-LN(2)/25))/(LN(2)/25)*Calculateur!DB148*Calculateur!DD148*VLOOKUP('Données projet'!$B$13,Paramètres!$A$1:$I$88,3,0)*0.475*44/12</f>
        <v>10.305245420603764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27.794097318287516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498.99999999999955</v>
      </c>
      <c r="DP148" s="18">
        <f>DO148*VLOOKUP('Données projet'!$B$14,Paramètres!$A$1:$I$88,3,0)*VLOOKUP('Données projet'!$B$14,Paramètres!$A$1:$I$88,5,0)</f>
        <v>240.01899999999978</v>
      </c>
      <c r="DQ148" s="14">
        <f t="shared" si="151"/>
        <v>58.443618405936313</v>
      </c>
      <c r="DR148" s="22">
        <f t="shared" si="124"/>
        <v>519.82239372367201</v>
      </c>
      <c r="DS148" s="62">
        <f t="shared" si="125"/>
        <v>805.90821091546559</v>
      </c>
      <c r="DT148" s="62">
        <f ca="1">AVERAGE(OFFSET($DS$3,0,0,'Données projet'!$E$14+1,1))-AVERAGE(OFFSET($H$3,0,0,'Données projet'!$E$14+1,1))</f>
        <v>273.24375559399846</v>
      </c>
      <c r="DU148" s="62">
        <f t="shared" si="152"/>
        <v>270.77718895097848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projet'!$B$14,Paramètres!$A$1:$I$88,3,0)*0.475*44/12</f>
        <v>8.9307661036626182</v>
      </c>
      <c r="EB148" s="23">
        <f>EXP(-LN(2)/25)*EB147+(1-EXP(-LN(2)/25))/(LN(2)/25)*Calculateur!DW148*Calculateur!DY148*VLOOKUP('Données projet'!$B$14,Paramètres!$A$1:$I$88,3,0)*0.475*44/12</f>
        <v>5.0262117953276375</v>
      </c>
      <c r="EC148" s="23">
        <f>EXP(-LN(2)/2)*EC147+(1-EXP(-LN(2)/2))/(LN(2)/2)*DW148*DZ148*VLOOKUP('Données projet'!$B$14,Paramètres!$A$1:$I$88,3,0)*0.475*44/12</f>
        <v>0</v>
      </c>
      <c r="ED148" s="24">
        <f t="shared" si="126"/>
        <v>13.956977898990257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498.99999999999955</v>
      </c>
      <c r="EK148" s="18">
        <f>EJ148*VLOOKUP('Données projet'!$B$15,Paramètres!$A$1:$I$88,3,0)*VLOOKUP('Données projet'!$B$15,Paramètres!$A$1:$I$88,5,0)</f>
        <v>233.53199999999975</v>
      </c>
      <c r="EL148" s="14">
        <f t="shared" si="153"/>
        <v>57.04570382109803</v>
      </c>
      <c r="EM148" s="22">
        <f t="shared" si="127"/>
        <v>506.08950082174533</v>
      </c>
      <c r="EN148" s="62">
        <f t="shared" si="128"/>
        <v>792.17531801353891</v>
      </c>
      <c r="EO148" s="62">
        <f ca="1">AVERAGE(OFFSET($EN$3,0,0,'Données projet'!$E$15+1,1))-AVERAGE(OFFSET($H$3,0,0,'Données projet'!$E$15+1,1))</f>
        <v>267.26203506406682</v>
      </c>
      <c r="EP148" s="62">
        <f t="shared" si="154"/>
        <v>265.10857635664843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projet'!$B$15,Paramètres!$A$1:$I$88,3,0)*0.475*44/12</f>
        <v>8.6893940468068642</v>
      </c>
      <c r="EW148" s="23">
        <f>EXP(-LN(2)/25)*EW147+(1-EXP(-LN(2)/25))/(LN(2)/25)*Calculateur!ER148*Calculateur!ET148*VLOOKUP('Données projet'!$B$15,Paramètres!$A$1:$I$88,3,0)*0.475*44/12</f>
        <v>4.8903682332917526</v>
      </c>
      <c r="EX148" s="23">
        <f>EXP(-LN(2)/2)*EX147+(1-EXP(-LN(2)/2))/(LN(2)/2)*ER148*EU148*VLOOKUP('Données projet'!$B$15,Paramètres!$A$1:$I$88,3,0)*0.475*44/12</f>
        <v>0</v>
      </c>
      <c r="EY148" s="24">
        <f t="shared" si="129"/>
        <v>13.579762280098617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231</v>
      </c>
      <c r="FF148" s="18">
        <f>FE148*VLOOKUP('Données projet'!$B$16,Paramètres!$A$1:$I$88,3,0)*VLOOKUP('Données projet'!$B$16,Paramètres!$A$1:$I$88,5,0)</f>
        <v>169.36920000000001</v>
      </c>
      <c r="FG148" s="14">
        <f t="shared" si="155"/>
        <v>42.948714817158674</v>
      </c>
      <c r="FH148" s="22">
        <f t="shared" si="130"/>
        <v>369.787034973218</v>
      </c>
      <c r="FI148" s="62">
        <f t="shared" si="131"/>
        <v>655.87285216501164</v>
      </c>
      <c r="FJ148" s="62">
        <f ca="1">AVERAGE(OFFSET($FI$3,0,0,'Données projet'!$E$16+1,1))-AVERAGE(OFFSET($H$3,0,0,'Données projet'!$E$16+1,1))</f>
        <v>207.66160354686221</v>
      </c>
      <c r="FK148" s="62">
        <f t="shared" si="156"/>
        <v>260.45879589483525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projet'!$B$16,Paramètres!$A$1:$I$88,3,0)*0.475*44/12</f>
        <v>0.53085880857683054</v>
      </c>
      <c r="FR148" s="23">
        <f>EXP(-LN(2)/25)*FR147+(1-EXP(-LN(2)/25))/(LN(2)/25)*Calculateur!FM148*Calculateur!FO148*VLOOKUP('Données projet'!$B$16,Paramètres!$A$1:$I$88,3,0)*0.475*44/12</f>
        <v>0</v>
      </c>
      <c r="FS148" s="23">
        <f>EXP(-LN(2)/2)*FS147+(1-EXP(-LN(2)/2))/(LN(2)/2)*FM148*FP148*VLOOKUP('Données projet'!$B$16,Paramètres!$A$1:$I$88,3,0)*0.475*44/12</f>
        <v>0</v>
      </c>
      <c r="FT148" s="24">
        <f t="shared" si="132"/>
        <v>0.53085880857683054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projet'!$B$9,Paramètres!$A$1:$I$88,3,0)*VLOOKUP('Données projet'!$B$9,Paramètres!$A$1:$I$88,5,0)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378.13552372917843</v>
      </c>
      <c r="T149" s="62">
        <f t="shared" si="142"/>
        <v>528.97123645404952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40.164336810814817</v>
      </c>
      <c r="AA149" s="23">
        <f>EXP(-LN(2)/25)*AA148+(1-EXP(-LN(2)/25))/(LN(2)/25)*Calculateur!V149*Calculateur!X149*VLOOKUP('Données projet'!$B$9,Paramètres!$A$1:$I$88,3,0)*0.475*44/12</f>
        <v>10.10363718937972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50.267974000194535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6.7</v>
      </c>
      <c r="AI149" s="14">
        <f>IF('Données projet'!$A$62&gt;35,AI148+AH149-AQ148,IF(A149&lt;'Données projet'!$A$62,$AF$205^A149,IF(A149='Données projet'!$A$62,'Données projet'!$B$62,AI148+AH149-AQ148)))</f>
        <v>391.20000000000027</v>
      </c>
      <c r="AJ149" s="14">
        <f>AI149*VLOOKUP('Données projet'!$B$10,Paramètres!$A$1:$I$88,3,0)*VLOOKUP('Données projet'!$B$10,Paramètres!$A$1:$I$88,5,0)</f>
        <v>353.95776000000023</v>
      </c>
      <c r="AK149" s="14">
        <f t="shared" si="143"/>
        <v>82.376921038903305</v>
      </c>
      <c r="AL149" s="22">
        <f t="shared" si="112"/>
        <v>759.94956947609035</v>
      </c>
      <c r="AM149" s="62">
        <f t="shared" si="113"/>
        <v>1046.161114869921</v>
      </c>
      <c r="AN149" s="62">
        <f ca="1">AVERAGE(OFFSET($AM$3,0,0,'Données projet'!$E$10+1,1))-AVERAGE(OFFSET($H$3,0,0,'Données projet'!$E$10+1,1))</f>
        <v>536.3707066106856</v>
      </c>
      <c r="AO149" s="62">
        <f t="shared" si="144"/>
        <v>217.6280015974086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39.829745994530413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39.829745994530413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302.3</v>
      </c>
      <c r="BE149" s="14">
        <f>BD149*VLOOKUP('Données projet'!$B$11,Paramètres!$A$1:$I$88,3,0)*VLOOKUP('Données projet'!$B$11,Paramètres!$A$1:$I$88,5,0)</f>
        <v>180.77540000000005</v>
      </c>
      <c r="BF149" s="14">
        <f t="shared" si="145"/>
        <v>45.494655198846154</v>
      </c>
      <c r="BG149" s="22">
        <f t="shared" si="115"/>
        <v>394.08701280465715</v>
      </c>
      <c r="BH149" s="62">
        <f t="shared" si="116"/>
        <v>680.29855819848785</v>
      </c>
      <c r="BI149" s="62">
        <f ca="1">AVERAGE(OFFSET($BH$3,0,0,'Données projet'!$E$11+1,1))-AVERAGE(OFFSET($H$3,0,0,'Données projet'!$E$11+1,1))</f>
        <v>248.66193174773525</v>
      </c>
      <c r="BJ149" s="62">
        <f t="shared" si="146"/>
        <v>249.61655682981151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3.7774038766449234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4.7195647207963483E-13</v>
      </c>
      <c r="BS149" s="24">
        <f t="shared" si="117"/>
        <v>3.7774038766453955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860.00000000000023</v>
      </c>
      <c r="BZ149" s="14">
        <f>BY149*VLOOKUP('Données projet'!$B$12,Paramètres!$A$1:$I$88,3,0)*VLOOKUP('Données projet'!$B$12,Paramètres!$A$1:$I$88,5,0)</f>
        <v>346.5800000000001</v>
      </c>
      <c r="CA149" s="14">
        <f t="shared" si="147"/>
        <v>80.857895771535127</v>
      </c>
      <c r="CB149" s="22">
        <f t="shared" si="118"/>
        <v>744.45433513542378</v>
      </c>
      <c r="CC149" s="62">
        <f t="shared" si="119"/>
        <v>1030.6658805292545</v>
      </c>
      <c r="CD149" s="62">
        <f ca="1">AVERAGE(OFFSET($CC$3,0,0,'Données projet'!$E$12+1,1))-AVERAGE(OFFSET($H$3,0,0,'Données projet'!$E$12+1,1))</f>
        <v>432.59662347701629</v>
      </c>
      <c r="CE149" s="62">
        <f t="shared" si="148"/>
        <v>348.67401091099748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17.015928226705554</v>
      </c>
      <c r="CL149" s="23">
        <f>EXP(-LN(2)/25)*CL148+(1-EXP(-LN(2)/25))/(LN(2)/25)*Calculateur!CG149*Calculateur!CI149*VLOOKUP('Données projet'!$B$12,Paramètres!$A$1:$I$88,3,0)*0.475*44/12</f>
        <v>11.154790951048032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28.170719177753586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1099.9999999999998</v>
      </c>
      <c r="CU149" s="18">
        <f>CT149*VLOOKUP('Données projet'!$B$13,Paramètres!$A$1:$I$88,3,0)*VLOOKUP('Données projet'!$B$13,Paramètres!$A$1:$I$88,5,0)</f>
        <v>486.19999999999993</v>
      </c>
      <c r="CV149" s="14">
        <f t="shared" si="149"/>
        <v>109.0490179035375</v>
      </c>
      <c r="CW149" s="22">
        <f t="shared" si="121"/>
        <v>1036.725372848661</v>
      </c>
      <c r="CX149" s="62">
        <f t="shared" si="122"/>
        <v>1322.9369182424916</v>
      </c>
      <c r="CY149" s="62">
        <f ca="1">AVERAGE(OFFSET($CX$3,0,0,'Données projet'!$E$13+1,1))-AVERAGE(OFFSET($H$3,0,0,'Données projet'!$E$13+1,1))</f>
        <v>582.26951914082088</v>
      </c>
      <c r="CZ149" s="62">
        <f t="shared" si="150"/>
        <v>434.80429932654715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17.145906179116537</v>
      </c>
      <c r="DG149" s="23">
        <f>EXP(-LN(2)/25)*DG148+(1-EXP(-LN(2)/25))/(LN(2)/25)*Calculateur!DB149*Calculateur!DD149*VLOOKUP('Données projet'!$B$13,Paramètres!$A$1:$I$88,3,0)*0.475*44/12</f>
        <v>10.023447942648051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27.169354121764588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498.99999999999955</v>
      </c>
      <c r="DP149" s="18">
        <f>DO149*VLOOKUP('Données projet'!$B$14,Paramètres!$A$1:$I$88,3,0)*VLOOKUP('Données projet'!$B$14,Paramètres!$A$1:$I$88,5,0)</f>
        <v>240.01899999999978</v>
      </c>
      <c r="DQ149" s="14">
        <f t="shared" si="151"/>
        <v>58.443618405936313</v>
      </c>
      <c r="DR149" s="22">
        <f t="shared" si="124"/>
        <v>519.82239372367201</v>
      </c>
      <c r="DS149" s="62">
        <f t="shared" si="125"/>
        <v>806.03393911750265</v>
      </c>
      <c r="DT149" s="62">
        <f ca="1">AVERAGE(OFFSET($DS$3,0,0,'Données projet'!$E$14+1,1))-AVERAGE(OFFSET($H$3,0,0,'Données projet'!$E$14+1,1))</f>
        <v>273.24375559399846</v>
      </c>
      <c r="DU149" s="62">
        <f t="shared" si="152"/>
        <v>270.77718895097848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projet'!$B$14,Paramètres!$A$1:$I$88,3,0)*0.475*44/12</f>
        <v>8.7556392275992483</v>
      </c>
      <c r="EB149" s="23">
        <f>EXP(-LN(2)/25)*EB148+(1-EXP(-LN(2)/25))/(LN(2)/25)*Calculateur!DW149*Calculateur!DY149*VLOOKUP('Données projet'!$B$14,Paramètres!$A$1:$I$88,3,0)*0.475*44/12</f>
        <v>4.8887697694674124</v>
      </c>
      <c r="EC149" s="23">
        <f>EXP(-LN(2)/2)*EC148+(1-EXP(-LN(2)/2))/(LN(2)/2)*DW149*DZ149*VLOOKUP('Données projet'!$B$14,Paramètres!$A$1:$I$88,3,0)*0.475*44/12</f>
        <v>0</v>
      </c>
      <c r="ED149" s="24">
        <f t="shared" si="126"/>
        <v>13.644408997066661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498.99999999999955</v>
      </c>
      <c r="EK149" s="18">
        <f>EJ149*VLOOKUP('Données projet'!$B$15,Paramètres!$A$1:$I$88,3,0)*VLOOKUP('Données projet'!$B$15,Paramètres!$A$1:$I$88,5,0)</f>
        <v>233.53199999999975</v>
      </c>
      <c r="EL149" s="14">
        <f t="shared" si="153"/>
        <v>57.04570382109803</v>
      </c>
      <c r="EM149" s="22">
        <f t="shared" si="127"/>
        <v>506.08950082174533</v>
      </c>
      <c r="EN149" s="62">
        <f t="shared" si="128"/>
        <v>792.30104621557598</v>
      </c>
      <c r="EO149" s="62">
        <f ca="1">AVERAGE(OFFSET($EN$3,0,0,'Données projet'!$E$15+1,1))-AVERAGE(OFFSET($H$3,0,0,'Données projet'!$E$15+1,1))</f>
        <v>267.26203506406682</v>
      </c>
      <c r="EP149" s="62">
        <f t="shared" si="154"/>
        <v>265.10857635664843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projet'!$B$15,Paramètres!$A$1:$I$88,3,0)*0.475*44/12</f>
        <v>8.5190003295560182</v>
      </c>
      <c r="EW149" s="23">
        <f>EXP(-LN(2)/25)*EW148+(1-EXP(-LN(2)/25))/(LN(2)/25)*Calculateur!ER149*Calculateur!ET149*VLOOKUP('Données projet'!$B$15,Paramètres!$A$1:$I$88,3,0)*0.475*44/12</f>
        <v>4.756640856779101</v>
      </c>
      <c r="EX149" s="23">
        <f>EXP(-LN(2)/2)*EX148+(1-EXP(-LN(2)/2))/(LN(2)/2)*ER149*EU149*VLOOKUP('Données projet'!$B$15,Paramètres!$A$1:$I$88,3,0)*0.475*44/12</f>
        <v>0</v>
      </c>
      <c r="EY149" s="24">
        <f t="shared" si="129"/>
        <v>13.275641186335118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231</v>
      </c>
      <c r="FF149" s="18">
        <f>FE149*VLOOKUP('Données projet'!$B$16,Paramètres!$A$1:$I$88,3,0)*VLOOKUP('Données projet'!$B$16,Paramètres!$A$1:$I$88,5,0)</f>
        <v>169.36920000000001</v>
      </c>
      <c r="FG149" s="14">
        <f t="shared" si="155"/>
        <v>42.948714817158674</v>
      </c>
      <c r="FH149" s="22">
        <f t="shared" si="130"/>
        <v>369.787034973218</v>
      </c>
      <c r="FI149" s="62">
        <f t="shared" si="131"/>
        <v>655.99858036704859</v>
      </c>
      <c r="FJ149" s="62">
        <f ca="1">AVERAGE(OFFSET($FI$3,0,0,'Données projet'!$E$16+1,1))-AVERAGE(OFFSET($H$3,0,0,'Données projet'!$E$16+1,1))</f>
        <v>207.66160354686221</v>
      </c>
      <c r="FK149" s="62">
        <f t="shared" si="156"/>
        <v>260.45879589483525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projet'!$B$16,Paramètres!$A$1:$I$88,3,0)*0.475*44/12</f>
        <v>0.52044899113254028</v>
      </c>
      <c r="FR149" s="23">
        <f>EXP(-LN(2)/25)*FR148+(1-EXP(-LN(2)/25))/(LN(2)/25)*Calculateur!FM149*Calculateur!FO149*VLOOKUP('Données projet'!$B$16,Paramètres!$A$1:$I$88,3,0)*0.475*44/12</f>
        <v>0</v>
      </c>
      <c r="FS149" s="23">
        <f>EXP(-LN(2)/2)*FS148+(1-EXP(-LN(2)/2))/(LN(2)/2)*FM149*FP149*VLOOKUP('Données projet'!$B$16,Paramètres!$A$1:$I$88,3,0)*0.475*44/12</f>
        <v>0</v>
      </c>
      <c r="FT149" s="24">
        <f t="shared" si="132"/>
        <v>0.52044899113254028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projet'!$B$9,Paramètres!$A$1:$I$88,3,0)*VLOOKUP('Données projet'!$B$9,Paramètres!$A$1:$I$88,5,0)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378.13552372917843</v>
      </c>
      <c r="T150" s="62">
        <f t="shared" si="142"/>
        <v>528.97123645404952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39.376738663781232</v>
      </c>
      <c r="AA150" s="23">
        <f>EXP(-LN(2)/25)*AA149+(1-EXP(-LN(2)/25))/(LN(2)/25)*Calculateur!V150*Calculateur!X150*VLOOKUP('Données projet'!$B$9,Paramètres!$A$1:$I$88,3,0)*0.475*44/12</f>
        <v>9.8273526991089444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49.204091362890175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6.7</v>
      </c>
      <c r="AI150" s="14">
        <f>IF('Données projet'!$A$62&gt;35,AI149+AH150-AQ149,IF(A150&lt;'Données projet'!$A$62,$AF$205^A150,IF(A150='Données projet'!$A$62,'Données projet'!$B$62,AI149+AH150-AQ149)))</f>
        <v>397.90000000000026</v>
      </c>
      <c r="AJ150" s="14">
        <f>AI150*VLOOKUP('Données projet'!$B$10,Paramètres!$A$1:$I$88,3,0)*VLOOKUP('Données projet'!$B$10,Paramètres!$A$1:$I$88,5,0)</f>
        <v>360.01992000000018</v>
      </c>
      <c r="AK150" s="14">
        <f t="shared" si="143"/>
        <v>83.622315255920668</v>
      </c>
      <c r="AL150" s="22">
        <f t="shared" si="112"/>
        <v>772.67689307072885</v>
      </c>
      <c r="AM150" s="62">
        <f t="shared" si="113"/>
        <v>1059.0119855633773</v>
      </c>
      <c r="AN150" s="62">
        <f ca="1">AVERAGE(OFFSET($AM$3,0,0,'Données projet'!$E$10+1,1))-AVERAGE(OFFSET($H$3,0,0,'Données projet'!$E$10+1,1))</f>
        <v>536.3707066106856</v>
      </c>
      <c r="AO150" s="62">
        <f t="shared" si="144"/>
        <v>217.6280015974086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39.048708969323918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39.048708969323918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302.3</v>
      </c>
      <c r="BE150" s="14">
        <f>BD150*VLOOKUP('Données projet'!$B$11,Paramètres!$A$1:$I$88,3,0)*VLOOKUP('Données projet'!$B$11,Paramètres!$A$1:$I$88,5,0)</f>
        <v>180.77540000000005</v>
      </c>
      <c r="BF150" s="14">
        <f t="shared" si="145"/>
        <v>45.494655198846154</v>
      </c>
      <c r="BG150" s="22">
        <f t="shared" si="115"/>
        <v>394.08701280465715</v>
      </c>
      <c r="BH150" s="62">
        <f t="shared" si="116"/>
        <v>680.42210529730551</v>
      </c>
      <c r="BI150" s="62">
        <f ca="1">AVERAGE(OFFSET($BH$3,0,0,'Données projet'!$E$11+1,1))-AVERAGE(OFFSET($H$3,0,0,'Données projet'!$E$11+1,1))</f>
        <v>248.66193174773525</v>
      </c>
      <c r="BJ150" s="62">
        <f t="shared" si="146"/>
        <v>249.61655682981151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3.7033312906127813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3.3372362183238928E-13</v>
      </c>
      <c r="BS150" s="24">
        <f t="shared" si="117"/>
        <v>3.7033312906131148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860.00000000000023</v>
      </c>
      <c r="BZ150" s="14">
        <f>BY150*VLOOKUP('Données projet'!$B$12,Paramètres!$A$1:$I$88,3,0)*VLOOKUP('Données projet'!$B$12,Paramètres!$A$1:$I$88,5,0)</f>
        <v>346.5800000000001</v>
      </c>
      <c r="CA150" s="14">
        <f t="shared" si="147"/>
        <v>80.857895771535127</v>
      </c>
      <c r="CB150" s="22">
        <f t="shared" si="118"/>
        <v>744.45433513542378</v>
      </c>
      <c r="CC150" s="62">
        <f t="shared" si="119"/>
        <v>1030.7894276280722</v>
      </c>
      <c r="CD150" s="62">
        <f ca="1">AVERAGE(OFFSET($CC$3,0,0,'Données projet'!$E$12+1,1))-AVERAGE(OFFSET($H$3,0,0,'Données projet'!$E$12+1,1))</f>
        <v>432.59662347701629</v>
      </c>
      <c r="CE150" s="62">
        <f t="shared" si="148"/>
        <v>348.67401091099748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16.682256252871266</v>
      </c>
      <c r="CL150" s="23">
        <f>EXP(-LN(2)/25)*CL149+(1-EXP(-LN(2)/25))/(LN(2)/25)*Calculateur!CG150*Calculateur!CI150*VLOOKUP('Données projet'!$B$12,Paramètres!$A$1:$I$88,3,0)*0.475*44/12</f>
        <v>10.849762605886662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27.53201885875793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1099.9999999999998</v>
      </c>
      <c r="CU150" s="18">
        <f>CT150*VLOOKUP('Données projet'!$B$13,Paramètres!$A$1:$I$88,3,0)*VLOOKUP('Données projet'!$B$13,Paramètres!$A$1:$I$88,5,0)</f>
        <v>486.19999999999993</v>
      </c>
      <c r="CV150" s="14">
        <f t="shared" si="149"/>
        <v>109.0490179035375</v>
      </c>
      <c r="CW150" s="22">
        <f t="shared" si="121"/>
        <v>1036.725372848661</v>
      </c>
      <c r="CX150" s="62">
        <f t="shared" si="122"/>
        <v>1323.0604653413093</v>
      </c>
      <c r="CY150" s="62">
        <f ca="1">AVERAGE(OFFSET($CX$3,0,0,'Données projet'!$E$13+1,1))-AVERAGE(OFFSET($H$3,0,0,'Données projet'!$E$13+1,1))</f>
        <v>582.26951914082088</v>
      </c>
      <c r="CZ150" s="62">
        <f t="shared" si="150"/>
        <v>434.80429932654715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16.809685416914192</v>
      </c>
      <c r="DG150" s="23">
        <f>EXP(-LN(2)/25)*DG149+(1-EXP(-LN(2)/25))/(LN(2)/25)*Calculateur!DB150*Calculateur!DD150*VLOOKUP('Données projet'!$B$13,Paramètres!$A$1:$I$88,3,0)*0.475*44/12</f>
        <v>9.7493562315461215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26.559041648460315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498.99999999999955</v>
      </c>
      <c r="DP150" s="18">
        <f>DO150*VLOOKUP('Données projet'!$B$14,Paramètres!$A$1:$I$88,3,0)*VLOOKUP('Données projet'!$B$14,Paramètres!$A$1:$I$88,5,0)</f>
        <v>240.01899999999978</v>
      </c>
      <c r="DQ150" s="14">
        <f t="shared" si="151"/>
        <v>58.443618405936313</v>
      </c>
      <c r="DR150" s="22">
        <f t="shared" si="124"/>
        <v>519.82239372367201</v>
      </c>
      <c r="DS150" s="62">
        <f t="shared" si="125"/>
        <v>806.15748621632042</v>
      </c>
      <c r="DT150" s="62">
        <f ca="1">AVERAGE(OFFSET($DS$3,0,0,'Données projet'!$E$14+1,1))-AVERAGE(OFFSET($H$3,0,0,'Données projet'!$E$14+1,1))</f>
        <v>273.24375559399846</v>
      </c>
      <c r="DU150" s="62">
        <f t="shared" si="152"/>
        <v>270.77718895097848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projet'!$B$14,Paramètres!$A$1:$I$88,3,0)*0.475*44/12</f>
        <v>8.583946482758634</v>
      </c>
      <c r="EB150" s="23">
        <f>EXP(-LN(2)/25)*EB149+(1-EXP(-LN(2)/25))/(LN(2)/25)*Calculateur!DW150*Calculateur!DY150*VLOOKUP('Données projet'!$B$14,Paramètres!$A$1:$I$88,3,0)*0.475*44/12</f>
        <v>4.755086103032097</v>
      </c>
      <c r="EC150" s="23">
        <f>EXP(-LN(2)/2)*EC149+(1-EXP(-LN(2)/2))/(LN(2)/2)*DW150*DZ150*VLOOKUP('Données projet'!$B$14,Paramètres!$A$1:$I$88,3,0)*0.475*44/12</f>
        <v>0</v>
      </c>
      <c r="ED150" s="24">
        <f t="shared" si="126"/>
        <v>13.339032585790731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498.99999999999955</v>
      </c>
      <c r="EK150" s="18">
        <f>EJ150*VLOOKUP('Données projet'!$B$15,Paramètres!$A$1:$I$88,3,0)*VLOOKUP('Données projet'!$B$15,Paramètres!$A$1:$I$88,5,0)</f>
        <v>233.53199999999975</v>
      </c>
      <c r="EL150" s="14">
        <f t="shared" si="153"/>
        <v>57.04570382109803</v>
      </c>
      <c r="EM150" s="22">
        <f t="shared" si="127"/>
        <v>506.08950082174533</v>
      </c>
      <c r="EN150" s="62">
        <f t="shared" si="128"/>
        <v>792.42459331439375</v>
      </c>
      <c r="EO150" s="62">
        <f ca="1">AVERAGE(OFFSET($EN$3,0,0,'Données projet'!$E$15+1,1))-AVERAGE(OFFSET($H$3,0,0,'Données projet'!$E$15+1,1))</f>
        <v>267.26203506406682</v>
      </c>
      <c r="EP150" s="62">
        <f t="shared" si="154"/>
        <v>265.10857635664843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projet'!$B$15,Paramètres!$A$1:$I$88,3,0)*0.475*44/12</f>
        <v>8.3519479291705565</v>
      </c>
      <c r="EW150" s="23">
        <f>EXP(-LN(2)/25)*EW149+(1-EXP(-LN(2)/25))/(LN(2)/25)*Calculateur!ER150*Calculateur!ET150*VLOOKUP('Données projet'!$B$15,Paramètres!$A$1:$I$88,3,0)*0.475*44/12</f>
        <v>4.6265702624096052</v>
      </c>
      <c r="EX150" s="23">
        <f>EXP(-LN(2)/2)*EX149+(1-EXP(-LN(2)/2))/(LN(2)/2)*ER150*EU150*VLOOKUP('Données projet'!$B$15,Paramètres!$A$1:$I$88,3,0)*0.475*44/12</f>
        <v>0</v>
      </c>
      <c r="EY150" s="24">
        <f t="shared" si="129"/>
        <v>12.978518191580161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231</v>
      </c>
      <c r="FF150" s="18">
        <f>FE150*VLOOKUP('Données projet'!$B$16,Paramètres!$A$1:$I$88,3,0)*VLOOKUP('Données projet'!$B$16,Paramètres!$A$1:$I$88,5,0)</f>
        <v>169.36920000000001</v>
      </c>
      <c r="FG150" s="14">
        <f t="shared" si="155"/>
        <v>42.948714817158674</v>
      </c>
      <c r="FH150" s="22">
        <f t="shared" si="130"/>
        <v>369.787034973218</v>
      </c>
      <c r="FI150" s="62">
        <f t="shared" si="131"/>
        <v>656.12212746586647</v>
      </c>
      <c r="FJ150" s="62">
        <f ca="1">AVERAGE(OFFSET($FI$3,0,0,'Données projet'!$E$16+1,1))-AVERAGE(OFFSET($H$3,0,0,'Données projet'!$E$16+1,1))</f>
        <v>207.66160354686221</v>
      </c>
      <c r="FK150" s="62">
        <f t="shared" si="156"/>
        <v>260.45879589483525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projet'!$B$16,Paramètres!$A$1:$I$88,3,0)*0.475*44/12</f>
        <v>0.51024330385897088</v>
      </c>
      <c r="FR150" s="23">
        <f>EXP(-LN(2)/25)*FR149+(1-EXP(-LN(2)/25))/(LN(2)/25)*Calculateur!FM150*Calculateur!FO150*VLOOKUP('Données projet'!$B$16,Paramètres!$A$1:$I$88,3,0)*0.475*44/12</f>
        <v>0</v>
      </c>
      <c r="FS150" s="23">
        <f>EXP(-LN(2)/2)*FS149+(1-EXP(-LN(2)/2))/(LN(2)/2)*FM150*FP150*VLOOKUP('Données projet'!$B$16,Paramètres!$A$1:$I$88,3,0)*0.475*44/12</f>
        <v>0</v>
      </c>
      <c r="FT150" s="24">
        <f t="shared" si="132"/>
        <v>0.51024330385897088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projet'!$B$9,Paramètres!$A$1:$I$88,3,0)*VLOOKUP('Données projet'!$B$9,Paramètres!$A$1:$I$88,5,0)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378.13552372917843</v>
      </c>
      <c r="T151" s="62">
        <f t="shared" si="142"/>
        <v>528.97123645404952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38.604584836023541</v>
      </c>
      <c r="AA151" s="23">
        <f>EXP(-LN(2)/25)*AA150+(1-EXP(-LN(2)/25))/(LN(2)/25)*Calculateur!V151*Calculateur!X151*VLOOKUP('Données projet'!$B$9,Paramètres!$A$1:$I$88,3,0)*0.475*44/12</f>
        <v>9.5586232227537931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48.163208058777336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6.7</v>
      </c>
      <c r="AI151" s="14">
        <f>IF('Données projet'!$A$62&gt;35,AI150+AH151-AQ150,IF(A151&lt;'Données projet'!$A$62,$AF$205^A151,IF(A151='Données projet'!$A$62,'Données projet'!$B$62,AI150+AH151-AQ150)))</f>
        <v>404.60000000000025</v>
      </c>
      <c r="AJ151" s="14">
        <f>AI151*VLOOKUP('Données projet'!$B$10,Paramètres!$A$1:$I$88,3,0)*VLOOKUP('Données projet'!$B$10,Paramètres!$A$1:$I$88,5,0)</f>
        <v>366.08208000000019</v>
      </c>
      <c r="AK151" s="14">
        <f t="shared" si="143"/>
        <v>84.865270781521915</v>
      </c>
      <c r="AL151" s="22">
        <f t="shared" si="112"/>
        <v>785.3999692778176</v>
      </c>
      <c r="AM151" s="62">
        <f t="shared" si="113"/>
        <v>1071.8564656033293</v>
      </c>
      <c r="AN151" s="62">
        <f ca="1">AVERAGE(OFFSET($AM$3,0,0,'Données projet'!$E$10+1,1))-AVERAGE(OFFSET($H$3,0,0,'Données projet'!$E$10+1,1))</f>
        <v>536.3707066106856</v>
      </c>
      <c r="AO151" s="62">
        <f t="shared" si="144"/>
        <v>217.6280015974086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38.28298760379618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38.28298760379618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302.3</v>
      </c>
      <c r="BE151" s="14">
        <f>BD151*VLOOKUP('Données projet'!$B$11,Paramètres!$A$1:$I$88,3,0)*VLOOKUP('Données projet'!$B$11,Paramètres!$A$1:$I$88,5,0)</f>
        <v>180.77540000000005</v>
      </c>
      <c r="BF151" s="14">
        <f t="shared" si="145"/>
        <v>45.494655198846154</v>
      </c>
      <c r="BG151" s="22">
        <f t="shared" si="115"/>
        <v>394.08701280465715</v>
      </c>
      <c r="BH151" s="62">
        <f t="shared" si="116"/>
        <v>680.54350913016879</v>
      </c>
      <c r="BI151" s="62">
        <f ca="1">AVERAGE(OFFSET($BH$3,0,0,'Données projet'!$E$11+1,1))-AVERAGE(OFFSET($H$3,0,0,'Données projet'!$E$11+1,1))</f>
        <v>248.66193174773525</v>
      </c>
      <c r="BJ151" s="62">
        <f t="shared" si="146"/>
        <v>249.61655682981151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3.6307112228129133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2.3597823603981742E-13</v>
      </c>
      <c r="BS151" s="24">
        <f t="shared" si="117"/>
        <v>3.6307112228131491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860.00000000000023</v>
      </c>
      <c r="BZ151" s="14">
        <f>BY151*VLOOKUP('Données projet'!$B$12,Paramètres!$A$1:$I$88,3,0)*VLOOKUP('Données projet'!$B$12,Paramètres!$A$1:$I$88,5,0)</f>
        <v>346.5800000000001</v>
      </c>
      <c r="CA151" s="14">
        <f t="shared" si="147"/>
        <v>80.857895771535127</v>
      </c>
      <c r="CB151" s="22">
        <f t="shared" si="118"/>
        <v>744.45433513542378</v>
      </c>
      <c r="CC151" s="62">
        <f t="shared" si="119"/>
        <v>1030.9108314609355</v>
      </c>
      <c r="CD151" s="62">
        <f ca="1">AVERAGE(OFFSET($CC$3,0,0,'Données projet'!$E$12+1,1))-AVERAGE(OFFSET($H$3,0,0,'Données projet'!$E$12+1,1))</f>
        <v>432.59662347701629</v>
      </c>
      <c r="CE151" s="62">
        <f t="shared" si="148"/>
        <v>348.67401091099748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16.35512738292406</v>
      </c>
      <c r="CL151" s="23">
        <f>EXP(-LN(2)/25)*CL150+(1-EXP(-LN(2)/25))/(LN(2)/25)*Calculateur!CG151*Calculateur!CI151*VLOOKUP('Données projet'!$B$12,Paramètres!$A$1:$I$88,3,0)*0.475*44/12</f>
        <v>10.553075276864472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26.908202659788532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1099.9999999999998</v>
      </c>
      <c r="CU151" s="18">
        <f>CT151*VLOOKUP('Données projet'!$B$13,Paramètres!$A$1:$I$88,3,0)*VLOOKUP('Données projet'!$B$13,Paramètres!$A$1:$I$88,5,0)</f>
        <v>486.19999999999993</v>
      </c>
      <c r="CV151" s="14">
        <f t="shared" si="149"/>
        <v>109.0490179035375</v>
      </c>
      <c r="CW151" s="22">
        <f t="shared" si="121"/>
        <v>1036.725372848661</v>
      </c>
      <c r="CX151" s="62">
        <f t="shared" si="122"/>
        <v>1323.1818691741728</v>
      </c>
      <c r="CY151" s="62">
        <f ca="1">AVERAGE(OFFSET($CX$3,0,0,'Données projet'!$E$13+1,1))-AVERAGE(OFFSET($H$3,0,0,'Données projet'!$E$13+1,1))</f>
        <v>582.26951914082088</v>
      </c>
      <c r="CZ151" s="62">
        <f t="shared" si="150"/>
        <v>434.80429932654715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16.480057738784218</v>
      </c>
      <c r="DG151" s="23">
        <f>EXP(-LN(2)/25)*DG150+(1-EXP(-LN(2)/25))/(LN(2)/25)*Calculateur!DB151*Calculateur!DD151*VLOOKUP('Données projet'!$B$13,Paramètres!$A$1:$I$88,3,0)*0.475*44/12</f>
        <v>9.4827595726981304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25.962817311482347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498.99999999999955</v>
      </c>
      <c r="DP151" s="18">
        <f>DO151*VLOOKUP('Données projet'!$B$14,Paramètres!$A$1:$I$88,3,0)*VLOOKUP('Données projet'!$B$14,Paramètres!$A$1:$I$88,5,0)</f>
        <v>240.01899999999978</v>
      </c>
      <c r="DQ151" s="14">
        <f t="shared" si="151"/>
        <v>58.443618405936313</v>
      </c>
      <c r="DR151" s="22">
        <f t="shared" si="124"/>
        <v>519.82239372367201</v>
      </c>
      <c r="DS151" s="62">
        <f t="shared" si="125"/>
        <v>806.2788900491837</v>
      </c>
      <c r="DT151" s="62">
        <f ca="1">AVERAGE(OFFSET($DS$3,0,0,'Données projet'!$E$14+1,1))-AVERAGE(OFFSET($H$3,0,0,'Données projet'!$E$14+1,1))</f>
        <v>273.24375559399846</v>
      </c>
      <c r="DU151" s="62">
        <f t="shared" si="152"/>
        <v>270.77718895097848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projet'!$B$14,Paramètres!$A$1:$I$88,3,0)*0.475*44/12</f>
        <v>8.4156205279221101</v>
      </c>
      <c r="EB151" s="23">
        <f>EXP(-LN(2)/25)*EB150+(1-EXP(-LN(2)/25))/(LN(2)/25)*Calculateur!DW151*Calculateur!DY151*VLOOKUP('Données projet'!$B$14,Paramètres!$A$1:$I$88,3,0)*0.475*44/12</f>
        <v>4.6250580234855745</v>
      </c>
      <c r="EC151" s="23">
        <f>EXP(-LN(2)/2)*EC150+(1-EXP(-LN(2)/2))/(LN(2)/2)*DW151*DZ151*VLOOKUP('Données projet'!$B$14,Paramètres!$A$1:$I$88,3,0)*0.475*44/12</f>
        <v>0</v>
      </c>
      <c r="ED151" s="24">
        <f t="shared" si="126"/>
        <v>13.040678551407684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498.99999999999955</v>
      </c>
      <c r="EK151" s="18">
        <f>EJ151*VLOOKUP('Données projet'!$B$15,Paramètres!$A$1:$I$88,3,0)*VLOOKUP('Données projet'!$B$15,Paramètres!$A$1:$I$88,5,0)</f>
        <v>233.53199999999975</v>
      </c>
      <c r="EL151" s="14">
        <f t="shared" si="153"/>
        <v>57.04570382109803</v>
      </c>
      <c r="EM151" s="22">
        <f t="shared" si="127"/>
        <v>506.08950082174533</v>
      </c>
      <c r="EN151" s="62">
        <f t="shared" si="128"/>
        <v>792.54599714725703</v>
      </c>
      <c r="EO151" s="62">
        <f ca="1">AVERAGE(OFFSET($EN$3,0,0,'Données projet'!$E$15+1,1))-AVERAGE(OFFSET($H$3,0,0,'Données projet'!$E$15+1,1))</f>
        <v>267.26203506406682</v>
      </c>
      <c r="EP151" s="62">
        <f t="shared" si="154"/>
        <v>265.10857635664843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projet'!$B$15,Paramètres!$A$1:$I$88,3,0)*0.475*44/12</f>
        <v>8.1881713244647489</v>
      </c>
      <c r="EW151" s="23">
        <f>EXP(-LN(2)/25)*EW150+(1-EXP(-LN(2)/25))/(LN(2)/25)*Calculateur!ER151*Calculateur!ET151*VLOOKUP('Données projet'!$B$15,Paramètres!$A$1:$I$88,3,0)*0.475*44/12</f>
        <v>4.5000564552832589</v>
      </c>
      <c r="EX151" s="23">
        <f>EXP(-LN(2)/2)*EX150+(1-EXP(-LN(2)/2))/(LN(2)/2)*ER151*EU151*VLOOKUP('Données projet'!$B$15,Paramètres!$A$1:$I$88,3,0)*0.475*44/12</f>
        <v>0</v>
      </c>
      <c r="EY151" s="24">
        <f t="shared" si="129"/>
        <v>12.688227779748008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231</v>
      </c>
      <c r="FF151" s="18">
        <f>FE151*VLOOKUP('Données projet'!$B$16,Paramètres!$A$1:$I$88,3,0)*VLOOKUP('Données projet'!$B$16,Paramètres!$A$1:$I$88,5,0)</f>
        <v>169.36920000000001</v>
      </c>
      <c r="FG151" s="14">
        <f t="shared" si="155"/>
        <v>42.948714817158674</v>
      </c>
      <c r="FH151" s="22">
        <f t="shared" si="130"/>
        <v>369.787034973218</v>
      </c>
      <c r="FI151" s="62">
        <f t="shared" si="131"/>
        <v>656.24353129872975</v>
      </c>
      <c r="FJ151" s="62">
        <f ca="1">AVERAGE(OFFSET($FI$3,0,0,'Données projet'!$E$16+1,1))-AVERAGE(OFFSET($H$3,0,0,'Données projet'!$E$16+1,1))</f>
        <v>207.66160354686221</v>
      </c>
      <c r="FK151" s="62">
        <f t="shared" si="156"/>
        <v>260.45879589483525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projet'!$B$16,Paramètres!$A$1:$I$88,3,0)*0.475*44/12</f>
        <v>0.50023774388798159</v>
      </c>
      <c r="FR151" s="23">
        <f>EXP(-LN(2)/25)*FR150+(1-EXP(-LN(2)/25))/(LN(2)/25)*Calculateur!FM151*Calculateur!FO151*VLOOKUP('Données projet'!$B$16,Paramètres!$A$1:$I$88,3,0)*0.475*44/12</f>
        <v>0</v>
      </c>
      <c r="FS151" s="23">
        <f>EXP(-LN(2)/2)*FS150+(1-EXP(-LN(2)/2))/(LN(2)/2)*FM151*FP151*VLOOKUP('Données projet'!$B$16,Paramètres!$A$1:$I$88,3,0)*0.475*44/12</f>
        <v>0</v>
      </c>
      <c r="FT151" s="24">
        <f t="shared" si="132"/>
        <v>0.50023774388798159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projet'!$B$9,Paramètres!$A$1:$I$88,3,0)*VLOOKUP('Données projet'!$B$9,Paramètres!$A$1:$I$88,5,0)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378.13552372917843</v>
      </c>
      <c r="T152" s="62">
        <f t="shared" si="142"/>
        <v>528.97123645404952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37.847572473860851</v>
      </c>
      <c r="AA152" s="23">
        <f>EXP(-LN(2)/25)*AA151+(1-EXP(-LN(2)/25))/(LN(2)/25)*Calculateur!V152*Calculateur!X152*VLOOKUP('Données projet'!$B$9,Paramètres!$A$1:$I$88,3,0)*0.475*44/12</f>
        <v>9.297242168061441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47.144814641922295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6.7</v>
      </c>
      <c r="AI152" s="14">
        <f>IF('Données projet'!$A$62&gt;35,AI151+AH152-AQ151,IF(A152&lt;'Données projet'!$A$62,$AF$205^A152,IF(A152='Données projet'!$A$62,'Données projet'!$B$62,AI151+AH152-AQ151)))</f>
        <v>411.30000000000024</v>
      </c>
      <c r="AJ152" s="14">
        <f>AI152*VLOOKUP('Données projet'!$B$10,Paramètres!$A$1:$I$88,3,0)*VLOOKUP('Données projet'!$B$10,Paramètres!$A$1:$I$88,5,0)</f>
        <v>372.1442400000002</v>
      </c>
      <c r="AK152" s="14">
        <f t="shared" si="143"/>
        <v>86.105832660760498</v>
      </c>
      <c r="AL152" s="22">
        <f t="shared" si="112"/>
        <v>798.11887655082489</v>
      </c>
      <c r="AM152" s="62">
        <f t="shared" si="113"/>
        <v>1084.6946706241179</v>
      </c>
      <c r="AN152" s="62">
        <f ca="1">AVERAGE(OFFSET($AM$3,0,0,'Données projet'!$E$10+1,1))-AVERAGE(OFFSET($H$3,0,0,'Données projet'!$E$10+1,1))</f>
        <v>536.3707066106856</v>
      </c>
      <c r="AO152" s="62">
        <f t="shared" si="144"/>
        <v>217.6280015974086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37.532281567202524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37.532281567202524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302.3</v>
      </c>
      <c r="BE152" s="14">
        <f>BD152*VLOOKUP('Données projet'!$B$11,Paramètres!$A$1:$I$88,3,0)*VLOOKUP('Données projet'!$B$11,Paramètres!$A$1:$I$88,5,0)</f>
        <v>180.77540000000005</v>
      </c>
      <c r="BF152" s="14">
        <f t="shared" si="145"/>
        <v>45.494655198846154</v>
      </c>
      <c r="BG152" s="22">
        <f t="shared" si="115"/>
        <v>394.08701280465715</v>
      </c>
      <c r="BH152" s="62">
        <f t="shared" si="116"/>
        <v>680.66280687795029</v>
      </c>
      <c r="BI152" s="62">
        <f ca="1">AVERAGE(OFFSET($BH$3,0,0,'Données projet'!$E$11+1,1))-AVERAGE(OFFSET($H$3,0,0,'Données projet'!$E$11+1,1))</f>
        <v>248.66193174773525</v>
      </c>
      <c r="BJ152" s="62">
        <f t="shared" si="146"/>
        <v>249.61655682981151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3.5595151902487325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1.6686181091619464E-13</v>
      </c>
      <c r="BS152" s="24">
        <f t="shared" si="117"/>
        <v>3.5595151902488995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860.00000000000023</v>
      </c>
      <c r="BZ152" s="14">
        <f>BY152*VLOOKUP('Données projet'!$B$12,Paramètres!$A$1:$I$88,3,0)*VLOOKUP('Données projet'!$B$12,Paramètres!$A$1:$I$88,5,0)</f>
        <v>346.5800000000001</v>
      </c>
      <c r="CA152" s="14">
        <f t="shared" si="147"/>
        <v>80.857895771535127</v>
      </c>
      <c r="CB152" s="22">
        <f t="shared" si="118"/>
        <v>744.45433513542378</v>
      </c>
      <c r="CC152" s="62">
        <f t="shared" si="119"/>
        <v>1031.030129208717</v>
      </c>
      <c r="CD152" s="62">
        <f ca="1">AVERAGE(OFFSET($CC$3,0,0,'Données projet'!$E$12+1,1))-AVERAGE(OFFSET($H$3,0,0,'Données projet'!$E$12+1,1))</f>
        <v>432.59662347701629</v>
      </c>
      <c r="CE152" s="62">
        <f t="shared" si="148"/>
        <v>348.67401091099748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16.03441331058761</v>
      </c>
      <c r="CL152" s="23">
        <f>EXP(-LN(2)/25)*CL151+(1-EXP(-LN(2)/25))/(LN(2)/25)*Calculateur!CG152*Calculateur!CI152*VLOOKUP('Données projet'!$B$12,Paramètres!$A$1:$I$88,3,0)*0.475*44/12</f>
        <v>10.264500878456504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26.298914189044112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1099.9999999999998</v>
      </c>
      <c r="CU152" s="18">
        <f>CT152*VLOOKUP('Données projet'!$B$13,Paramètres!$A$1:$I$88,3,0)*VLOOKUP('Données projet'!$B$13,Paramètres!$A$1:$I$88,5,0)</f>
        <v>486.19999999999993</v>
      </c>
      <c r="CV152" s="14">
        <f t="shared" si="149"/>
        <v>109.0490179035375</v>
      </c>
      <c r="CW152" s="22">
        <f t="shared" si="121"/>
        <v>1036.725372848661</v>
      </c>
      <c r="CX152" s="62">
        <f t="shared" si="122"/>
        <v>1323.3011669219541</v>
      </c>
      <c r="CY152" s="62">
        <f ca="1">AVERAGE(OFFSET($CX$3,0,0,'Données projet'!$E$13+1,1))-AVERAGE(OFFSET($H$3,0,0,'Données projet'!$E$13+1,1))</f>
        <v>582.26951914082088</v>
      </c>
      <c r="CZ152" s="62">
        <f t="shared" si="150"/>
        <v>434.80429932654715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16.156893858369344</v>
      </c>
      <c r="DG152" s="23">
        <f>EXP(-LN(2)/25)*DG151+(1-EXP(-LN(2)/25))/(LN(2)/25)*Calculateur!DB152*Calculateur!DD152*VLOOKUP('Données projet'!$B$13,Paramètres!$A$1:$I$88,3,0)*0.475*44/12</f>
        <v>9.2234530135060471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25.380346871875389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498.99999999999955</v>
      </c>
      <c r="DP152" s="18">
        <f>DO152*VLOOKUP('Données projet'!$B$14,Paramètres!$A$1:$I$88,3,0)*VLOOKUP('Données projet'!$B$14,Paramètres!$A$1:$I$88,5,0)</f>
        <v>240.01899999999978</v>
      </c>
      <c r="DQ152" s="14">
        <f t="shared" si="151"/>
        <v>58.443618405936313</v>
      </c>
      <c r="DR152" s="22">
        <f t="shared" si="124"/>
        <v>519.82239372367201</v>
      </c>
      <c r="DS152" s="62">
        <f t="shared" si="125"/>
        <v>806.39818779696509</v>
      </c>
      <c r="DT152" s="62">
        <f ca="1">AVERAGE(OFFSET($DS$3,0,0,'Données projet'!$E$14+1,1))-AVERAGE(OFFSET($H$3,0,0,'Données projet'!$E$14+1,1))</f>
        <v>273.24375559399846</v>
      </c>
      <c r="DU152" s="62">
        <f t="shared" si="152"/>
        <v>270.77718895097848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projet'!$B$14,Paramètres!$A$1:$I$88,3,0)*0.475*44/12</f>
        <v>8.2505953423912359</v>
      </c>
      <c r="EB152" s="23">
        <f>EXP(-LN(2)/25)*EB151+(1-EXP(-LN(2)/25))/(LN(2)/25)*Calculateur!DW152*Calculateur!DY152*VLOOKUP('Données projet'!$B$14,Paramètres!$A$1:$I$88,3,0)*0.475*44/12</f>
        <v>4.498585568612131</v>
      </c>
      <c r="EC152" s="23">
        <f>EXP(-LN(2)/2)*EC151+(1-EXP(-LN(2)/2))/(LN(2)/2)*DW152*DZ152*VLOOKUP('Données projet'!$B$14,Paramètres!$A$1:$I$88,3,0)*0.475*44/12</f>
        <v>0</v>
      </c>
      <c r="ED152" s="24">
        <f t="shared" si="126"/>
        <v>12.749180911003368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498.99999999999955</v>
      </c>
      <c r="EK152" s="18">
        <f>EJ152*VLOOKUP('Données projet'!$B$15,Paramètres!$A$1:$I$88,3,0)*VLOOKUP('Données projet'!$B$15,Paramètres!$A$1:$I$88,5,0)</f>
        <v>233.53199999999975</v>
      </c>
      <c r="EL152" s="14">
        <f t="shared" si="153"/>
        <v>57.04570382109803</v>
      </c>
      <c r="EM152" s="22">
        <f t="shared" si="127"/>
        <v>506.08950082174533</v>
      </c>
      <c r="EN152" s="62">
        <f t="shared" si="128"/>
        <v>792.66529489503841</v>
      </c>
      <c r="EO152" s="62">
        <f ca="1">AVERAGE(OFFSET($EN$3,0,0,'Données projet'!$E$15+1,1))-AVERAGE(OFFSET($H$3,0,0,'Données projet'!$E$15+1,1))</f>
        <v>267.26203506406682</v>
      </c>
      <c r="EP152" s="62">
        <f t="shared" si="154"/>
        <v>265.10857635664843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projet'!$B$15,Paramètres!$A$1:$I$88,3,0)*0.475*44/12</f>
        <v>8.0276062790833578</v>
      </c>
      <c r="EW152" s="23">
        <f>EXP(-LN(2)/25)*EW151+(1-EXP(-LN(2)/25))/(LN(2)/25)*Calculateur!ER152*Calculateur!ET152*VLOOKUP('Données projet'!$B$15,Paramètres!$A$1:$I$88,3,0)*0.475*44/12</f>
        <v>4.3770021748658543</v>
      </c>
      <c r="EX152" s="23">
        <f>EXP(-LN(2)/2)*EX151+(1-EXP(-LN(2)/2))/(LN(2)/2)*ER152*EU152*VLOOKUP('Données projet'!$B$15,Paramètres!$A$1:$I$88,3,0)*0.475*44/12</f>
        <v>0</v>
      </c>
      <c r="EY152" s="24">
        <f t="shared" si="129"/>
        <v>12.404608453949212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231</v>
      </c>
      <c r="FF152" s="18">
        <f>FE152*VLOOKUP('Données projet'!$B$16,Paramètres!$A$1:$I$88,3,0)*VLOOKUP('Données projet'!$B$16,Paramètres!$A$1:$I$88,5,0)</f>
        <v>169.36920000000001</v>
      </c>
      <c r="FG152" s="14">
        <f t="shared" si="155"/>
        <v>42.948714817158674</v>
      </c>
      <c r="FH152" s="22">
        <f t="shared" si="130"/>
        <v>369.787034973218</v>
      </c>
      <c r="FI152" s="62">
        <f t="shared" si="131"/>
        <v>656.36282904651102</v>
      </c>
      <c r="FJ152" s="62">
        <f ca="1">AVERAGE(OFFSET($FI$3,0,0,'Données projet'!$E$16+1,1))-AVERAGE(OFFSET($H$3,0,0,'Données projet'!$E$16+1,1))</f>
        <v>207.66160354686221</v>
      </c>
      <c r="FK152" s="62">
        <f t="shared" si="156"/>
        <v>260.45879589483525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projet'!$B$16,Paramètres!$A$1:$I$88,3,0)*0.475*44/12</f>
        <v>0.49042838684523443</v>
      </c>
      <c r="FR152" s="23">
        <f>EXP(-LN(2)/25)*FR151+(1-EXP(-LN(2)/25))/(LN(2)/25)*Calculateur!FM152*Calculateur!FO152*VLOOKUP('Données projet'!$B$16,Paramètres!$A$1:$I$88,3,0)*0.475*44/12</f>
        <v>0</v>
      </c>
      <c r="FS152" s="23">
        <f>EXP(-LN(2)/2)*FS151+(1-EXP(-LN(2)/2))/(LN(2)/2)*FM152*FP152*VLOOKUP('Données projet'!$B$16,Paramètres!$A$1:$I$88,3,0)*0.475*44/12</f>
        <v>0</v>
      </c>
      <c r="FT152" s="24">
        <f t="shared" si="132"/>
        <v>0.49042838684523443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projet'!$B$9,Paramètres!$A$1:$I$88,3,0)*VLOOKUP('Données projet'!$B$9,Paramètres!$A$1:$I$88,5,0)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378.13552372917843</v>
      </c>
      <c r="T153" s="62">
        <f t="shared" si="142"/>
        <v>528.97123645404952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37.105404662388217</v>
      </c>
      <c r="AA153" s="23">
        <f>EXP(-LN(2)/25)*AA152+(1-EXP(-LN(2)/25))/(LN(2)/25)*Calculateur!V153*Calculateur!X153*VLOOKUP('Données projet'!$B$9,Paramètres!$A$1:$I$88,3,0)*0.475*44/12</f>
        <v>9.0430085920550844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46.148413254443298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418</v>
      </c>
      <c r="AG153" s="13">
        <f>VLOOKUP(A153,'Données projet'!$A$61:$I$81,9,0)</f>
        <v>6.7</v>
      </c>
      <c r="AH153" s="13">
        <f t="array" ref="AH153">INDEX(AG:AG,MIN(IF(ISNUMBER(AG153:AG349),ROW(AG153:AG349),"")))</f>
        <v>6.7</v>
      </c>
      <c r="AI153" s="14">
        <f>IF('Données projet'!$A$62&gt;35,AI152+AH153-AQ152,IF(A153&lt;'Données projet'!$A$62,$AF$205^A153,IF(A153='Données projet'!$A$62,'Données projet'!$B$62,AI152+AH153-AQ152)))</f>
        <v>418.00000000000023</v>
      </c>
      <c r="AJ153" s="14">
        <f>AI153*VLOOKUP('Données projet'!$B$10,Paramètres!$A$1:$I$88,3,0)*VLOOKUP('Données projet'!$B$10,Paramètres!$A$1:$I$88,5,0)</f>
        <v>378.2064000000002</v>
      </c>
      <c r="AK153" s="14">
        <f t="shared" si="143"/>
        <v>87.344044386994014</v>
      </c>
      <c r="AL153" s="22">
        <f t="shared" si="112"/>
        <v>810.83369064068154</v>
      </c>
      <c r="AM153" s="62">
        <f t="shared" si="113"/>
        <v>1097.5267129125418</v>
      </c>
      <c r="AN153" s="62">
        <f ca="1">AVERAGE(OFFSET($AM$3,0,0,'Données projet'!$E$10+1,1))-AVERAGE(OFFSET($H$3,0,0,'Données projet'!$E$10+1,1))</f>
        <v>536.3707066106856</v>
      </c>
      <c r="AO153" s="62">
        <f t="shared" si="144"/>
        <v>217.6280015974086</v>
      </c>
      <c r="AP153" s="16">
        <f>IF(ISNA(VLOOKUP(A153,'Données projet'!$A$61:$I$81,3,0)),0,VLOOKUP(A153,'Données projet'!$A$61:$I$81,3,0))</f>
        <v>17</v>
      </c>
      <c r="AQ153" s="16">
        <f>IF(ISNA(VLOOKUP(A153,'Données projet'!$A$61:$I$81,4,0)),0,VLOOKUP(A153,'Données projet'!$A$61:$I$81,4,0))</f>
        <v>47</v>
      </c>
      <c r="AR153" s="17">
        <f>IF(ISNA(VLOOKUP(A153,'Données projet'!$A$61:$I$81,5,0)),0%,VLOOKUP(A153,'Données projet'!$A$61:$I$81,5,0)*VLOOKUP('Données projet'!$B$10,Paramètres!$A$1:$I$88,7,0))</f>
        <v>0.25800000000000001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48.925080540442536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48.925080540442536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302.3</v>
      </c>
      <c r="BE153" s="14">
        <f>BD153*VLOOKUP('Données projet'!$B$11,Paramètres!$A$1:$I$88,3,0)*VLOOKUP('Données projet'!$B$11,Paramètres!$A$1:$I$88,5,0)</f>
        <v>180.77540000000005</v>
      </c>
      <c r="BF153" s="14">
        <f t="shared" si="145"/>
        <v>45.494655198846154</v>
      </c>
      <c r="BG153" s="22">
        <f t="shared" si="115"/>
        <v>394.08701280465715</v>
      </c>
      <c r="BH153" s="62">
        <f t="shared" si="116"/>
        <v>680.78003507651749</v>
      </c>
      <c r="BI153" s="62">
        <f ca="1">AVERAGE(OFFSET($BH$3,0,0,'Données projet'!$E$11+1,1))-AVERAGE(OFFSET($H$3,0,0,'Données projet'!$E$11+1,1))</f>
        <v>248.66193174773525</v>
      </c>
      <c r="BJ153" s="62">
        <f t="shared" si="146"/>
        <v>249.61655682981151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3.4897152684578434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1.1798911801990871E-13</v>
      </c>
      <c r="BS153" s="24">
        <f t="shared" si="117"/>
        <v>3.4897152684579615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860.00000000000023</v>
      </c>
      <c r="BZ153" s="14">
        <f>BY153*VLOOKUP('Données projet'!$B$12,Paramètres!$A$1:$I$88,3,0)*VLOOKUP('Données projet'!$B$12,Paramètres!$A$1:$I$88,5,0)</f>
        <v>346.5800000000001</v>
      </c>
      <c r="CA153" s="14">
        <f t="shared" si="147"/>
        <v>80.857895771535127</v>
      </c>
      <c r="CB153" s="22">
        <f t="shared" si="118"/>
        <v>744.45433513542378</v>
      </c>
      <c r="CC153" s="62">
        <f t="shared" si="119"/>
        <v>1031.1473574072841</v>
      </c>
      <c r="CD153" s="62">
        <f ca="1">AVERAGE(OFFSET($CC$3,0,0,'Données projet'!$E$12+1,1))-AVERAGE(OFFSET($H$3,0,0,'Données projet'!$E$12+1,1))</f>
        <v>432.59662347701629</v>
      </c>
      <c r="CE153" s="62">
        <f t="shared" si="148"/>
        <v>348.67401091099748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15.719988245593409</v>
      </c>
      <c r="CL153" s="23">
        <f>EXP(-LN(2)/25)*CL152+(1-EXP(-LN(2)/25))/(LN(2)/25)*Calculateur!CG153*Calculateur!CI153*VLOOKUP('Données projet'!$B$12,Paramètres!$A$1:$I$88,3,0)*0.475*44/12</f>
        <v>9.9838175621484702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25.70380580774188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1099.9999999999998</v>
      </c>
      <c r="CU153" s="18">
        <f>CT153*VLOOKUP('Données projet'!$B$13,Paramètres!$A$1:$I$88,3,0)*VLOOKUP('Données projet'!$B$13,Paramètres!$A$1:$I$88,5,0)</f>
        <v>486.19999999999993</v>
      </c>
      <c r="CV153" s="14">
        <f t="shared" si="149"/>
        <v>109.0490179035375</v>
      </c>
      <c r="CW153" s="22">
        <f t="shared" si="121"/>
        <v>1036.725372848661</v>
      </c>
      <c r="CX153" s="62">
        <f t="shared" si="122"/>
        <v>1323.4183951205214</v>
      </c>
      <c r="CY153" s="62">
        <f ca="1">AVERAGE(OFFSET($CX$3,0,0,'Données projet'!$E$13+1,1))-AVERAGE(OFFSET($H$3,0,0,'Données projet'!$E$13+1,1))</f>
        <v>582.26951914082088</v>
      </c>
      <c r="CZ153" s="62">
        <f t="shared" si="150"/>
        <v>434.80429932654715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15.8400670245389</v>
      </c>
      <c r="DG153" s="23">
        <f>EXP(-LN(2)/25)*DG152+(1-EXP(-LN(2)/25))/(LN(2)/25)*Calculateur!DB153*Calculateur!DD153*VLOOKUP('Données projet'!$B$13,Paramètres!$A$1:$I$88,3,0)*0.475*44/12</f>
        <v>8.9712372058114109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24.811304230350309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498.99999999999955</v>
      </c>
      <c r="DP153" s="18">
        <f>DO153*VLOOKUP('Données projet'!$B$14,Paramètres!$A$1:$I$88,3,0)*VLOOKUP('Données projet'!$B$14,Paramètres!$A$1:$I$88,5,0)</f>
        <v>240.01899999999978</v>
      </c>
      <c r="DQ153" s="14">
        <f t="shared" si="151"/>
        <v>58.443618405936313</v>
      </c>
      <c r="DR153" s="22">
        <f t="shared" si="124"/>
        <v>519.82239372367201</v>
      </c>
      <c r="DS153" s="62">
        <f t="shared" si="125"/>
        <v>806.51541599553229</v>
      </c>
      <c r="DT153" s="62">
        <f ca="1">AVERAGE(OFFSET($DS$3,0,0,'Données projet'!$E$14+1,1))-AVERAGE(OFFSET($H$3,0,0,'Données projet'!$E$14+1,1))</f>
        <v>273.24375559399846</v>
      </c>
      <c r="DU153" s="62">
        <f t="shared" si="152"/>
        <v>270.77718895097848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projet'!$B$14,Paramètres!$A$1:$I$88,3,0)*0.475*44/12</f>
        <v>8.0888062000931971</v>
      </c>
      <c r="EB153" s="23">
        <f>EXP(-LN(2)/25)*EB152+(1-EXP(-LN(2)/25))/(LN(2)/25)*Calculateur!DW153*Calculateur!DY153*VLOOKUP('Données projet'!$B$14,Paramètres!$A$1:$I$88,3,0)*0.475*44/12</f>
        <v>4.3755715096680987</v>
      </c>
      <c r="EC153" s="23">
        <f>EXP(-LN(2)/2)*EC152+(1-EXP(-LN(2)/2))/(LN(2)/2)*DW153*DZ153*VLOOKUP('Données projet'!$B$14,Paramètres!$A$1:$I$88,3,0)*0.475*44/12</f>
        <v>0</v>
      </c>
      <c r="ED153" s="24">
        <f t="shared" si="126"/>
        <v>12.464377709761296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498.99999999999955</v>
      </c>
      <c r="EK153" s="18">
        <f>EJ153*VLOOKUP('Données projet'!$B$15,Paramètres!$A$1:$I$88,3,0)*VLOOKUP('Données projet'!$B$15,Paramètres!$A$1:$I$88,5,0)</f>
        <v>233.53199999999975</v>
      </c>
      <c r="EL153" s="14">
        <f t="shared" si="153"/>
        <v>57.04570382109803</v>
      </c>
      <c r="EM153" s="22">
        <f t="shared" si="127"/>
        <v>506.08950082174533</v>
      </c>
      <c r="EN153" s="62">
        <f t="shared" si="128"/>
        <v>792.78252309360573</v>
      </c>
      <c r="EO153" s="62">
        <f ca="1">AVERAGE(OFFSET($EN$3,0,0,'Données projet'!$E$15+1,1))-AVERAGE(OFFSET($H$3,0,0,'Données projet'!$E$15+1,1))</f>
        <v>267.26203506406682</v>
      </c>
      <c r="EP153" s="62">
        <f t="shared" si="154"/>
        <v>265.10857635664843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projet'!$B$15,Paramètres!$A$1:$I$88,3,0)*0.475*44/12</f>
        <v>7.8701898163068886</v>
      </c>
      <c r="EW153" s="23">
        <f>EXP(-LN(2)/25)*EW152+(1-EXP(-LN(2)/25))/(LN(2)/25)*Calculateur!ER153*Calculateur!ET153*VLOOKUP('Données projet'!$B$15,Paramètres!$A$1:$I$88,3,0)*0.475*44/12</f>
        <v>4.2573128202176065</v>
      </c>
      <c r="EX153" s="23">
        <f>EXP(-LN(2)/2)*EX152+(1-EXP(-LN(2)/2))/(LN(2)/2)*ER153*EU153*VLOOKUP('Données projet'!$B$15,Paramètres!$A$1:$I$88,3,0)*0.475*44/12</f>
        <v>0</v>
      </c>
      <c r="EY153" s="24">
        <f t="shared" si="129"/>
        <v>12.127502636524495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231</v>
      </c>
      <c r="FF153" s="18">
        <f>FE153*VLOOKUP('Données projet'!$B$16,Paramètres!$A$1:$I$88,3,0)*VLOOKUP('Données projet'!$B$16,Paramètres!$A$1:$I$88,5,0)</f>
        <v>169.36920000000001</v>
      </c>
      <c r="FG153" s="14">
        <f t="shared" si="155"/>
        <v>42.948714817158674</v>
      </c>
      <c r="FH153" s="22">
        <f t="shared" si="130"/>
        <v>369.787034973218</v>
      </c>
      <c r="FI153" s="62">
        <f t="shared" si="131"/>
        <v>656.48005724507834</v>
      </c>
      <c r="FJ153" s="62">
        <f ca="1">AVERAGE(OFFSET($FI$3,0,0,'Données projet'!$E$16+1,1))-AVERAGE(OFFSET($H$3,0,0,'Données projet'!$E$16+1,1))</f>
        <v>207.66160354686221</v>
      </c>
      <c r="FK153" s="62">
        <f t="shared" si="156"/>
        <v>260.45879589483525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projet'!$B$16,Paramètres!$A$1:$I$88,3,0)*0.475*44/12</f>
        <v>0.48081138531097856</v>
      </c>
      <c r="FR153" s="23">
        <f>EXP(-LN(2)/25)*FR152+(1-EXP(-LN(2)/25))/(LN(2)/25)*Calculateur!FM153*Calculateur!FO153*VLOOKUP('Données projet'!$B$16,Paramètres!$A$1:$I$88,3,0)*0.475*44/12</f>
        <v>0</v>
      </c>
      <c r="FS153" s="23">
        <f>EXP(-LN(2)/2)*FS152+(1-EXP(-LN(2)/2))/(LN(2)/2)*FM153*FP153*VLOOKUP('Données projet'!$B$16,Paramètres!$A$1:$I$88,3,0)*0.475*44/12</f>
        <v>0</v>
      </c>
      <c r="FT153" s="24">
        <f t="shared" si="132"/>
        <v>0.48081138531097856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projet'!$B$9,Paramètres!$A$1:$I$88,3,0)*VLOOKUP('Données projet'!$B$9,Paramètres!$A$1:$I$88,5,0)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378.13552372917843</v>
      </c>
      <c r="T154" s="62">
        <f t="shared" si="142"/>
        <v>528.97123645404952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36.377790309020895</v>
      </c>
      <c r="AA154" s="23">
        <f>EXP(-LN(2)/25)*AA153+(1-EXP(-LN(2)/25))/(LN(2)/25)*Calculateur!V154*Calculateur!X154*VLOOKUP('Données projet'!$B$9,Paramètres!$A$1:$I$88,3,0)*0.475*44/12</f>
        <v>8.7957270465541839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45.173517355575079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6.8</v>
      </c>
      <c r="AI154" s="14">
        <f>IF('Données projet'!$A$62&gt;35,AI153+AH154-AQ153,IF(A154&lt;'Données projet'!$A$62,$AF$205^A154,IF(A154='Données projet'!$A$62,'Données projet'!$B$62,AI153+AH154-AQ153)))</f>
        <v>377.80000000000024</v>
      </c>
      <c r="AJ154" s="14">
        <f>AI154*VLOOKUP('Données projet'!$B$10,Paramètres!$A$1:$I$88,3,0)*VLOOKUP('Données projet'!$B$10,Paramètres!$A$1:$I$88,5,0)</f>
        <v>341.83344000000022</v>
      </c>
      <c r="AK154" s="14">
        <f t="shared" ref="AK154:AK203" si="164">EXP(-1.0587+0.8836*LN(AJ154)+0.284)</f>
        <v>79.878628088461682</v>
      </c>
      <c r="AL154" s="22">
        <f t="shared" ref="AL154:AL203" si="165">(AJ154+AK154)*0.475*44/12</f>
        <v>734.48185192073788</v>
      </c>
      <c r="AM154" s="62">
        <f t="shared" si="113"/>
        <v>1021.2900687440033</v>
      </c>
      <c r="AN154" s="62">
        <f ca="1">AVERAGE(OFFSET($AM$3,0,0,'Données projet'!$E$10+1,1))-AVERAGE(OFFSET($H$3,0,0,'Données projet'!$E$10+1,1))</f>
        <v>536.3707066106856</v>
      </c>
      <c r="AO154" s="62">
        <f t="shared" si="144"/>
        <v>217.6280015974086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47.965689552397002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47.965689552397002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302.3</v>
      </c>
      <c r="BE154" s="14">
        <f>BD154*VLOOKUP('Données projet'!$B$11,Paramètres!$A$1:$I$88,3,0)*VLOOKUP('Données projet'!$B$11,Paramètres!$A$1:$I$88,5,0)</f>
        <v>180.77540000000005</v>
      </c>
      <c r="BF154" s="14">
        <f t="shared" ref="BF154:BF203" si="167">EXP(-1.0587+0.8836*LN(BE154)+0.284)</f>
        <v>45.494655198846154</v>
      </c>
      <c r="BG154" s="22">
        <f t="shared" ref="BG154:BG203" si="168">(BE154+BF154)*0.475*44/12</f>
        <v>394.08701280465715</v>
      </c>
      <c r="BH154" s="62">
        <f t="shared" si="116"/>
        <v>680.8952296279225</v>
      </c>
      <c r="BI154" s="62">
        <f ca="1">AVERAGE(OFFSET($BH$3,0,0,'Données projet'!$E$11+1,1))-AVERAGE(OFFSET($H$3,0,0,'Données projet'!$E$11+1,1))</f>
        <v>248.66193174773525</v>
      </c>
      <c r="BJ154" s="62">
        <f t="shared" si="146"/>
        <v>249.61655682981151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3.4212840805595253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8.343090545809732E-14</v>
      </c>
      <c r="BS154" s="24">
        <f t="shared" ref="BS154:BS203" si="169">SUM(BP154:BR154)</f>
        <v>3.4212840805596088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860.00000000000023</v>
      </c>
      <c r="BZ154" s="14">
        <f>BY154*VLOOKUP('Données projet'!$B$12,Paramètres!$A$1:$I$88,3,0)*VLOOKUP('Données projet'!$B$12,Paramètres!$A$1:$I$88,5,0)</f>
        <v>346.5800000000001</v>
      </c>
      <c r="CA154" s="14">
        <f t="shared" ref="CA154:CA203" si="170">EXP(-1.0587+0.8836*LN(BZ154)+0.284)</f>
        <v>80.857895771535127</v>
      </c>
      <c r="CB154" s="22">
        <f t="shared" ref="CB154:CB203" si="171">(BZ154+CA154)*0.475*44/12</f>
        <v>744.45433513542378</v>
      </c>
      <c r="CC154" s="62">
        <f t="shared" si="119"/>
        <v>1031.2625519586891</v>
      </c>
      <c r="CD154" s="62">
        <f ca="1">AVERAGE(OFFSET($CC$3,0,0,'Données projet'!$E$12+1,1))-AVERAGE(OFFSET($H$3,0,0,'Données projet'!$E$12+1,1))</f>
        <v>432.59662347701629</v>
      </c>
      <c r="CE154" s="62">
        <f t="shared" si="148"/>
        <v>348.67401091099748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15.411728864343392</v>
      </c>
      <c r="CL154" s="23">
        <f>EXP(-LN(2)/25)*CL153+(1-EXP(-LN(2)/25))/(LN(2)/25)*Calculateur!CG154*Calculateur!CI154*VLOOKUP('Données projet'!$B$12,Paramètres!$A$1:$I$88,3,0)*0.475*44/12</f>
        <v>9.7108095458853736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25.122538410228763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1099.9999999999998</v>
      </c>
      <c r="CU154" s="18">
        <f>CT154*VLOOKUP('Données projet'!$B$13,Paramètres!$A$1:$I$88,3,0)*VLOOKUP('Données projet'!$B$13,Paramètres!$A$1:$I$88,5,0)</f>
        <v>486.19999999999993</v>
      </c>
      <c r="CV154" s="14">
        <f t="shared" ref="CV154:CV203" si="173">EXP(-1.0587+0.8836*LN(CU154)+0.284)</f>
        <v>109.0490179035375</v>
      </c>
      <c r="CW154" s="22">
        <f t="shared" ref="CW154:CW203" si="174">(CU154+CV154)*0.475*44/12</f>
        <v>1036.725372848661</v>
      </c>
      <c r="CX154" s="62">
        <f t="shared" si="122"/>
        <v>1323.5335896719264</v>
      </c>
      <c r="CY154" s="62">
        <f ca="1">AVERAGE(OFFSET($CX$3,0,0,'Données projet'!$E$13+1,1))-AVERAGE(OFFSET($H$3,0,0,'Données projet'!$E$13+1,1))</f>
        <v>582.26951914082088</v>
      </c>
      <c r="CZ154" s="62">
        <f t="shared" si="150"/>
        <v>434.80429932654715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15.529452971674585</v>
      </c>
      <c r="DG154" s="23">
        <f>EXP(-LN(2)/25)*DG153+(1-EXP(-LN(2)/25))/(LN(2)/25)*Calculateur!DB154*Calculateur!DD154*VLOOKUP('Données projet'!$B$13,Paramètres!$A$1:$I$88,3,0)*0.475*44/12</f>
        <v>8.7259182526416375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24.255371224316221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498.99999999999955</v>
      </c>
      <c r="DP154" s="18">
        <f>DO154*VLOOKUP('Données projet'!$B$14,Paramètres!$A$1:$I$88,3,0)*VLOOKUP('Données projet'!$B$14,Paramètres!$A$1:$I$88,5,0)</f>
        <v>240.01899999999978</v>
      </c>
      <c r="DQ154" s="14">
        <f t="shared" ref="DQ154:DQ203" si="176">EXP(-1.0587+0.8836*LN(DP154)+0.284)</f>
        <v>58.443618405936313</v>
      </c>
      <c r="DR154" s="22">
        <f t="shared" ref="DR154:DR203" si="177">(DP154+DQ154)*0.475*44/12</f>
        <v>519.82239372367201</v>
      </c>
      <c r="DS154" s="62">
        <f t="shared" si="125"/>
        <v>806.63061054693731</v>
      </c>
      <c r="DT154" s="62">
        <f ca="1">AVERAGE(OFFSET($DS$3,0,0,'Données projet'!$E$14+1,1))-AVERAGE(OFFSET($H$3,0,0,'Données projet'!$E$14+1,1))</f>
        <v>273.24375559399846</v>
      </c>
      <c r="DU154" s="62">
        <f t="shared" si="152"/>
        <v>270.77718895097848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projet'!$B$14,Paramètres!$A$1:$I$88,3,0)*0.475*44/12</f>
        <v>7.930189644193991</v>
      </c>
      <c r="EB154" s="23">
        <f>EXP(-LN(2)/25)*EB153+(1-EXP(-LN(2)/25))/(LN(2)/25)*Calculateur!DW154*Calculateur!DY154*VLOOKUP('Données projet'!$B$14,Paramètres!$A$1:$I$88,3,0)*0.475*44/12</f>
        <v>4.2559212766349193</v>
      </c>
      <c r="EC154" s="23">
        <f>EXP(-LN(2)/2)*EC153+(1-EXP(-LN(2)/2))/(LN(2)/2)*DW154*DZ154*VLOOKUP('Données projet'!$B$14,Paramètres!$A$1:$I$88,3,0)*0.475*44/12</f>
        <v>0</v>
      </c>
      <c r="ED154" s="24">
        <f t="shared" ref="ED154:ED203" si="178">SUM(EA154:EC154)</f>
        <v>12.186110920828909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498.99999999999955</v>
      </c>
      <c r="EK154" s="18">
        <f>EJ154*VLOOKUP('Données projet'!$B$15,Paramètres!$A$1:$I$88,3,0)*VLOOKUP('Données projet'!$B$15,Paramètres!$A$1:$I$88,5,0)</f>
        <v>233.53199999999975</v>
      </c>
      <c r="EL154" s="14">
        <f t="shared" ref="EL154:EL203" si="179">EXP(-1.0587+0.8836*LN(EK154)+0.284)</f>
        <v>57.04570382109803</v>
      </c>
      <c r="EM154" s="22">
        <f t="shared" ref="EM154:EM203" si="180">(EK154+EL154)*0.475*44/12</f>
        <v>506.08950082174533</v>
      </c>
      <c r="EN154" s="62">
        <f t="shared" si="128"/>
        <v>792.89771764501074</v>
      </c>
      <c r="EO154" s="62">
        <f ca="1">AVERAGE(OFFSET($EN$3,0,0,'Données projet'!$E$15+1,1))-AVERAGE(OFFSET($H$3,0,0,'Données projet'!$E$15+1,1))</f>
        <v>267.26203506406682</v>
      </c>
      <c r="EP154" s="62">
        <f t="shared" si="154"/>
        <v>265.10857635664843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projet'!$B$15,Paramètres!$A$1:$I$88,3,0)*0.475*44/12</f>
        <v>7.7158601943509044</v>
      </c>
      <c r="EW154" s="23">
        <f>EXP(-LN(2)/25)*EW153+(1-EXP(-LN(2)/25))/(LN(2)/25)*Calculateur!ER154*Calculateur!ET154*VLOOKUP('Données projet'!$B$15,Paramètres!$A$1:$I$88,3,0)*0.475*44/12</f>
        <v>4.1408963772664054</v>
      </c>
      <c r="EX154" s="23">
        <f>EXP(-LN(2)/2)*EX153+(1-EXP(-LN(2)/2))/(LN(2)/2)*ER154*EU154*VLOOKUP('Données projet'!$B$15,Paramètres!$A$1:$I$88,3,0)*0.475*44/12</f>
        <v>0</v>
      </c>
      <c r="EY154" s="24">
        <f t="shared" ref="EY154:EY203" si="181">SUM(EV154:EX154)</f>
        <v>11.856756571617311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231</v>
      </c>
      <c r="FF154" s="18">
        <f>FE154*VLOOKUP('Données projet'!$B$16,Paramètres!$A$1:$I$88,3,0)*VLOOKUP('Données projet'!$B$16,Paramètres!$A$1:$I$88,5,0)</f>
        <v>169.36920000000001</v>
      </c>
      <c r="FG154" s="14">
        <f t="shared" ref="FG154:FG203" si="182">EXP(-1.0587+0.8836*LN(FF154)+0.284)</f>
        <v>42.948714817158674</v>
      </c>
      <c r="FH154" s="22">
        <f t="shared" ref="FH154:FH203" si="183">(FF154+FG154)*0.475*44/12</f>
        <v>369.787034973218</v>
      </c>
      <c r="FI154" s="62">
        <f t="shared" si="131"/>
        <v>656.59525179648335</v>
      </c>
      <c r="FJ154" s="62">
        <f ca="1">AVERAGE(OFFSET($FI$3,0,0,'Données projet'!$E$16+1,1))-AVERAGE(OFFSET($H$3,0,0,'Données projet'!$E$16+1,1))</f>
        <v>207.66160354686221</v>
      </c>
      <c r="FK154" s="62">
        <f t="shared" si="156"/>
        <v>260.45879589483525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projet'!$B$16,Paramètres!$A$1:$I$88,3,0)*0.475*44/12</f>
        <v>0.4713829673110177</v>
      </c>
      <c r="FR154" s="23">
        <f>EXP(-LN(2)/25)*FR153+(1-EXP(-LN(2)/25))/(LN(2)/25)*Calculateur!FM154*Calculateur!FO154*VLOOKUP('Données projet'!$B$16,Paramètres!$A$1:$I$88,3,0)*0.475*44/12</f>
        <v>0</v>
      </c>
      <c r="FS154" s="23">
        <f>EXP(-LN(2)/2)*FS153+(1-EXP(-LN(2)/2))/(LN(2)/2)*FM154*FP154*VLOOKUP('Données projet'!$B$16,Paramètres!$A$1:$I$88,3,0)*0.475*44/12</f>
        <v>0</v>
      </c>
      <c r="FT154" s="24">
        <f t="shared" ref="FT154:FT203" si="184">SUM(FQ154:FS154)</f>
        <v>0.4713829673110177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projet'!$B$9,Paramètres!$A$1:$I$88,3,0)*VLOOKUP('Données projet'!$B$9,Paramètres!$A$1:$I$88,5,0)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378.13552372917843</v>
      </c>
      <c r="T155" s="62">
        <f t="shared" si="142"/>
        <v>528.97123645404952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35.664444029322176</v>
      </c>
      <c r="AA155" s="23">
        <f>EXP(-LN(2)/25)*AA154+(1-EXP(-LN(2)/25))/(LN(2)/25)*Calculateur!V155*Calculateur!X155*VLOOKUP('Données projet'!$B$9,Paramètres!$A$1:$I$88,3,0)*0.475*44/12</f>
        <v>8.5552074279189778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44.219651457241156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6.8</v>
      </c>
      <c r="AI155" s="14">
        <f>IF('Données projet'!$A$62&gt;35,AI154+AH155-AQ154,IF(A155&lt;'Données projet'!$A$62,$AF$205^A155,IF(A155='Données projet'!$A$62,'Données projet'!$B$62,AI154+AH155-AQ154)))</f>
        <v>384.60000000000025</v>
      </c>
      <c r="AJ155" s="14">
        <f>AI155*VLOOKUP('Données projet'!$B$10,Paramètres!$A$1:$I$88,3,0)*VLOOKUP('Données projet'!$B$10,Paramètres!$A$1:$I$88,5,0)</f>
        <v>347.98608000000019</v>
      </c>
      <c r="AK155" s="14">
        <f t="shared" si="164"/>
        <v>81.147685023249053</v>
      </c>
      <c r="AL155" s="22">
        <f t="shared" si="165"/>
        <v>747.40797408215906</v>
      </c>
      <c r="AM155" s="62">
        <f t="shared" si="113"/>
        <v>1034.329387088899</v>
      </c>
      <c r="AN155" s="62">
        <f ca="1">AVERAGE(OFFSET($AM$3,0,0,'Données projet'!$E$10+1,1))-AVERAGE(OFFSET($H$3,0,0,'Données projet'!$E$10+1,1))</f>
        <v>536.3707066106856</v>
      </c>
      <c r="AO155" s="62">
        <f t="shared" si="144"/>
        <v>217.6280015974086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47.025111636456316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47.025111636456316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302.3</v>
      </c>
      <c r="BE155" s="14">
        <f>BD155*VLOOKUP('Données projet'!$B$11,Paramètres!$A$1:$I$88,3,0)*VLOOKUP('Données projet'!$B$11,Paramètres!$A$1:$I$88,5,0)</f>
        <v>180.77540000000005</v>
      </c>
      <c r="BF155" s="14">
        <f t="shared" si="167"/>
        <v>45.494655198846154</v>
      </c>
      <c r="BG155" s="22">
        <f t="shared" si="168"/>
        <v>394.08701280465715</v>
      </c>
      <c r="BH155" s="62">
        <f t="shared" si="116"/>
        <v>681.00842581139705</v>
      </c>
      <c r="BI155" s="62">
        <f ca="1">AVERAGE(OFFSET($BH$3,0,0,'Données projet'!$E$11+1,1))-AVERAGE(OFFSET($H$3,0,0,'Données projet'!$E$11+1,1))</f>
        <v>248.66193174773525</v>
      </c>
      <c r="BJ155" s="62">
        <f t="shared" si="146"/>
        <v>249.61655682981151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3.3541947865169899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5.8994559009954354E-14</v>
      </c>
      <c r="BS155" s="24">
        <f t="shared" si="169"/>
        <v>3.3541947865170489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860.00000000000023</v>
      </c>
      <c r="BZ155" s="14">
        <f>BY155*VLOOKUP('Données projet'!$B$12,Paramètres!$A$1:$I$88,3,0)*VLOOKUP('Données projet'!$B$12,Paramètres!$A$1:$I$88,5,0)</f>
        <v>346.5800000000001</v>
      </c>
      <c r="CA155" s="14">
        <f t="shared" si="170"/>
        <v>80.857895771535127</v>
      </c>
      <c r="CB155" s="22">
        <f t="shared" si="171"/>
        <v>744.45433513542378</v>
      </c>
      <c r="CC155" s="62">
        <f t="shared" si="119"/>
        <v>1031.3757481421637</v>
      </c>
      <c r="CD155" s="62">
        <f ca="1">AVERAGE(OFFSET($CC$3,0,0,'Données projet'!$E$12+1,1))-AVERAGE(OFFSET($H$3,0,0,'Données projet'!$E$12+1,1))</f>
        <v>432.59662347701629</v>
      </c>
      <c r="CE155" s="62">
        <f t="shared" si="148"/>
        <v>348.67401091099748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15.10951426154003</v>
      </c>
      <c r="CL155" s="23">
        <f>EXP(-LN(2)/25)*CL154+(1-EXP(-LN(2)/25))/(LN(2)/25)*Calculateur!CG155*Calculateur!CI155*VLOOKUP('Données projet'!$B$12,Paramètres!$A$1:$I$88,3,0)*0.475*44/12</f>
        <v>9.4452669481838587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24.554781209723888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1099.9999999999998</v>
      </c>
      <c r="CU155" s="18">
        <f>CT155*VLOOKUP('Données projet'!$B$13,Paramètres!$A$1:$I$88,3,0)*VLOOKUP('Données projet'!$B$13,Paramètres!$A$1:$I$88,5,0)</f>
        <v>486.19999999999993</v>
      </c>
      <c r="CV155" s="14">
        <f t="shared" si="173"/>
        <v>109.0490179035375</v>
      </c>
      <c r="CW155" s="22">
        <f t="shared" si="174"/>
        <v>1036.725372848661</v>
      </c>
      <c r="CX155" s="62">
        <f t="shared" si="122"/>
        <v>1323.6467858554008</v>
      </c>
      <c r="CY155" s="62">
        <f ca="1">AVERAGE(OFFSET($CX$3,0,0,'Données projet'!$E$13+1,1))-AVERAGE(OFFSET($H$3,0,0,'Données projet'!$E$13+1,1))</f>
        <v>582.26951914082088</v>
      </c>
      <c r="CZ155" s="62">
        <f t="shared" si="150"/>
        <v>434.80429932654715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15.224929870931074</v>
      </c>
      <c r="DG155" s="23">
        <f>EXP(-LN(2)/25)*DG154+(1-EXP(-LN(2)/25))/(LN(2)/25)*Calculateur!DB155*Calculateur!DD155*VLOOKUP('Données projet'!$B$13,Paramètres!$A$1:$I$88,3,0)*0.475*44/12</f>
        <v>8.4873075591470535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23.712237430078126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498.99999999999955</v>
      </c>
      <c r="DP155" s="18">
        <f>DO155*VLOOKUP('Données projet'!$B$14,Paramètres!$A$1:$I$88,3,0)*VLOOKUP('Données projet'!$B$14,Paramètres!$A$1:$I$88,5,0)</f>
        <v>240.01899999999978</v>
      </c>
      <c r="DQ155" s="14">
        <f t="shared" si="176"/>
        <v>58.443618405936313</v>
      </c>
      <c r="DR155" s="22">
        <f t="shared" si="177"/>
        <v>519.82239372367201</v>
      </c>
      <c r="DS155" s="62">
        <f t="shared" si="125"/>
        <v>806.74380673041196</v>
      </c>
      <c r="DT155" s="62">
        <f ca="1">AVERAGE(OFFSET($DS$3,0,0,'Données projet'!$E$14+1,1))-AVERAGE(OFFSET($H$3,0,0,'Données projet'!$E$14+1,1))</f>
        <v>273.24375559399846</v>
      </c>
      <c r="DU155" s="62">
        <f t="shared" si="152"/>
        <v>270.77718895097848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projet'!$B$14,Paramètres!$A$1:$I$88,3,0)*0.475*44/12</f>
        <v>7.7746834622094214</v>
      </c>
      <c r="EB155" s="23">
        <f>EXP(-LN(2)/25)*EB154+(1-EXP(-LN(2)/25))/(LN(2)/25)*Calculateur!DW155*Calculateur!DY155*VLOOKUP('Données projet'!$B$14,Paramètres!$A$1:$I$88,3,0)*0.475*44/12</f>
        <v>4.1395428855161649</v>
      </c>
      <c r="EC155" s="23">
        <f>EXP(-LN(2)/2)*EC154+(1-EXP(-LN(2)/2))/(LN(2)/2)*DW155*DZ155*VLOOKUP('Données projet'!$B$14,Paramètres!$A$1:$I$88,3,0)*0.475*44/12</f>
        <v>0</v>
      </c>
      <c r="ED155" s="24">
        <f t="shared" si="178"/>
        <v>11.914226347725586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498.99999999999955</v>
      </c>
      <c r="EK155" s="18">
        <f>EJ155*VLOOKUP('Données projet'!$B$15,Paramètres!$A$1:$I$88,3,0)*VLOOKUP('Données projet'!$B$15,Paramètres!$A$1:$I$88,5,0)</f>
        <v>233.53199999999975</v>
      </c>
      <c r="EL155" s="14">
        <f t="shared" si="179"/>
        <v>57.04570382109803</v>
      </c>
      <c r="EM155" s="22">
        <f t="shared" si="180"/>
        <v>506.08950082174533</v>
      </c>
      <c r="EN155" s="62">
        <f t="shared" si="128"/>
        <v>793.01091382848517</v>
      </c>
      <c r="EO155" s="62">
        <f ca="1">AVERAGE(OFFSET($EN$3,0,0,'Données projet'!$E$15+1,1))-AVERAGE(OFFSET($H$3,0,0,'Données projet'!$E$15+1,1))</f>
        <v>267.26203506406682</v>
      </c>
      <c r="EP155" s="62">
        <f t="shared" si="154"/>
        <v>265.10857635664843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projet'!$B$15,Paramètres!$A$1:$I$88,3,0)*0.475*44/12</f>
        <v>7.5645568821497022</v>
      </c>
      <c r="EW155" s="23">
        <f>EXP(-LN(2)/25)*EW154+(1-EXP(-LN(2)/25))/(LN(2)/25)*Calculateur!ER155*Calculateur!ET155*VLOOKUP('Données projet'!$B$15,Paramètres!$A$1:$I$88,3,0)*0.475*44/12</f>
        <v>4.0276633480697788</v>
      </c>
      <c r="EX155" s="23">
        <f>EXP(-LN(2)/2)*EX154+(1-EXP(-LN(2)/2))/(LN(2)/2)*ER155*EU155*VLOOKUP('Données projet'!$B$15,Paramètres!$A$1:$I$88,3,0)*0.475*44/12</f>
        <v>0</v>
      </c>
      <c r="EY155" s="24">
        <f t="shared" si="181"/>
        <v>11.592220230219482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231</v>
      </c>
      <c r="FF155" s="18">
        <f>FE155*VLOOKUP('Données projet'!$B$16,Paramètres!$A$1:$I$88,3,0)*VLOOKUP('Données projet'!$B$16,Paramètres!$A$1:$I$88,5,0)</f>
        <v>169.36920000000001</v>
      </c>
      <c r="FG155" s="14">
        <f t="shared" si="182"/>
        <v>42.948714817158674</v>
      </c>
      <c r="FH155" s="22">
        <f t="shared" si="183"/>
        <v>369.787034973218</v>
      </c>
      <c r="FI155" s="62">
        <f t="shared" si="131"/>
        <v>656.7084479799579</v>
      </c>
      <c r="FJ155" s="62">
        <f ca="1">AVERAGE(OFFSET($FI$3,0,0,'Données projet'!$E$16+1,1))-AVERAGE(OFFSET($H$3,0,0,'Données projet'!$E$16+1,1))</f>
        <v>207.66160354686221</v>
      </c>
      <c r="FK155" s="62">
        <f t="shared" si="156"/>
        <v>260.45879589483525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projet'!$B$16,Paramètres!$A$1:$I$88,3,0)*0.475*44/12</f>
        <v>0.46213943483726894</v>
      </c>
      <c r="FR155" s="23">
        <f>EXP(-LN(2)/25)*FR154+(1-EXP(-LN(2)/25))/(LN(2)/25)*Calculateur!FM155*Calculateur!FO155*VLOOKUP('Données projet'!$B$16,Paramètres!$A$1:$I$88,3,0)*0.475*44/12</f>
        <v>0</v>
      </c>
      <c r="FS155" s="23">
        <f>EXP(-LN(2)/2)*FS154+(1-EXP(-LN(2)/2))/(LN(2)/2)*FM155*FP155*VLOOKUP('Données projet'!$B$16,Paramètres!$A$1:$I$88,3,0)*0.475*44/12</f>
        <v>0</v>
      </c>
      <c r="FT155" s="24">
        <f t="shared" si="184"/>
        <v>0.46213943483726894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projet'!$B$9,Paramètres!$A$1:$I$88,3,0)*VLOOKUP('Données projet'!$B$9,Paramètres!$A$1:$I$88,5,0)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378.13552372917843</v>
      </c>
      <c r="T156" s="62">
        <f t="shared" si="142"/>
        <v>528.97123645404952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34.96508603507008</v>
      </c>
      <c r="AA156" s="23">
        <f>EXP(-LN(2)/25)*AA155+(1-EXP(-LN(2)/25))/(LN(2)/25)*Calculateur!V156*Calculateur!X156*VLOOKUP('Données projet'!$B$9,Paramètres!$A$1:$I$88,3,0)*0.475*44/12</f>
        <v>8.3212648309037274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43.286350865973809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6.8</v>
      </c>
      <c r="AI156" s="14">
        <f>IF('Données projet'!$A$62&gt;35,AI155+AH156-AQ155,IF(A156&lt;'Données projet'!$A$62,$AF$205^A156,IF(A156='Données projet'!$A$62,'Données projet'!$B$62,AI155+AH156-AQ155)))</f>
        <v>391.40000000000026</v>
      </c>
      <c r="AJ156" s="14">
        <f>AI156*VLOOKUP('Données projet'!$B$10,Paramètres!$A$1:$I$88,3,0)*VLOOKUP('Données projet'!$B$10,Paramètres!$A$1:$I$88,5,0)</f>
        <v>354.13872000000026</v>
      </c>
      <c r="AK156" s="14">
        <f t="shared" si="164"/>
        <v>82.414132737296271</v>
      </c>
      <c r="AL156" s="22">
        <f t="shared" si="165"/>
        <v>760.32955185079152</v>
      </c>
      <c r="AM156" s="62">
        <f t="shared" si="113"/>
        <v>1047.3621973402915</v>
      </c>
      <c r="AN156" s="62">
        <f ca="1">AVERAGE(OFFSET($AM$3,0,0,'Données projet'!$E$10+1,1))-AVERAGE(OFFSET($H$3,0,0,'Données projet'!$E$10+1,1))</f>
        <v>536.3707066106856</v>
      </c>
      <c r="AO156" s="62">
        <f t="shared" si="144"/>
        <v>217.6280015974086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46.102977879751343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46.102977879751343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302.3</v>
      </c>
      <c r="BE156" s="14">
        <f>BD156*VLOOKUP('Données projet'!$B$11,Paramètres!$A$1:$I$88,3,0)*VLOOKUP('Données projet'!$B$11,Paramètres!$A$1:$I$88,5,0)</f>
        <v>180.77540000000005</v>
      </c>
      <c r="BF156" s="14">
        <f t="shared" si="167"/>
        <v>45.494655198846154</v>
      </c>
      <c r="BG156" s="22">
        <f t="shared" si="168"/>
        <v>394.08701280465715</v>
      </c>
      <c r="BH156" s="62">
        <f t="shared" si="116"/>
        <v>681.11965829415715</v>
      </c>
      <c r="BI156" s="62">
        <f ca="1">AVERAGE(OFFSET($BH$3,0,0,'Données projet'!$E$11+1,1))-AVERAGE(OFFSET($H$3,0,0,'Données projet'!$E$11+1,1))</f>
        <v>248.66193174773525</v>
      </c>
      <c r="BJ156" s="62">
        <f t="shared" si="146"/>
        <v>249.61655682981151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3.2884210726102001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4.171545272904866E-14</v>
      </c>
      <c r="BS156" s="24">
        <f t="shared" si="169"/>
        <v>3.2884210726102419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860.00000000000023</v>
      </c>
      <c r="BZ156" s="14">
        <f>BY156*VLOOKUP('Données projet'!$B$12,Paramètres!$A$1:$I$88,3,0)*VLOOKUP('Données projet'!$B$12,Paramètres!$A$1:$I$88,5,0)</f>
        <v>346.5800000000001</v>
      </c>
      <c r="CA156" s="14">
        <f t="shared" si="170"/>
        <v>80.857895771535127</v>
      </c>
      <c r="CB156" s="22">
        <f t="shared" si="171"/>
        <v>744.45433513542378</v>
      </c>
      <c r="CC156" s="62">
        <f t="shared" si="119"/>
        <v>1031.4869806249237</v>
      </c>
      <c r="CD156" s="62">
        <f ca="1">AVERAGE(OFFSET($CC$3,0,0,'Données projet'!$E$12+1,1))-AVERAGE(OFFSET($H$3,0,0,'Données projet'!$E$12+1,1))</f>
        <v>432.59662347701629</v>
      </c>
      <c r="CE156" s="62">
        <f t="shared" si="148"/>
        <v>348.67401091099748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14.813225902764936</v>
      </c>
      <c r="CL156" s="23">
        <f>EXP(-LN(2)/25)*CL155+(1-EXP(-LN(2)/25))/(LN(2)/25)*Calculateur!CG156*Calculateur!CI156*VLOOKUP('Données projet'!$B$12,Paramètres!$A$1:$I$88,3,0)*0.475*44/12</f>
        <v>9.1869856267807695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24.000211529545705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1099.9999999999998</v>
      </c>
      <c r="CU156" s="18">
        <f>CT156*VLOOKUP('Données projet'!$B$13,Paramètres!$A$1:$I$88,3,0)*VLOOKUP('Données projet'!$B$13,Paramètres!$A$1:$I$88,5,0)</f>
        <v>486.19999999999993</v>
      </c>
      <c r="CV156" s="14">
        <f t="shared" si="173"/>
        <v>109.0490179035375</v>
      </c>
      <c r="CW156" s="22">
        <f t="shared" si="174"/>
        <v>1036.725372848661</v>
      </c>
      <c r="CX156" s="62">
        <f t="shared" si="122"/>
        <v>1323.758018338161</v>
      </c>
      <c r="CY156" s="62">
        <f ca="1">AVERAGE(OFFSET($CX$3,0,0,'Données projet'!$E$13+1,1))-AVERAGE(OFFSET($H$3,0,0,'Données projet'!$E$13+1,1))</f>
        <v>582.26951914082088</v>
      </c>
      <c r="CZ156" s="62">
        <f t="shared" si="150"/>
        <v>434.80429932654715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14.926378282452392</v>
      </c>
      <c r="DG156" s="23">
        <f>EXP(-LN(2)/25)*DG155+(1-EXP(-LN(2)/25))/(LN(2)/25)*Calculateur!DB156*Calculateur!DD156*VLOOKUP('Données projet'!$B$13,Paramètres!$A$1:$I$88,3,0)*0.475*44/12</f>
        <v>8.2552216876140712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23.181599970066465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498.99999999999955</v>
      </c>
      <c r="DP156" s="18">
        <f>DO156*VLOOKUP('Données projet'!$B$14,Paramètres!$A$1:$I$88,3,0)*VLOOKUP('Données projet'!$B$14,Paramètres!$A$1:$I$88,5,0)</f>
        <v>240.01899999999978</v>
      </c>
      <c r="DQ156" s="14">
        <f t="shared" si="176"/>
        <v>58.443618405936313</v>
      </c>
      <c r="DR156" s="22">
        <f t="shared" si="177"/>
        <v>519.82239372367201</v>
      </c>
      <c r="DS156" s="62">
        <f t="shared" si="125"/>
        <v>806.85503921317195</v>
      </c>
      <c r="DT156" s="62">
        <f ca="1">AVERAGE(OFFSET($DS$3,0,0,'Données projet'!$E$14+1,1))-AVERAGE(OFFSET($H$3,0,0,'Données projet'!$E$14+1,1))</f>
        <v>273.24375559399846</v>
      </c>
      <c r="DU156" s="62">
        <f t="shared" si="152"/>
        <v>270.77718895097848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projet'!$B$14,Paramètres!$A$1:$I$88,3,0)*0.475*44/12</f>
        <v>7.6222266616041638</v>
      </c>
      <c r="EB156" s="23">
        <f>EXP(-LN(2)/25)*EB155+(1-EXP(-LN(2)/25))/(LN(2)/25)*Calculateur!DW156*Calculateur!DY156*VLOOKUP('Données projet'!$B$14,Paramètres!$A$1:$I$88,3,0)*0.475*44/12</f>
        <v>4.0263468676226264</v>
      </c>
      <c r="EC156" s="23">
        <f>EXP(-LN(2)/2)*EC155+(1-EXP(-LN(2)/2))/(LN(2)/2)*DW156*DZ156*VLOOKUP('Données projet'!$B$14,Paramètres!$A$1:$I$88,3,0)*0.475*44/12</f>
        <v>0</v>
      </c>
      <c r="ED156" s="24">
        <f t="shared" si="178"/>
        <v>11.648573529226791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498.99999999999955</v>
      </c>
      <c r="EK156" s="18">
        <f>EJ156*VLOOKUP('Données projet'!$B$15,Paramètres!$A$1:$I$88,3,0)*VLOOKUP('Données projet'!$B$15,Paramètres!$A$1:$I$88,5,0)</f>
        <v>233.53199999999975</v>
      </c>
      <c r="EL156" s="14">
        <f t="shared" si="179"/>
        <v>57.04570382109803</v>
      </c>
      <c r="EM156" s="22">
        <f t="shared" si="180"/>
        <v>506.08950082174533</v>
      </c>
      <c r="EN156" s="62">
        <f t="shared" si="128"/>
        <v>793.12214631124539</v>
      </c>
      <c r="EO156" s="62">
        <f ca="1">AVERAGE(OFFSET($EN$3,0,0,'Données projet'!$E$15+1,1))-AVERAGE(OFFSET($H$3,0,0,'Données projet'!$E$15+1,1))</f>
        <v>267.26203506406682</v>
      </c>
      <c r="EP156" s="62">
        <f t="shared" si="154"/>
        <v>265.10857635664843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projet'!$B$15,Paramètres!$A$1:$I$88,3,0)*0.475*44/12</f>
        <v>7.4162205356148574</v>
      </c>
      <c r="EW156" s="23">
        <f>EXP(-LN(2)/25)*EW155+(1-EXP(-LN(2)/25))/(LN(2)/25)*Calculateur!ER156*Calculateur!ET156*VLOOKUP('Données projet'!$B$15,Paramètres!$A$1:$I$88,3,0)*0.475*44/12</f>
        <v>3.9175266820112005</v>
      </c>
      <c r="EX156" s="23">
        <f>EXP(-LN(2)/2)*EX155+(1-EXP(-LN(2)/2))/(LN(2)/2)*ER156*EU156*VLOOKUP('Données projet'!$B$15,Paramètres!$A$1:$I$88,3,0)*0.475*44/12</f>
        <v>0</v>
      </c>
      <c r="EY156" s="24">
        <f t="shared" si="181"/>
        <v>11.333747217626058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231</v>
      </c>
      <c r="FF156" s="18">
        <f>FE156*VLOOKUP('Données projet'!$B$16,Paramètres!$A$1:$I$88,3,0)*VLOOKUP('Données projet'!$B$16,Paramètres!$A$1:$I$88,5,0)</f>
        <v>169.36920000000001</v>
      </c>
      <c r="FG156" s="14">
        <f t="shared" si="182"/>
        <v>42.948714817158674</v>
      </c>
      <c r="FH156" s="22">
        <f t="shared" si="183"/>
        <v>369.787034973218</v>
      </c>
      <c r="FI156" s="62">
        <f t="shared" si="131"/>
        <v>656.819680462718</v>
      </c>
      <c r="FJ156" s="62">
        <f ca="1">AVERAGE(OFFSET($FI$3,0,0,'Données projet'!$E$16+1,1))-AVERAGE(OFFSET($H$3,0,0,'Données projet'!$E$16+1,1))</f>
        <v>207.66160354686221</v>
      </c>
      <c r="FK156" s="62">
        <f t="shared" si="156"/>
        <v>260.45879589483525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projet'!$B$16,Paramètres!$A$1:$I$88,3,0)*0.475*44/12</f>
        <v>0.45307716239733226</v>
      </c>
      <c r="FR156" s="23">
        <f>EXP(-LN(2)/25)*FR155+(1-EXP(-LN(2)/25))/(LN(2)/25)*Calculateur!FM156*Calculateur!FO156*VLOOKUP('Données projet'!$B$16,Paramètres!$A$1:$I$88,3,0)*0.475*44/12</f>
        <v>0</v>
      </c>
      <c r="FS156" s="23">
        <f>EXP(-LN(2)/2)*FS155+(1-EXP(-LN(2)/2))/(LN(2)/2)*FM156*FP156*VLOOKUP('Données projet'!$B$16,Paramètres!$A$1:$I$88,3,0)*0.475*44/12</f>
        <v>0</v>
      </c>
      <c r="FT156" s="24">
        <f t="shared" si="184"/>
        <v>0.45307716239733226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projet'!$B$9,Paramètres!$A$1:$I$88,3,0)*VLOOKUP('Données projet'!$B$9,Paramètres!$A$1:$I$88,5,0)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378.13552372917843</v>
      </c>
      <c r="T157" s="62">
        <f t="shared" si="142"/>
        <v>528.97123645404952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34.279442024519007</v>
      </c>
      <c r="AA157" s="23">
        <f>EXP(-LN(2)/25)*AA156+(1-EXP(-LN(2)/25))/(LN(2)/25)*Calculateur!V157*Calculateur!X157*VLOOKUP('Données projet'!$B$9,Paramètres!$A$1:$I$88,3,0)*0.475*44/12</f>
        <v>8.0937194065063665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42.373161431025373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6.8</v>
      </c>
      <c r="AI157" s="14">
        <f>IF('Données projet'!$A$62&gt;35,AI156+AH157-AQ156,IF(A157&lt;'Données projet'!$A$62,$AF$205^A157,IF(A157='Données projet'!$A$62,'Données projet'!$B$62,AI156+AH157-AQ156)))</f>
        <v>398.20000000000027</v>
      </c>
      <c r="AJ157" s="14">
        <f>AI157*VLOOKUP('Données projet'!$B$10,Paramètres!$A$1:$I$88,3,0)*VLOOKUP('Données projet'!$B$10,Paramètres!$A$1:$I$88,5,0)</f>
        <v>360.29136000000022</v>
      </c>
      <c r="AK157" s="14">
        <f t="shared" si="164"/>
        <v>83.678021792543007</v>
      </c>
      <c r="AL157" s="22">
        <f t="shared" si="165"/>
        <v>773.24667328867952</v>
      </c>
      <c r="AM157" s="62">
        <f t="shared" si="113"/>
        <v>1060.3886216260423</v>
      </c>
      <c r="AN157" s="62">
        <f ca="1">AVERAGE(OFFSET($AM$3,0,0,'Données projet'!$E$10+1,1))-AVERAGE(OFFSET($H$3,0,0,'Données projet'!$E$10+1,1))</f>
        <v>536.3707066106856</v>
      </c>
      <c r="AO157" s="62">
        <f t="shared" si="144"/>
        <v>217.6280015974086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45.198926603569305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45.198926603569305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302.3</v>
      </c>
      <c r="BE157" s="14">
        <f>BD157*VLOOKUP('Données projet'!$B$11,Paramètres!$A$1:$I$88,3,0)*VLOOKUP('Données projet'!$B$11,Paramètres!$A$1:$I$88,5,0)</f>
        <v>180.77540000000005</v>
      </c>
      <c r="BF157" s="14">
        <f t="shared" si="167"/>
        <v>45.494655198846154</v>
      </c>
      <c r="BG157" s="22">
        <f t="shared" si="168"/>
        <v>394.08701280465715</v>
      </c>
      <c r="BH157" s="62">
        <f t="shared" si="116"/>
        <v>681.2289611420199</v>
      </c>
      <c r="BI157" s="62">
        <f ca="1">AVERAGE(OFFSET($BH$3,0,0,'Données projet'!$E$11+1,1))-AVERAGE(OFFSET($H$3,0,0,'Données projet'!$E$11+1,1))</f>
        <v>248.66193174773525</v>
      </c>
      <c r="BJ157" s="62">
        <f t="shared" si="146"/>
        <v>249.61655682981151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3.2239371411151181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2.9497279504977177E-14</v>
      </c>
      <c r="BS157" s="24">
        <f t="shared" si="169"/>
        <v>3.2239371411151474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860.00000000000023</v>
      </c>
      <c r="BZ157" s="14">
        <f>BY157*VLOOKUP('Données projet'!$B$12,Paramètres!$A$1:$I$88,3,0)*VLOOKUP('Données projet'!$B$12,Paramètres!$A$1:$I$88,5,0)</f>
        <v>346.5800000000001</v>
      </c>
      <c r="CA157" s="14">
        <f t="shared" si="170"/>
        <v>80.857895771535127</v>
      </c>
      <c r="CB157" s="22">
        <f t="shared" si="171"/>
        <v>744.45433513542378</v>
      </c>
      <c r="CC157" s="62">
        <f t="shared" si="119"/>
        <v>1031.5962834727866</v>
      </c>
      <c r="CD157" s="62">
        <f ca="1">AVERAGE(OFFSET($CC$3,0,0,'Données projet'!$E$12+1,1))-AVERAGE(OFFSET($H$3,0,0,'Données projet'!$E$12+1,1))</f>
        <v>432.59662347701629</v>
      </c>
      <c r="CE157" s="62">
        <f t="shared" si="148"/>
        <v>348.67401091099748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14.522747577987367</v>
      </c>
      <c r="CL157" s="23">
        <f>EXP(-LN(2)/25)*CL156+(1-EXP(-LN(2)/25))/(LN(2)/25)*Calculateur!CG157*Calculateur!CI157*VLOOKUP('Données projet'!$B$12,Paramètres!$A$1:$I$88,3,0)*0.475*44/12</f>
        <v>8.9357670216938718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23.458514599681237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1099.9999999999998</v>
      </c>
      <c r="CU157" s="18">
        <f>CT157*VLOOKUP('Données projet'!$B$13,Paramètres!$A$1:$I$88,3,0)*VLOOKUP('Données projet'!$B$13,Paramètres!$A$1:$I$88,5,0)</f>
        <v>486.19999999999993</v>
      </c>
      <c r="CV157" s="14">
        <f t="shared" si="173"/>
        <v>109.0490179035375</v>
      </c>
      <c r="CW157" s="22">
        <f t="shared" si="174"/>
        <v>1036.725372848661</v>
      </c>
      <c r="CX157" s="62">
        <f t="shared" si="122"/>
        <v>1323.8673211860237</v>
      </c>
      <c r="CY157" s="62">
        <f ca="1">AVERAGE(OFFSET($CX$3,0,0,'Données projet'!$E$13+1,1))-AVERAGE(OFFSET($H$3,0,0,'Données projet'!$E$13+1,1))</f>
        <v>582.26951914082088</v>
      </c>
      <c r="CZ157" s="62">
        <f t="shared" si="150"/>
        <v>434.80429932654715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14.633681108525288</v>
      </c>
      <c r="DG157" s="23">
        <f>EXP(-LN(2)/25)*DG156+(1-EXP(-LN(2)/25))/(LN(2)/25)*Calculateur!DB157*Calculateur!DD157*VLOOKUP('Données projet'!$B$13,Paramètres!$A$1:$I$88,3,0)*0.475*44/12</f>
        <v>8.0294822164430233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22.663163324968309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498.99999999999955</v>
      </c>
      <c r="DP157" s="18">
        <f>DO157*VLOOKUP('Données projet'!$B$14,Paramètres!$A$1:$I$88,3,0)*VLOOKUP('Données projet'!$B$14,Paramètres!$A$1:$I$88,5,0)</f>
        <v>240.01899999999978</v>
      </c>
      <c r="DQ157" s="14">
        <f t="shared" si="176"/>
        <v>58.443618405936313</v>
      </c>
      <c r="DR157" s="22">
        <f t="shared" si="177"/>
        <v>519.82239372367201</v>
      </c>
      <c r="DS157" s="62">
        <f t="shared" si="125"/>
        <v>806.96434206103481</v>
      </c>
      <c r="DT157" s="62">
        <f ca="1">AVERAGE(OFFSET($DS$3,0,0,'Données projet'!$E$14+1,1))-AVERAGE(OFFSET($H$3,0,0,'Données projet'!$E$14+1,1))</f>
        <v>273.24375559399846</v>
      </c>
      <c r="DU157" s="62">
        <f t="shared" si="152"/>
        <v>270.77718895097848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projet'!$B$14,Paramètres!$A$1:$I$88,3,0)*0.475*44/12</f>
        <v>7.4727594458693094</v>
      </c>
      <c r="EB157" s="23">
        <f>EXP(-LN(2)/25)*EB156+(1-EXP(-LN(2)/25))/(LN(2)/25)*Calculateur!DW157*Calculateur!DY157*VLOOKUP('Données projet'!$B$14,Paramètres!$A$1:$I$88,3,0)*0.475*44/12</f>
        <v>3.9162462007911061</v>
      </c>
      <c r="EC157" s="23">
        <f>EXP(-LN(2)/2)*EC156+(1-EXP(-LN(2)/2))/(LN(2)/2)*DW157*DZ157*VLOOKUP('Données projet'!$B$14,Paramètres!$A$1:$I$88,3,0)*0.475*44/12</f>
        <v>0</v>
      </c>
      <c r="ED157" s="24">
        <f t="shared" si="178"/>
        <v>11.389005646660415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498.99999999999955</v>
      </c>
      <c r="EK157" s="18">
        <f>EJ157*VLOOKUP('Données projet'!$B$15,Paramètres!$A$1:$I$88,3,0)*VLOOKUP('Données projet'!$B$15,Paramètres!$A$1:$I$88,5,0)</f>
        <v>233.53199999999975</v>
      </c>
      <c r="EL157" s="14">
        <f t="shared" si="179"/>
        <v>57.04570382109803</v>
      </c>
      <c r="EM157" s="22">
        <f t="shared" si="180"/>
        <v>506.08950082174533</v>
      </c>
      <c r="EN157" s="62">
        <f t="shared" si="128"/>
        <v>793.23144915910802</v>
      </c>
      <c r="EO157" s="62">
        <f ca="1">AVERAGE(OFFSET($EN$3,0,0,'Données projet'!$E$15+1,1))-AVERAGE(OFFSET($H$3,0,0,'Données projet'!$E$15+1,1))</f>
        <v>267.26203506406682</v>
      </c>
      <c r="EP157" s="62">
        <f t="shared" si="154"/>
        <v>265.10857635664843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projet'!$B$15,Paramètres!$A$1:$I$88,3,0)*0.475*44/12</f>
        <v>7.2707929743593231</v>
      </c>
      <c r="EW157" s="23">
        <f>EXP(-LN(2)/25)*EW156+(1-EXP(-LN(2)/25))/(LN(2)/25)*Calculateur!ER157*Calculateur!ET157*VLOOKUP('Données projet'!$B$15,Paramètres!$A$1:$I$88,3,0)*0.475*44/12</f>
        <v>3.8104017088778295</v>
      </c>
      <c r="EX157" s="23">
        <f>EXP(-LN(2)/2)*EX156+(1-EXP(-LN(2)/2))/(LN(2)/2)*ER157*EU157*VLOOKUP('Données projet'!$B$15,Paramètres!$A$1:$I$88,3,0)*0.475*44/12</f>
        <v>0</v>
      </c>
      <c r="EY157" s="24">
        <f t="shared" si="181"/>
        <v>11.081194683237152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231</v>
      </c>
      <c r="FF157" s="18">
        <f>FE157*VLOOKUP('Données projet'!$B$16,Paramètres!$A$1:$I$88,3,0)*VLOOKUP('Données projet'!$B$16,Paramètres!$A$1:$I$88,5,0)</f>
        <v>169.36920000000001</v>
      </c>
      <c r="FG157" s="14">
        <f t="shared" si="182"/>
        <v>42.948714817158674</v>
      </c>
      <c r="FH157" s="22">
        <f t="shared" si="183"/>
        <v>369.787034973218</v>
      </c>
      <c r="FI157" s="62">
        <f t="shared" si="131"/>
        <v>656.92898331058075</v>
      </c>
      <c r="FJ157" s="62">
        <f ca="1">AVERAGE(OFFSET($FI$3,0,0,'Données projet'!$E$16+1,1))-AVERAGE(OFFSET($H$3,0,0,'Données projet'!$E$16+1,1))</f>
        <v>207.66160354686221</v>
      </c>
      <c r="FK157" s="62">
        <f t="shared" si="156"/>
        <v>260.45879589483525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projet'!$B$16,Paramètres!$A$1:$I$88,3,0)*0.475*44/12</f>
        <v>0.44419259559250235</v>
      </c>
      <c r="FR157" s="23">
        <f>EXP(-LN(2)/25)*FR156+(1-EXP(-LN(2)/25))/(LN(2)/25)*Calculateur!FM157*Calculateur!FO157*VLOOKUP('Données projet'!$B$16,Paramètres!$A$1:$I$88,3,0)*0.475*44/12</f>
        <v>0</v>
      </c>
      <c r="FS157" s="23">
        <f>EXP(-LN(2)/2)*FS156+(1-EXP(-LN(2)/2))/(LN(2)/2)*FM157*FP157*VLOOKUP('Données projet'!$B$16,Paramètres!$A$1:$I$88,3,0)*0.475*44/12</f>
        <v>0</v>
      </c>
      <c r="FT157" s="24">
        <f t="shared" si="184"/>
        <v>0.44419259559250235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projet'!$B$9,Paramètres!$A$1:$I$88,3,0)*VLOOKUP('Données projet'!$B$9,Paramètres!$A$1:$I$88,5,0)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378.13552372917843</v>
      </c>
      <c r="T158" s="62">
        <f t="shared" si="142"/>
        <v>528.97123645404952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33.60724307481329</v>
      </c>
      <c r="AA158" s="23">
        <f>EXP(-LN(2)/25)*AA157+(1-EXP(-LN(2)/25))/(LN(2)/25)*Calculateur!V158*Calculateur!X158*VLOOKUP('Données projet'!$B$9,Paramètres!$A$1:$I$88,3,0)*0.475*44/12</f>
        <v>7.8723962237052447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41.479639298518535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6.8</v>
      </c>
      <c r="AI158" s="14">
        <f>IF('Données projet'!$A$62&gt;35,AI157+AH158-AQ157,IF(A158&lt;'Données projet'!$A$62,$AF$205^A158,IF(A158='Données projet'!$A$62,'Données projet'!$B$62,AI157+AH158-AQ157)))</f>
        <v>405.00000000000028</v>
      </c>
      <c r="AJ158" s="14">
        <f>AI158*VLOOKUP('Données projet'!$B$10,Paramètres!$A$1:$I$88,3,0)*VLOOKUP('Données projet'!$B$10,Paramètres!$A$1:$I$88,5,0)</f>
        <v>366.44400000000024</v>
      </c>
      <c r="AK158" s="14">
        <f t="shared" si="164"/>
        <v>84.939400925097274</v>
      </c>
      <c r="AL158" s="22">
        <f t="shared" si="165"/>
        <v>786.15942327787809</v>
      </c>
      <c r="AM158" s="62">
        <f t="shared" si="113"/>
        <v>1073.4087783030577</v>
      </c>
      <c r="AN158" s="62">
        <f ca="1">AVERAGE(OFFSET($AM$3,0,0,'Données projet'!$E$10+1,1))-AVERAGE(OFFSET($H$3,0,0,'Données projet'!$E$10+1,1))</f>
        <v>536.3707066106856</v>
      </c>
      <c r="AO158" s="62">
        <f t="shared" si="144"/>
        <v>217.6280015974086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44.31260322149636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44.31260322149636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302.3</v>
      </c>
      <c r="BE158" s="14">
        <f>BD158*VLOOKUP('Données projet'!$B$11,Paramètres!$A$1:$I$88,3,0)*VLOOKUP('Données projet'!$B$11,Paramètres!$A$1:$I$88,5,0)</f>
        <v>180.77540000000005</v>
      </c>
      <c r="BF158" s="14">
        <f t="shared" si="167"/>
        <v>45.494655198846154</v>
      </c>
      <c r="BG158" s="22">
        <f t="shared" si="168"/>
        <v>394.08701280465715</v>
      </c>
      <c r="BH158" s="62">
        <f t="shared" si="116"/>
        <v>681.33636782983683</v>
      </c>
      <c r="BI158" s="62">
        <f ca="1">AVERAGE(OFFSET($BH$3,0,0,'Données projet'!$E$11+1,1))-AVERAGE(OFFSET($H$3,0,0,'Données projet'!$E$11+1,1))</f>
        <v>248.66193174773525</v>
      </c>
      <c r="BJ158" s="62">
        <f t="shared" si="146"/>
        <v>249.61655682981151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3.1607177001853399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2.085772636452433E-14</v>
      </c>
      <c r="BS158" s="24">
        <f t="shared" si="169"/>
        <v>3.1607177001853608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860.00000000000023</v>
      </c>
      <c r="BZ158" s="14">
        <f>BY158*VLOOKUP('Données projet'!$B$12,Paramètres!$A$1:$I$88,3,0)*VLOOKUP('Données projet'!$B$12,Paramètres!$A$1:$I$88,5,0)</f>
        <v>346.5800000000001</v>
      </c>
      <c r="CA158" s="14">
        <f t="shared" si="170"/>
        <v>80.857895771535127</v>
      </c>
      <c r="CB158" s="22">
        <f t="shared" si="171"/>
        <v>744.45433513542378</v>
      </c>
      <c r="CC158" s="62">
        <f t="shared" si="119"/>
        <v>1031.7036901606034</v>
      </c>
      <c r="CD158" s="62">
        <f ca="1">AVERAGE(OFFSET($CC$3,0,0,'Données projet'!$E$12+1,1))-AVERAGE(OFFSET($H$3,0,0,'Données projet'!$E$12+1,1))</f>
        <v>432.59662347701629</v>
      </c>
      <c r="CE158" s="62">
        <f t="shared" si="148"/>
        <v>348.67401091099748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14.237965355984402</v>
      </c>
      <c r="CL158" s="23">
        <f>EXP(-LN(2)/25)*CL157+(1-EXP(-LN(2)/25))/(LN(2)/25)*Calculateur!CG158*Calculateur!CI158*VLOOKUP('Données projet'!$B$12,Paramètres!$A$1:$I$88,3,0)*0.475*44/12</f>
        <v>8.691418002574089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22.929383358558489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1099.9999999999998</v>
      </c>
      <c r="CU158" s="18">
        <f>CT158*VLOOKUP('Données projet'!$B$13,Paramètres!$A$1:$I$88,3,0)*VLOOKUP('Données projet'!$B$13,Paramètres!$A$1:$I$88,5,0)</f>
        <v>486.19999999999993</v>
      </c>
      <c r="CV158" s="14">
        <f t="shared" si="173"/>
        <v>109.0490179035375</v>
      </c>
      <c r="CW158" s="22">
        <f t="shared" si="174"/>
        <v>1036.725372848661</v>
      </c>
      <c r="CX158" s="62">
        <f t="shared" si="122"/>
        <v>1323.9747278738407</v>
      </c>
      <c r="CY158" s="62">
        <f ca="1">AVERAGE(OFFSET($CX$3,0,0,'Données projet'!$E$13+1,1))-AVERAGE(OFFSET($H$3,0,0,'Données projet'!$E$13+1,1))</f>
        <v>582.26951914082088</v>
      </c>
      <c r="CZ158" s="62">
        <f t="shared" si="150"/>
        <v>434.80429932654715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14.346723547651246</v>
      </c>
      <c r="DG158" s="23">
        <f>EXP(-LN(2)/25)*DG157+(1-EXP(-LN(2)/25))/(LN(2)/25)*Calculateur!DB158*Calculateur!DD158*VLOOKUP('Données projet'!$B$13,Paramètres!$A$1:$I$88,3,0)*0.475*44/12</f>
        <v>7.8099156029822705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22.156639150633517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498.99999999999955</v>
      </c>
      <c r="DP158" s="18">
        <f>DO158*VLOOKUP('Données projet'!$B$14,Paramètres!$A$1:$I$88,3,0)*VLOOKUP('Données projet'!$B$14,Paramètres!$A$1:$I$88,5,0)</f>
        <v>240.01899999999978</v>
      </c>
      <c r="DQ158" s="14">
        <f t="shared" si="176"/>
        <v>58.443618405936313</v>
      </c>
      <c r="DR158" s="22">
        <f t="shared" si="177"/>
        <v>519.82239372367201</v>
      </c>
      <c r="DS158" s="62">
        <f t="shared" si="125"/>
        <v>807.07174874885163</v>
      </c>
      <c r="DT158" s="62">
        <f ca="1">AVERAGE(OFFSET($DS$3,0,0,'Données projet'!$E$14+1,1))-AVERAGE(OFFSET($H$3,0,0,'Données projet'!$E$14+1,1))</f>
        <v>273.24375559399846</v>
      </c>
      <c r="DU158" s="62">
        <f t="shared" si="152"/>
        <v>270.77718895097848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projet'!$B$14,Paramètres!$A$1:$I$88,3,0)*0.475*44/12</f>
        <v>7.3262231910690154</v>
      </c>
      <c r="EB158" s="23">
        <f>EXP(-LN(2)/25)*EB157+(1-EXP(-LN(2)/25))/(LN(2)/25)*Calculateur!DW158*Calculateur!DY158*VLOOKUP('Données projet'!$B$14,Paramètres!$A$1:$I$88,3,0)*0.475*44/12</f>
        <v>3.8091562424840362</v>
      </c>
      <c r="EC158" s="23">
        <f>EXP(-LN(2)/2)*EC157+(1-EXP(-LN(2)/2))/(LN(2)/2)*DW158*DZ158*VLOOKUP('Données projet'!$B$14,Paramètres!$A$1:$I$88,3,0)*0.475*44/12</f>
        <v>0</v>
      </c>
      <c r="ED158" s="24">
        <f t="shared" si="178"/>
        <v>11.135379433553052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498.99999999999955</v>
      </c>
      <c r="EK158" s="18">
        <f>EJ158*VLOOKUP('Données projet'!$B$15,Paramètres!$A$1:$I$88,3,0)*VLOOKUP('Données projet'!$B$15,Paramètres!$A$1:$I$88,5,0)</f>
        <v>233.53199999999975</v>
      </c>
      <c r="EL158" s="14">
        <f t="shared" si="179"/>
        <v>57.04570382109803</v>
      </c>
      <c r="EM158" s="22">
        <f t="shared" si="180"/>
        <v>506.08950082174533</v>
      </c>
      <c r="EN158" s="62">
        <f t="shared" si="128"/>
        <v>793.33885584692507</v>
      </c>
      <c r="EO158" s="62">
        <f ca="1">AVERAGE(OFFSET($EN$3,0,0,'Données projet'!$E$15+1,1))-AVERAGE(OFFSET($H$3,0,0,'Données projet'!$E$15+1,1))</f>
        <v>267.26203506406682</v>
      </c>
      <c r="EP158" s="62">
        <f t="shared" si="154"/>
        <v>265.10857635664843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projet'!$B$15,Paramètres!$A$1:$I$88,3,0)*0.475*44/12</f>
        <v>7.1282171588779564</v>
      </c>
      <c r="EW158" s="23">
        <f>EXP(-LN(2)/25)*EW157+(1-EXP(-LN(2)/25))/(LN(2)/25)*Calculateur!ER158*Calculateur!ET158*VLOOKUP('Données projet'!$B$15,Paramètres!$A$1:$I$88,3,0)*0.475*44/12</f>
        <v>3.7062060737682483</v>
      </c>
      <c r="EX158" s="23">
        <f>EXP(-LN(2)/2)*EX157+(1-EXP(-LN(2)/2))/(LN(2)/2)*ER158*EU158*VLOOKUP('Données projet'!$B$15,Paramètres!$A$1:$I$88,3,0)*0.475*44/12</f>
        <v>0</v>
      </c>
      <c r="EY158" s="24">
        <f t="shared" si="181"/>
        <v>10.834423232646206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231</v>
      </c>
      <c r="FF158" s="18">
        <f>FE158*VLOOKUP('Données projet'!$B$16,Paramètres!$A$1:$I$88,3,0)*VLOOKUP('Données projet'!$B$16,Paramètres!$A$1:$I$88,5,0)</f>
        <v>169.36920000000001</v>
      </c>
      <c r="FG158" s="14">
        <f t="shared" si="182"/>
        <v>42.948714817158674</v>
      </c>
      <c r="FH158" s="22">
        <f t="shared" si="183"/>
        <v>369.787034973218</v>
      </c>
      <c r="FI158" s="62">
        <f t="shared" si="131"/>
        <v>657.03638999839768</v>
      </c>
      <c r="FJ158" s="62">
        <f ca="1">AVERAGE(OFFSET($FI$3,0,0,'Données projet'!$E$16+1,1))-AVERAGE(OFFSET($H$3,0,0,'Données projet'!$E$16+1,1))</f>
        <v>207.66160354686221</v>
      </c>
      <c r="FK158" s="62">
        <f t="shared" si="156"/>
        <v>260.45879589483525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projet'!$B$16,Paramètres!$A$1:$I$88,3,0)*0.475*44/12</f>
        <v>0.43548224972366451</v>
      </c>
      <c r="FR158" s="23">
        <f>EXP(-LN(2)/25)*FR157+(1-EXP(-LN(2)/25))/(LN(2)/25)*Calculateur!FM158*Calculateur!FO158*VLOOKUP('Données projet'!$B$16,Paramètres!$A$1:$I$88,3,0)*0.475*44/12</f>
        <v>0</v>
      </c>
      <c r="FS158" s="23">
        <f>EXP(-LN(2)/2)*FS157+(1-EXP(-LN(2)/2))/(LN(2)/2)*FM158*FP158*VLOOKUP('Données projet'!$B$16,Paramètres!$A$1:$I$88,3,0)*0.475*44/12</f>
        <v>0</v>
      </c>
      <c r="FT158" s="24">
        <f t="shared" si="184"/>
        <v>0.43548224972366451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projet'!$B$9,Paramètres!$A$1:$I$88,3,0)*VLOOKUP('Données projet'!$B$9,Paramètres!$A$1:$I$88,5,0)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378.13552372917843</v>
      </c>
      <c r="T159" s="62">
        <f t="shared" si="142"/>
        <v>528.97123645404952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32.948225536510428</v>
      </c>
      <c r="AA159" s="23">
        <f>EXP(-LN(2)/25)*AA158+(1-EXP(-LN(2)/25))/(LN(2)/25)*Calculateur!V159*Calculateur!X159*VLOOKUP('Données projet'!$B$9,Paramètres!$A$1:$I$88,3,0)*0.475*44/12</f>
        <v>7.6571251349766998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40.60535067148713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6.8</v>
      </c>
      <c r="AI159" s="14">
        <f>IF('Données projet'!$A$62&gt;35,AI158+AH159-AQ158,IF(A159&lt;'Données projet'!$A$62,$AF$205^A159,IF(A159='Données projet'!$A$62,'Données projet'!$B$62,AI158+AH159-AQ158)))</f>
        <v>411.8000000000003</v>
      </c>
      <c r="AJ159" s="14">
        <f>AI159*VLOOKUP('Données projet'!$B$10,Paramètres!$A$1:$I$88,3,0)*VLOOKUP('Données projet'!$B$10,Paramètres!$A$1:$I$88,5,0)</f>
        <v>372.59664000000026</v>
      </c>
      <c r="AK159" s="14">
        <f t="shared" si="164"/>
        <v>86.198317140696403</v>
      </c>
      <c r="AL159" s="22">
        <f t="shared" si="165"/>
        <v>799.06788368671334</v>
      </c>
      <c r="AM159" s="62">
        <f t="shared" si="113"/>
        <v>1086.4227821338018</v>
      </c>
      <c r="AN159" s="62">
        <f ca="1">AVERAGE(OFFSET($AM$3,0,0,'Données projet'!$E$10+1,1))-AVERAGE(OFFSET($H$3,0,0,'Données projet'!$E$10+1,1))</f>
        <v>536.3707066106856</v>
      </c>
      <c r="AO159" s="62">
        <f t="shared" si="144"/>
        <v>217.6280015974086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43.443660100341987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43.443660100341987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302.3</v>
      </c>
      <c r="BE159" s="14">
        <f>BD159*VLOOKUP('Données projet'!$B$11,Paramètres!$A$1:$I$88,3,0)*VLOOKUP('Données projet'!$B$11,Paramètres!$A$1:$I$88,5,0)</f>
        <v>180.77540000000005</v>
      </c>
      <c r="BF159" s="14">
        <f t="shared" si="167"/>
        <v>45.494655198846154</v>
      </c>
      <c r="BG159" s="22">
        <f t="shared" si="168"/>
        <v>394.08701280465715</v>
      </c>
      <c r="BH159" s="62">
        <f t="shared" si="116"/>
        <v>681.44191125174552</v>
      </c>
      <c r="BI159" s="62">
        <f ca="1">AVERAGE(OFFSET($BH$3,0,0,'Données projet'!$E$11+1,1))-AVERAGE(OFFSET($H$3,0,0,'Données projet'!$E$11+1,1))</f>
        <v>248.66193174773525</v>
      </c>
      <c r="BJ159" s="62">
        <f t="shared" si="146"/>
        <v>249.61655682981151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3.0987379539321434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1.4748639752488589E-14</v>
      </c>
      <c r="BS159" s="24">
        <f t="shared" si="169"/>
        <v>3.098737953932158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860.00000000000023</v>
      </c>
      <c r="BZ159" s="14">
        <f>BY159*VLOOKUP('Données projet'!$B$12,Paramètres!$A$1:$I$88,3,0)*VLOOKUP('Données projet'!$B$12,Paramètres!$A$1:$I$88,5,0)</f>
        <v>346.5800000000001</v>
      </c>
      <c r="CA159" s="14">
        <f t="shared" si="170"/>
        <v>80.857895771535127</v>
      </c>
      <c r="CB159" s="22">
        <f t="shared" si="171"/>
        <v>744.45433513542378</v>
      </c>
      <c r="CC159" s="62">
        <f t="shared" si="119"/>
        <v>1031.8092335825122</v>
      </c>
      <c r="CD159" s="62">
        <f ca="1">AVERAGE(OFFSET($CC$3,0,0,'Données projet'!$E$12+1,1))-AVERAGE(OFFSET($H$3,0,0,'Données projet'!$E$12+1,1))</f>
        <v>432.59662347701629</v>
      </c>
      <c r="CE159" s="62">
        <f t="shared" si="148"/>
        <v>348.67401091099748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13.958767539654911</v>
      </c>
      <c r="CL159" s="23">
        <f>EXP(-LN(2)/25)*CL158+(1-EXP(-LN(2)/25))/(LN(2)/25)*Calculateur!CG159*Calculateur!CI159*VLOOKUP('Données projet'!$B$12,Paramètres!$A$1:$I$88,3,0)*0.475*44/12</f>
        <v>8.4537507202318931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22.412518259886802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1099.9999999999998</v>
      </c>
      <c r="CU159" s="18">
        <f>CT159*VLOOKUP('Données projet'!$B$13,Paramètres!$A$1:$I$88,3,0)*VLOOKUP('Données projet'!$B$13,Paramètres!$A$1:$I$88,5,0)</f>
        <v>486.19999999999993</v>
      </c>
      <c r="CV159" s="14">
        <f t="shared" si="173"/>
        <v>109.0490179035375</v>
      </c>
      <c r="CW159" s="22">
        <f t="shared" si="174"/>
        <v>1036.725372848661</v>
      </c>
      <c r="CX159" s="62">
        <f t="shared" si="122"/>
        <v>1324.0802712957493</v>
      </c>
      <c r="CY159" s="62">
        <f ca="1">AVERAGE(OFFSET($CX$3,0,0,'Données projet'!$E$13+1,1))-AVERAGE(OFFSET($H$3,0,0,'Données projet'!$E$13+1,1))</f>
        <v>582.26951914082088</v>
      </c>
      <c r="CZ159" s="62">
        <f t="shared" si="150"/>
        <v>434.80429932654715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14.065393049519116</v>
      </c>
      <c r="DG159" s="23">
        <f>EXP(-LN(2)/25)*DG158+(1-EXP(-LN(2)/25))/(LN(2)/25)*Calculateur!DB159*Calculateur!DD159*VLOOKUP('Données projet'!$B$13,Paramètres!$A$1:$I$88,3,0)*0.475*44/12</f>
        <v>7.5963530501131089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21.661746099632225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498.99999999999955</v>
      </c>
      <c r="DP159" s="18">
        <f>DO159*VLOOKUP('Données projet'!$B$14,Paramètres!$A$1:$I$88,3,0)*VLOOKUP('Données projet'!$B$14,Paramètres!$A$1:$I$88,5,0)</f>
        <v>240.01899999999978</v>
      </c>
      <c r="DQ159" s="14">
        <f t="shared" si="176"/>
        <v>58.443618405936313</v>
      </c>
      <c r="DR159" s="22">
        <f t="shared" si="177"/>
        <v>519.82239372367201</v>
      </c>
      <c r="DS159" s="62">
        <f t="shared" si="125"/>
        <v>807.17729217076032</v>
      </c>
      <c r="DT159" s="62">
        <f ca="1">AVERAGE(OFFSET($DS$3,0,0,'Données projet'!$E$14+1,1))-AVERAGE(OFFSET($H$3,0,0,'Données projet'!$E$14+1,1))</f>
        <v>273.24375559399846</v>
      </c>
      <c r="DU159" s="62">
        <f t="shared" si="152"/>
        <v>270.77718895097848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projet'!$B$14,Paramètres!$A$1:$I$88,3,0)*0.475*44/12</f>
        <v>7.1825604228470654</v>
      </c>
      <c r="EB159" s="23">
        <f>EXP(-LN(2)/25)*EB158+(1-EXP(-LN(2)/25))/(LN(2)/25)*Calculateur!DW159*Calculateur!DY159*VLOOKUP('Données projet'!$B$14,Paramètres!$A$1:$I$88,3,0)*0.475*44/12</f>
        <v>3.7049946647184893</v>
      </c>
      <c r="EC159" s="23">
        <f>EXP(-LN(2)/2)*EC158+(1-EXP(-LN(2)/2))/(LN(2)/2)*DW159*DZ159*VLOOKUP('Données projet'!$B$14,Paramètres!$A$1:$I$88,3,0)*0.475*44/12</f>
        <v>0</v>
      </c>
      <c r="ED159" s="24">
        <f t="shared" si="178"/>
        <v>10.887555087565556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498.99999999999955</v>
      </c>
      <c r="EK159" s="18">
        <f>EJ159*VLOOKUP('Données projet'!$B$15,Paramètres!$A$1:$I$88,3,0)*VLOOKUP('Données projet'!$B$15,Paramètres!$A$1:$I$88,5,0)</f>
        <v>233.53199999999975</v>
      </c>
      <c r="EL159" s="14">
        <f t="shared" si="179"/>
        <v>57.04570382109803</v>
      </c>
      <c r="EM159" s="22">
        <f t="shared" si="180"/>
        <v>506.08950082174533</v>
      </c>
      <c r="EN159" s="62">
        <f t="shared" si="128"/>
        <v>793.44439926883365</v>
      </c>
      <c r="EO159" s="62">
        <f ca="1">AVERAGE(OFFSET($EN$3,0,0,'Données projet'!$E$15+1,1))-AVERAGE(OFFSET($H$3,0,0,'Données projet'!$E$15+1,1))</f>
        <v>267.26203506406682</v>
      </c>
      <c r="EP159" s="62">
        <f t="shared" si="154"/>
        <v>265.10857635664843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projet'!$B$15,Paramètres!$A$1:$I$88,3,0)*0.475*44/12</f>
        <v>6.9884371681755191</v>
      </c>
      <c r="EW159" s="23">
        <f>EXP(-LN(2)/25)*EW158+(1-EXP(-LN(2)/25))/(LN(2)/25)*Calculateur!ER159*Calculateur!ET159*VLOOKUP('Données projet'!$B$15,Paramètres!$A$1:$I$88,3,0)*0.475*44/12</f>
        <v>3.6048596737801488</v>
      </c>
      <c r="EX159" s="23">
        <f>EXP(-LN(2)/2)*EX158+(1-EXP(-LN(2)/2))/(LN(2)/2)*ER159*EU159*VLOOKUP('Données projet'!$B$15,Paramètres!$A$1:$I$88,3,0)*0.475*44/12</f>
        <v>0</v>
      </c>
      <c r="EY159" s="24">
        <f t="shared" si="181"/>
        <v>10.593296841955668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231</v>
      </c>
      <c r="FF159" s="18">
        <f>FE159*VLOOKUP('Données projet'!$B$16,Paramètres!$A$1:$I$88,3,0)*VLOOKUP('Données projet'!$B$16,Paramètres!$A$1:$I$88,5,0)</f>
        <v>169.36920000000001</v>
      </c>
      <c r="FG159" s="14">
        <f t="shared" si="182"/>
        <v>42.948714817158674</v>
      </c>
      <c r="FH159" s="22">
        <f t="shared" si="183"/>
        <v>369.787034973218</v>
      </c>
      <c r="FI159" s="62">
        <f t="shared" si="131"/>
        <v>657.14193342030626</v>
      </c>
      <c r="FJ159" s="62">
        <f ca="1">AVERAGE(OFFSET($FI$3,0,0,'Données projet'!$E$16+1,1))-AVERAGE(OFFSET($H$3,0,0,'Données projet'!$E$16+1,1))</f>
        <v>207.66160354686221</v>
      </c>
      <c r="FK159" s="62">
        <f t="shared" si="156"/>
        <v>260.45879589483525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projet'!$B$16,Paramètres!$A$1:$I$88,3,0)*0.475*44/12</f>
        <v>0.42694270842452819</v>
      </c>
      <c r="FR159" s="23">
        <f>EXP(-LN(2)/25)*FR158+(1-EXP(-LN(2)/25))/(LN(2)/25)*Calculateur!FM159*Calculateur!FO159*VLOOKUP('Données projet'!$B$16,Paramètres!$A$1:$I$88,3,0)*0.475*44/12</f>
        <v>0</v>
      </c>
      <c r="FS159" s="23">
        <f>EXP(-LN(2)/2)*FS158+(1-EXP(-LN(2)/2))/(LN(2)/2)*FM159*FP159*VLOOKUP('Données projet'!$B$16,Paramètres!$A$1:$I$88,3,0)*0.475*44/12</f>
        <v>0</v>
      </c>
      <c r="FT159" s="24">
        <f t="shared" si="184"/>
        <v>0.42694270842452819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projet'!$B$9,Paramètres!$A$1:$I$88,3,0)*VLOOKUP('Données projet'!$B$9,Paramètres!$A$1:$I$88,5,0)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378.13552372917843</v>
      </c>
      <c r="T160" s="62">
        <f t="shared" si="142"/>
        <v>528.97123645404952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32.30213093017268</v>
      </c>
      <c r="AA160" s="23">
        <f>EXP(-LN(2)/25)*AA159+(1-EXP(-LN(2)/25))/(LN(2)/25)*Calculateur!V160*Calculateur!X160*VLOOKUP('Données projet'!$B$9,Paramètres!$A$1:$I$88,3,0)*0.475*44/12</f>
        <v>7.4477406454900521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39.749871575662731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6.8</v>
      </c>
      <c r="AI160" s="14">
        <f>IF('Données projet'!$A$62&gt;35,AI159+AH160-AQ159,IF(A160&lt;'Données projet'!$A$62,$AF$205^A160,IF(A160='Données projet'!$A$62,'Données projet'!$B$62,AI159+AH160-AQ159)))</f>
        <v>418.60000000000031</v>
      </c>
      <c r="AJ160" s="14">
        <f>AI160*VLOOKUP('Données projet'!$B$10,Paramètres!$A$1:$I$88,3,0)*VLOOKUP('Données projet'!$B$10,Paramètres!$A$1:$I$88,5,0)</f>
        <v>378.74928000000023</v>
      </c>
      <c r="AK160" s="14">
        <f t="shared" si="164"/>
        <v>87.45481580368336</v>
      </c>
      <c r="AL160" s="22">
        <f t="shared" si="165"/>
        <v>811.97213352474898</v>
      </c>
      <c r="AM160" s="62">
        <f t="shared" si="113"/>
        <v>1099.4307444513356</v>
      </c>
      <c r="AN160" s="62">
        <f ca="1">AVERAGE(OFFSET($AM$3,0,0,'Données projet'!$E$10+1,1))-AVERAGE(OFFSET($H$3,0,0,'Données projet'!$E$10+1,1))</f>
        <v>536.3707066106856</v>
      </c>
      <c r="AO160" s="62">
        <f t="shared" si="144"/>
        <v>217.6280015974086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42.591756423790478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42.591756423790478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302.3</v>
      </c>
      <c r="BE160" s="14">
        <f>BD160*VLOOKUP('Données projet'!$B$11,Paramètres!$A$1:$I$88,3,0)*VLOOKUP('Données projet'!$B$11,Paramètres!$A$1:$I$88,5,0)</f>
        <v>180.77540000000005</v>
      </c>
      <c r="BF160" s="14">
        <f t="shared" si="167"/>
        <v>45.494655198846154</v>
      </c>
      <c r="BG160" s="22">
        <f t="shared" si="168"/>
        <v>394.08701280465715</v>
      </c>
      <c r="BH160" s="62">
        <f t="shared" si="116"/>
        <v>681.54562373124372</v>
      </c>
      <c r="BI160" s="62">
        <f ca="1">AVERAGE(OFFSET($BH$3,0,0,'Données projet'!$E$11+1,1))-AVERAGE(OFFSET($H$3,0,0,'Données projet'!$E$11+1,1))</f>
        <v>248.66193174773525</v>
      </c>
      <c r="BJ160" s="62">
        <f t="shared" si="146"/>
        <v>249.61655682981151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3.0379735926990596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1.0428863182262165E-14</v>
      </c>
      <c r="BS160" s="24">
        <f t="shared" si="169"/>
        <v>3.0379735926990699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860.00000000000023</v>
      </c>
      <c r="BZ160" s="14">
        <f>BY160*VLOOKUP('Données projet'!$B$12,Paramètres!$A$1:$I$88,3,0)*VLOOKUP('Données projet'!$B$12,Paramètres!$A$1:$I$88,5,0)</f>
        <v>346.5800000000001</v>
      </c>
      <c r="CA160" s="14">
        <f t="shared" si="170"/>
        <v>80.857895771535127</v>
      </c>
      <c r="CB160" s="22">
        <f t="shared" si="171"/>
        <v>744.45433513542378</v>
      </c>
      <c r="CC160" s="62">
        <f t="shared" si="119"/>
        <v>1031.9129460620104</v>
      </c>
      <c r="CD160" s="62">
        <f ca="1">AVERAGE(OFFSET($CC$3,0,0,'Données projet'!$E$12+1,1))-AVERAGE(OFFSET($H$3,0,0,'Données projet'!$E$12+1,1))</f>
        <v>432.59662347701629</v>
      </c>
      <c r="CE160" s="62">
        <f t="shared" si="148"/>
        <v>348.67401091099748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13.685044622209789</v>
      </c>
      <c r="CL160" s="23">
        <f>EXP(-LN(2)/25)*CL159+(1-EXP(-LN(2)/25))/(LN(2)/25)*Calculateur!CG160*Calculateur!CI160*VLOOKUP('Données projet'!$B$12,Paramètres!$A$1:$I$88,3,0)*0.475*44/12</f>
        <v>8.2225824622237234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21.907627084433514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1099.9999999999998</v>
      </c>
      <c r="CU160" s="18">
        <f>CT160*VLOOKUP('Données projet'!$B$13,Paramètres!$A$1:$I$88,3,0)*VLOOKUP('Données projet'!$B$13,Paramètres!$A$1:$I$88,5,0)</f>
        <v>486.19999999999993</v>
      </c>
      <c r="CV160" s="14">
        <f t="shared" si="173"/>
        <v>109.0490179035375</v>
      </c>
      <c r="CW160" s="22">
        <f t="shared" si="174"/>
        <v>1036.725372848661</v>
      </c>
      <c r="CX160" s="62">
        <f t="shared" si="122"/>
        <v>1324.1839837752475</v>
      </c>
      <c r="CY160" s="62">
        <f ca="1">AVERAGE(OFFSET($CX$3,0,0,'Données projet'!$E$13+1,1))-AVERAGE(OFFSET($H$3,0,0,'Données projet'!$E$13+1,1))</f>
        <v>582.26951914082088</v>
      </c>
      <c r="CZ160" s="62">
        <f t="shared" si="150"/>
        <v>434.80429932654715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13.789579270860697</v>
      </c>
      <c r="DG160" s="23">
        <f>EXP(-LN(2)/25)*DG159+(1-EXP(-LN(2)/25))/(LN(2)/25)*Calculateur!DB160*Calculateur!DD160*VLOOKUP('Données projet'!$B$13,Paramètres!$A$1:$I$88,3,0)*0.475*44/12</f>
        <v>7.3886303764829204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21.178209647343618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498.99999999999955</v>
      </c>
      <c r="DP160" s="18">
        <f>DO160*VLOOKUP('Données projet'!$B$14,Paramètres!$A$1:$I$88,3,0)*VLOOKUP('Données projet'!$B$14,Paramètres!$A$1:$I$88,5,0)</f>
        <v>240.01899999999978</v>
      </c>
      <c r="DQ160" s="14">
        <f t="shared" si="176"/>
        <v>58.443618405936313</v>
      </c>
      <c r="DR160" s="22">
        <f t="shared" si="177"/>
        <v>519.82239372367201</v>
      </c>
      <c r="DS160" s="62">
        <f t="shared" si="125"/>
        <v>807.28100465025864</v>
      </c>
      <c r="DT160" s="62">
        <f ca="1">AVERAGE(OFFSET($DS$3,0,0,'Données projet'!$E$14+1,1))-AVERAGE(OFFSET($H$3,0,0,'Données projet'!$E$14+1,1))</f>
        <v>273.24375559399846</v>
      </c>
      <c r="DU160" s="62">
        <f t="shared" si="152"/>
        <v>270.77718895097848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projet'!$B$14,Paramètres!$A$1:$I$88,3,0)*0.475*44/12</f>
        <v>7.0417147938843119</v>
      </c>
      <c r="EB160" s="23">
        <f>EXP(-LN(2)/25)*EB159+(1-EXP(-LN(2)/25))/(LN(2)/25)*Calculateur!DW160*Calculateur!DY160*VLOOKUP('Données projet'!$B$14,Paramètres!$A$1:$I$88,3,0)*0.475*44/12</f>
        <v>3.6036813907745606</v>
      </c>
      <c r="EC160" s="23">
        <f>EXP(-LN(2)/2)*EC159+(1-EXP(-LN(2)/2))/(LN(2)/2)*DW160*DZ160*VLOOKUP('Données projet'!$B$14,Paramètres!$A$1:$I$88,3,0)*0.475*44/12</f>
        <v>0</v>
      </c>
      <c r="ED160" s="24">
        <f t="shared" si="178"/>
        <v>10.645396184658873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498.99999999999955</v>
      </c>
      <c r="EK160" s="18">
        <f>EJ160*VLOOKUP('Données projet'!$B$15,Paramètres!$A$1:$I$88,3,0)*VLOOKUP('Données projet'!$B$15,Paramètres!$A$1:$I$88,5,0)</f>
        <v>233.53199999999975</v>
      </c>
      <c r="EL160" s="14">
        <f t="shared" si="179"/>
        <v>57.04570382109803</v>
      </c>
      <c r="EM160" s="22">
        <f t="shared" si="180"/>
        <v>506.08950082174533</v>
      </c>
      <c r="EN160" s="62">
        <f t="shared" si="128"/>
        <v>793.54811174833185</v>
      </c>
      <c r="EO160" s="62">
        <f ca="1">AVERAGE(OFFSET($EN$3,0,0,'Données projet'!$E$15+1,1))-AVERAGE(OFFSET($H$3,0,0,'Données projet'!$E$15+1,1))</f>
        <v>267.26203506406682</v>
      </c>
      <c r="EP160" s="62">
        <f t="shared" si="154"/>
        <v>265.10857635664843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projet'!$B$15,Paramètres!$A$1:$I$88,3,0)*0.475*44/12</f>
        <v>6.8513981778333806</v>
      </c>
      <c r="EW160" s="23">
        <f>EXP(-LN(2)/25)*EW159+(1-EXP(-LN(2)/25))/(LN(2)/25)*Calculateur!ER160*Calculateur!ET160*VLOOKUP('Données projet'!$B$15,Paramètres!$A$1:$I$88,3,0)*0.475*44/12</f>
        <v>3.5062845964292992</v>
      </c>
      <c r="EX160" s="23">
        <f>EXP(-LN(2)/2)*EX159+(1-EXP(-LN(2)/2))/(LN(2)/2)*ER160*EU160*VLOOKUP('Données projet'!$B$15,Paramètres!$A$1:$I$88,3,0)*0.475*44/12</f>
        <v>0</v>
      </c>
      <c r="EY160" s="24">
        <f t="shared" si="181"/>
        <v>10.357682774262679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231</v>
      </c>
      <c r="FF160" s="18">
        <f>FE160*VLOOKUP('Données projet'!$B$16,Paramètres!$A$1:$I$88,3,0)*VLOOKUP('Données projet'!$B$16,Paramètres!$A$1:$I$88,5,0)</f>
        <v>169.36920000000001</v>
      </c>
      <c r="FG160" s="14">
        <f t="shared" si="182"/>
        <v>42.948714817158674</v>
      </c>
      <c r="FH160" s="22">
        <f t="shared" si="183"/>
        <v>369.787034973218</v>
      </c>
      <c r="FI160" s="62">
        <f t="shared" si="131"/>
        <v>657.24564589980457</v>
      </c>
      <c r="FJ160" s="62">
        <f ca="1">AVERAGE(OFFSET($FI$3,0,0,'Données projet'!$E$16+1,1))-AVERAGE(OFFSET($H$3,0,0,'Données projet'!$E$16+1,1))</f>
        <v>207.66160354686221</v>
      </c>
      <c r="FK160" s="62">
        <f t="shared" si="156"/>
        <v>260.45879589483525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projet'!$B$16,Paramètres!$A$1:$I$88,3,0)*0.475*44/12</f>
        <v>0.41857062232166203</v>
      </c>
      <c r="FR160" s="23">
        <f>EXP(-LN(2)/25)*FR159+(1-EXP(-LN(2)/25))/(LN(2)/25)*Calculateur!FM160*Calculateur!FO160*VLOOKUP('Données projet'!$B$16,Paramètres!$A$1:$I$88,3,0)*0.475*44/12</f>
        <v>0</v>
      </c>
      <c r="FS160" s="23">
        <f>EXP(-LN(2)/2)*FS159+(1-EXP(-LN(2)/2))/(LN(2)/2)*FM160*FP160*VLOOKUP('Données projet'!$B$16,Paramètres!$A$1:$I$88,3,0)*0.475*44/12</f>
        <v>0</v>
      </c>
      <c r="FT160" s="24">
        <f t="shared" si="184"/>
        <v>0.41857062232166203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projet'!$B$9,Paramètres!$A$1:$I$88,3,0)*VLOOKUP('Données projet'!$B$9,Paramètres!$A$1:$I$88,5,0)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378.13552372917843</v>
      </c>
      <c r="T161" s="62">
        <f t="shared" si="142"/>
        <v>528.97123645404952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31.668705844986416</v>
      </c>
      <c r="AA161" s="23">
        <f>EXP(-LN(2)/25)*AA160+(1-EXP(-LN(2)/25))/(LN(2)/25)*Calculateur!V161*Calculateur!X161*VLOOKUP('Données projet'!$B$9,Paramètres!$A$1:$I$88,3,0)*0.475*44/12</f>
        <v>7.2440817858794677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38.912787630865886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6.8</v>
      </c>
      <c r="AI161" s="14">
        <f>IF('Données projet'!$A$62&gt;35,AI160+AH161-AQ160,IF(A161&lt;'Données projet'!$A$62,$AF$205^A161,IF(A161='Données projet'!$A$62,'Données projet'!$B$62,AI160+AH161-AQ160)))</f>
        <v>425.40000000000032</v>
      </c>
      <c r="AJ161" s="14">
        <f>AI161*VLOOKUP('Données projet'!$B$10,Paramètres!$A$1:$I$88,3,0)*VLOOKUP('Données projet'!$B$10,Paramètres!$A$1:$I$88,5,0)</f>
        <v>384.9019200000003</v>
      </c>
      <c r="AK161" s="14">
        <f t="shared" si="164"/>
        <v>88.708940720038413</v>
      </c>
      <c r="AL161" s="22">
        <f t="shared" si="165"/>
        <v>824.87224908740075</v>
      </c>
      <c r="AM161" s="62">
        <f t="shared" si="113"/>
        <v>1112.4327733138327</v>
      </c>
      <c r="AN161" s="62">
        <f ca="1">AVERAGE(OFFSET($AM$3,0,0,'Données projet'!$E$10+1,1))-AVERAGE(OFFSET($H$3,0,0,'Données projet'!$E$10+1,1))</f>
        <v>536.3707066106856</v>
      </c>
      <c r="AO161" s="62">
        <f t="shared" si="144"/>
        <v>217.6280015974086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41.756558058726213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41.756558058726213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302.3</v>
      </c>
      <c r="BE161" s="14">
        <f>BD161*VLOOKUP('Données projet'!$B$11,Paramètres!$A$1:$I$88,3,0)*VLOOKUP('Données projet'!$B$11,Paramètres!$A$1:$I$88,5,0)</f>
        <v>180.77540000000005</v>
      </c>
      <c r="BF161" s="14">
        <f t="shared" si="167"/>
        <v>45.494655198846154</v>
      </c>
      <c r="BG161" s="22">
        <f t="shared" si="168"/>
        <v>394.08701280465715</v>
      </c>
      <c r="BH161" s="62">
        <f t="shared" si="116"/>
        <v>681.64753703108909</v>
      </c>
      <c r="BI161" s="62">
        <f ca="1">AVERAGE(OFFSET($BH$3,0,0,'Données projet'!$E$11+1,1))-AVERAGE(OFFSET($H$3,0,0,'Données projet'!$E$11+1,1))</f>
        <v>248.66193174773525</v>
      </c>
      <c r="BJ161" s="62">
        <f t="shared" si="146"/>
        <v>249.61655682981151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2.9784007835271558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7.3743198762442943E-15</v>
      </c>
      <c r="BS161" s="24">
        <f t="shared" si="169"/>
        <v>2.9784007835271633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860.00000000000023</v>
      </c>
      <c r="BZ161" s="14">
        <f>BY161*VLOOKUP('Données projet'!$B$12,Paramètres!$A$1:$I$88,3,0)*VLOOKUP('Données projet'!$B$12,Paramètres!$A$1:$I$88,5,0)</f>
        <v>346.5800000000001</v>
      </c>
      <c r="CA161" s="14">
        <f t="shared" si="170"/>
        <v>80.857895771535127</v>
      </c>
      <c r="CB161" s="22">
        <f t="shared" si="171"/>
        <v>744.45433513542378</v>
      </c>
      <c r="CC161" s="62">
        <f t="shared" si="119"/>
        <v>1032.0148593618558</v>
      </c>
      <c r="CD161" s="62">
        <f ca="1">AVERAGE(OFFSET($CC$3,0,0,'Données projet'!$E$12+1,1))-AVERAGE(OFFSET($H$3,0,0,'Données projet'!$E$12+1,1))</f>
        <v>432.59662347701629</v>
      </c>
      <c r="CE161" s="62">
        <f t="shared" si="148"/>
        <v>348.67401091099748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13.416689244221272</v>
      </c>
      <c r="CL161" s="23">
        <f>EXP(-LN(2)/25)*CL160+(1-EXP(-LN(2)/25))/(LN(2)/25)*Calculateur!CG161*Calculateur!CI161*VLOOKUP('Données projet'!$B$12,Paramètres!$A$1:$I$88,3,0)*0.475*44/12</f>
        <v>7.997735512387397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21.414424756608668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1099.9999999999998</v>
      </c>
      <c r="CU161" s="18">
        <f>CT161*VLOOKUP('Données projet'!$B$13,Paramètres!$A$1:$I$88,3,0)*VLOOKUP('Données projet'!$B$13,Paramètres!$A$1:$I$88,5,0)</f>
        <v>486.19999999999993</v>
      </c>
      <c r="CV161" s="14">
        <f t="shared" si="173"/>
        <v>109.0490179035375</v>
      </c>
      <c r="CW161" s="22">
        <f t="shared" si="174"/>
        <v>1036.725372848661</v>
      </c>
      <c r="CX161" s="62">
        <f t="shared" si="122"/>
        <v>1324.2858970750931</v>
      </c>
      <c r="CY161" s="62">
        <f ca="1">AVERAGE(OFFSET($CX$3,0,0,'Données projet'!$E$13+1,1))-AVERAGE(OFFSET($H$3,0,0,'Données projet'!$E$13+1,1))</f>
        <v>582.26951914082088</v>
      </c>
      <c r="CZ161" s="62">
        <f t="shared" si="150"/>
        <v>434.80429932654715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13.519174032171975</v>
      </c>
      <c r="DG161" s="23">
        <f>EXP(-LN(2)/25)*DG160+(1-EXP(-LN(2)/25))/(LN(2)/25)*Calculateur!DB161*Calculateur!DD161*VLOOKUP('Données projet'!$B$13,Paramètres!$A$1:$I$88,3,0)*0.475*44/12</f>
        <v>7.1865878902868108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20.705761922458784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498.99999999999955</v>
      </c>
      <c r="DP161" s="18">
        <f>DO161*VLOOKUP('Données projet'!$B$14,Paramètres!$A$1:$I$88,3,0)*VLOOKUP('Données projet'!$B$14,Paramètres!$A$1:$I$88,5,0)</f>
        <v>240.01899999999978</v>
      </c>
      <c r="DQ161" s="14">
        <f t="shared" si="176"/>
        <v>58.443618405936313</v>
      </c>
      <c r="DR161" s="22">
        <f t="shared" si="177"/>
        <v>519.82239372367201</v>
      </c>
      <c r="DS161" s="62">
        <f t="shared" si="125"/>
        <v>807.382917950104</v>
      </c>
      <c r="DT161" s="62">
        <f ca="1">AVERAGE(OFFSET($DS$3,0,0,'Données projet'!$E$14+1,1))-AVERAGE(OFFSET($H$3,0,0,'Données projet'!$E$14+1,1))</f>
        <v>273.24375559399846</v>
      </c>
      <c r="DU161" s="62">
        <f t="shared" si="152"/>
        <v>270.77718895097848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projet'!$B$14,Paramètres!$A$1:$I$88,3,0)*0.475*44/12</f>
        <v>6.9036310617981664</v>
      </c>
      <c r="EB161" s="23">
        <f>EXP(-LN(2)/25)*EB160+(1-EXP(-LN(2)/25))/(LN(2)/25)*Calculateur!DW161*Calculateur!DY161*VLOOKUP('Données projet'!$B$14,Paramètres!$A$1:$I$88,3,0)*0.475*44/12</f>
        <v>3.505138533634462</v>
      </c>
      <c r="EC161" s="23">
        <f>EXP(-LN(2)/2)*EC160+(1-EXP(-LN(2)/2))/(LN(2)/2)*DW161*DZ161*VLOOKUP('Données projet'!$B$14,Paramètres!$A$1:$I$88,3,0)*0.475*44/12</f>
        <v>0</v>
      </c>
      <c r="ED161" s="24">
        <f t="shared" si="178"/>
        <v>10.408769595432629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498.99999999999955</v>
      </c>
      <c r="EK161" s="18">
        <f>EJ161*VLOOKUP('Données projet'!$B$15,Paramètres!$A$1:$I$88,3,0)*VLOOKUP('Données projet'!$B$15,Paramètres!$A$1:$I$88,5,0)</f>
        <v>233.53199999999975</v>
      </c>
      <c r="EL161" s="14">
        <f t="shared" si="179"/>
        <v>57.04570382109803</v>
      </c>
      <c r="EM161" s="22">
        <f t="shared" si="180"/>
        <v>506.08950082174533</v>
      </c>
      <c r="EN161" s="62">
        <f t="shared" si="128"/>
        <v>793.65002504817733</v>
      </c>
      <c r="EO161" s="62">
        <f ca="1">AVERAGE(OFFSET($EN$3,0,0,'Données projet'!$E$15+1,1))-AVERAGE(OFFSET($H$3,0,0,'Données projet'!$E$15+1,1))</f>
        <v>267.26203506406682</v>
      </c>
      <c r="EP161" s="62">
        <f t="shared" si="154"/>
        <v>265.10857635664843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projet'!$B$15,Paramètres!$A$1:$I$88,3,0)*0.475*44/12</f>
        <v>6.71704643850632</v>
      </c>
      <c r="EW161" s="23">
        <f>EXP(-LN(2)/25)*EW160+(1-EXP(-LN(2)/25))/(LN(2)/25)*Calculateur!ER161*Calculateur!ET161*VLOOKUP('Données projet'!$B$15,Paramètres!$A$1:$I$88,3,0)*0.475*44/12</f>
        <v>3.4104050597524469</v>
      </c>
      <c r="EX161" s="23">
        <f>EXP(-LN(2)/2)*EX160+(1-EXP(-LN(2)/2))/(LN(2)/2)*ER161*EU161*VLOOKUP('Données projet'!$B$15,Paramètres!$A$1:$I$88,3,0)*0.475*44/12</f>
        <v>0</v>
      </c>
      <c r="EY161" s="24">
        <f t="shared" si="181"/>
        <v>10.127451498258766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231</v>
      </c>
      <c r="FF161" s="18">
        <f>FE161*VLOOKUP('Données projet'!$B$16,Paramètres!$A$1:$I$88,3,0)*VLOOKUP('Données projet'!$B$16,Paramètres!$A$1:$I$88,5,0)</f>
        <v>169.36920000000001</v>
      </c>
      <c r="FG161" s="14">
        <f t="shared" si="182"/>
        <v>42.948714817158674</v>
      </c>
      <c r="FH161" s="22">
        <f t="shared" si="183"/>
        <v>369.787034973218</v>
      </c>
      <c r="FI161" s="62">
        <f t="shared" si="131"/>
        <v>657.34755919965005</v>
      </c>
      <c r="FJ161" s="62">
        <f ca="1">AVERAGE(OFFSET($FI$3,0,0,'Données projet'!$E$16+1,1))-AVERAGE(OFFSET($H$3,0,0,'Données projet'!$E$16+1,1))</f>
        <v>207.66160354686221</v>
      </c>
      <c r="FK161" s="62">
        <f t="shared" si="156"/>
        <v>260.45879589483525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projet'!$B$16,Paramètres!$A$1:$I$88,3,0)*0.475*44/12</f>
        <v>0.4103627077208048</v>
      </c>
      <c r="FR161" s="23">
        <f>EXP(-LN(2)/25)*FR160+(1-EXP(-LN(2)/25))/(LN(2)/25)*Calculateur!FM161*Calculateur!FO161*VLOOKUP('Données projet'!$B$16,Paramètres!$A$1:$I$88,3,0)*0.475*44/12</f>
        <v>0</v>
      </c>
      <c r="FS161" s="23">
        <f>EXP(-LN(2)/2)*FS160+(1-EXP(-LN(2)/2))/(LN(2)/2)*FM161*FP161*VLOOKUP('Données projet'!$B$16,Paramètres!$A$1:$I$88,3,0)*0.475*44/12</f>
        <v>0</v>
      </c>
      <c r="FT161" s="24">
        <f t="shared" si="184"/>
        <v>0.4103627077208048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projet'!$B$9,Paramètres!$A$1:$I$88,3,0)*VLOOKUP('Données projet'!$B$9,Paramètres!$A$1:$I$88,5,0)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378.13552372917843</v>
      </c>
      <c r="T162" s="62">
        <f t="shared" si="142"/>
        <v>528.97123645404952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31.047701839369502</v>
      </c>
      <c r="AA162" s="23">
        <f>EXP(-LN(2)/25)*AA161+(1-EXP(-LN(2)/25))/(LN(2)/25)*Calculateur!V162*Calculateur!X162*VLOOKUP('Données projet'!$B$9,Paramètres!$A$1:$I$88,3,0)*0.475*44/12</f>
        <v>7.0459919884948894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38.093693827864392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6.8</v>
      </c>
      <c r="AI162" s="14">
        <f>IF('Données projet'!$A$62&gt;35,AI161+AH162-AQ161,IF(A162&lt;'Données projet'!$A$62,$AF$205^A162,IF(A162='Données projet'!$A$62,'Données projet'!$B$62,AI161+AH162-AQ161)))</f>
        <v>432.20000000000033</v>
      </c>
      <c r="AJ162" s="14">
        <f>AI162*VLOOKUP('Données projet'!$B$10,Paramètres!$A$1:$I$88,3,0)*VLOOKUP('Données projet'!$B$10,Paramètres!$A$1:$I$88,5,0)</f>
        <v>391.05456000000032</v>
      </c>
      <c r="AK162" s="14">
        <f t="shared" si="164"/>
        <v>89.960734214950293</v>
      </c>
      <c r="AL162" s="22">
        <f t="shared" si="165"/>
        <v>837.76830409103889</v>
      </c>
      <c r="AM162" s="62">
        <f t="shared" si="113"/>
        <v>1125.4289736494079</v>
      </c>
      <c r="AN162" s="62">
        <f ca="1">AVERAGE(OFFSET($AM$3,0,0,'Données projet'!$E$10+1,1))-AVERAGE(OFFSET($H$3,0,0,'Données projet'!$E$10+1,1))</f>
        <v>536.3707066106856</v>
      </c>
      <c r="AO162" s="62">
        <f t="shared" si="144"/>
        <v>217.6280015974086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40.937737424180156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40.937737424180156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302.3</v>
      </c>
      <c r="BE162" s="14">
        <f>BD162*VLOOKUP('Données projet'!$B$11,Paramètres!$A$1:$I$88,3,0)*VLOOKUP('Données projet'!$B$11,Paramètres!$A$1:$I$88,5,0)</f>
        <v>180.77540000000005</v>
      </c>
      <c r="BF162" s="14">
        <f t="shared" si="167"/>
        <v>45.494655198846154</v>
      </c>
      <c r="BG162" s="22">
        <f t="shared" si="168"/>
        <v>394.08701280465715</v>
      </c>
      <c r="BH162" s="62">
        <f t="shared" si="116"/>
        <v>681.74768236302612</v>
      </c>
      <c r="BI162" s="62">
        <f ca="1">AVERAGE(OFFSET($BH$3,0,0,'Données projet'!$E$11+1,1))-AVERAGE(OFFSET($H$3,0,0,'Données projet'!$E$11+1,1))</f>
        <v>248.66193174773525</v>
      </c>
      <c r="BJ162" s="62">
        <f t="shared" si="146"/>
        <v>249.61655682981151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2.9199961608072873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5.2144315911310825E-15</v>
      </c>
      <c r="BS162" s="24">
        <f t="shared" si="169"/>
        <v>2.9199961608072926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860.00000000000023</v>
      </c>
      <c r="BZ162" s="14">
        <f>BY162*VLOOKUP('Données projet'!$B$12,Paramètres!$A$1:$I$88,3,0)*VLOOKUP('Données projet'!$B$12,Paramètres!$A$1:$I$88,5,0)</f>
        <v>346.5800000000001</v>
      </c>
      <c r="CA162" s="14">
        <f t="shared" si="170"/>
        <v>80.857895771535127</v>
      </c>
      <c r="CB162" s="22">
        <f t="shared" si="171"/>
        <v>744.45433513542378</v>
      </c>
      <c r="CC162" s="62">
        <f t="shared" si="119"/>
        <v>1032.1150046937928</v>
      </c>
      <c r="CD162" s="62">
        <f ca="1">AVERAGE(OFFSET($CC$3,0,0,'Données projet'!$E$12+1,1))-AVERAGE(OFFSET($H$3,0,0,'Données projet'!$E$12+1,1))</f>
        <v>432.59662347701629</v>
      </c>
      <c r="CE162" s="62">
        <f t="shared" si="148"/>
        <v>348.67401091099748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13.153596151514492</v>
      </c>
      <c r="CL162" s="23">
        <f>EXP(-LN(2)/25)*CL161+(1-EXP(-LN(2)/25))/(LN(2)/25)*Calculateur!CG162*Calculateur!CI162*VLOOKUP('Données projet'!$B$12,Paramètres!$A$1:$I$88,3,0)*0.475*44/12</f>
        <v>7.7790370142185319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20.932633165733023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1099.9999999999998</v>
      </c>
      <c r="CU162" s="18">
        <f>CT162*VLOOKUP('Données projet'!$B$13,Paramètres!$A$1:$I$88,3,0)*VLOOKUP('Données projet'!$B$13,Paramètres!$A$1:$I$88,5,0)</f>
        <v>486.19999999999993</v>
      </c>
      <c r="CV162" s="14">
        <f t="shared" si="173"/>
        <v>109.0490179035375</v>
      </c>
      <c r="CW162" s="22">
        <f t="shared" si="174"/>
        <v>1036.725372848661</v>
      </c>
      <c r="CX162" s="62">
        <f t="shared" si="122"/>
        <v>1324.3860424070299</v>
      </c>
      <c r="CY162" s="62">
        <f ca="1">AVERAGE(OFFSET($CX$3,0,0,'Données projet'!$E$13+1,1))-AVERAGE(OFFSET($H$3,0,0,'Données projet'!$E$13+1,1))</f>
        <v>582.26951914082088</v>
      </c>
      <c r="CZ162" s="62">
        <f t="shared" si="150"/>
        <v>434.80429932654715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13.254071275283028</v>
      </c>
      <c r="DG162" s="23">
        <f>EXP(-LN(2)/25)*DG161+(1-EXP(-LN(2)/25))/(LN(2)/25)*Calculateur!DB162*Calculateur!DD162*VLOOKUP('Données projet'!$B$13,Paramètres!$A$1:$I$88,3,0)*0.475*44/12</f>
        <v>6.9900702665006857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20.244141541783712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498.99999999999955</v>
      </c>
      <c r="DP162" s="18">
        <f>DO162*VLOOKUP('Données projet'!$B$14,Paramètres!$A$1:$I$88,3,0)*VLOOKUP('Données projet'!$B$14,Paramètres!$A$1:$I$88,5,0)</f>
        <v>240.01899999999978</v>
      </c>
      <c r="DQ162" s="14">
        <f t="shared" si="176"/>
        <v>58.443618405936313</v>
      </c>
      <c r="DR162" s="22">
        <f t="shared" si="177"/>
        <v>519.82239372367201</v>
      </c>
      <c r="DS162" s="62">
        <f t="shared" si="125"/>
        <v>807.48306328204103</v>
      </c>
      <c r="DT162" s="62">
        <f ca="1">AVERAGE(OFFSET($DS$3,0,0,'Données projet'!$E$14+1,1))-AVERAGE(OFFSET($H$3,0,0,'Données projet'!$E$14+1,1))</f>
        <v>273.24375559399846</v>
      </c>
      <c r="DU162" s="62">
        <f t="shared" si="152"/>
        <v>270.77718895097848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projet'!$B$14,Paramètres!$A$1:$I$88,3,0)*0.475*44/12</f>
        <v>6.7682550674754705</v>
      </c>
      <c r="EB162" s="23">
        <f>EXP(-LN(2)/25)*EB161+(1-EXP(-LN(2)/25))/(LN(2)/25)*Calculateur!DW162*Calculateur!DY162*VLOOKUP('Données projet'!$B$14,Paramètres!$A$1:$I$88,3,0)*0.475*44/12</f>
        <v>3.4092903361050033</v>
      </c>
      <c r="EC162" s="23">
        <f>EXP(-LN(2)/2)*EC161+(1-EXP(-LN(2)/2))/(LN(2)/2)*DW162*DZ162*VLOOKUP('Données projet'!$B$14,Paramètres!$A$1:$I$88,3,0)*0.475*44/12</f>
        <v>0</v>
      </c>
      <c r="ED162" s="24">
        <f t="shared" si="178"/>
        <v>10.177545403580474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498.99999999999955</v>
      </c>
      <c r="EK162" s="18">
        <f>EJ162*VLOOKUP('Données projet'!$B$15,Paramètres!$A$1:$I$88,3,0)*VLOOKUP('Données projet'!$B$15,Paramètres!$A$1:$I$88,5,0)</f>
        <v>233.53199999999975</v>
      </c>
      <c r="EL162" s="14">
        <f t="shared" si="179"/>
        <v>57.04570382109803</v>
      </c>
      <c r="EM162" s="22">
        <f t="shared" si="180"/>
        <v>506.08950082174533</v>
      </c>
      <c r="EN162" s="62">
        <f t="shared" si="128"/>
        <v>793.75017038011424</v>
      </c>
      <c r="EO162" s="62">
        <f ca="1">AVERAGE(OFFSET($EN$3,0,0,'Données projet'!$E$15+1,1))-AVERAGE(OFFSET($H$3,0,0,'Données projet'!$E$15+1,1))</f>
        <v>267.26203506406682</v>
      </c>
      <c r="EP162" s="62">
        <f t="shared" si="154"/>
        <v>265.10857635664843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projet'!$B$15,Paramètres!$A$1:$I$88,3,0)*0.475*44/12</f>
        <v>6.5853292548409943</v>
      </c>
      <c r="EW162" s="23">
        <f>EXP(-LN(2)/25)*EW161+(1-EXP(-LN(2)/25))/(LN(2)/25)*Calculateur!ER162*Calculateur!ET162*VLOOKUP('Données projet'!$B$15,Paramètres!$A$1:$I$88,3,0)*0.475*44/12</f>
        <v>3.3171473540481089</v>
      </c>
      <c r="EX162" s="23">
        <f>EXP(-LN(2)/2)*EX161+(1-EXP(-LN(2)/2))/(LN(2)/2)*ER162*EU162*VLOOKUP('Données projet'!$B$15,Paramètres!$A$1:$I$88,3,0)*0.475*44/12</f>
        <v>0</v>
      </c>
      <c r="EY162" s="24">
        <f t="shared" si="181"/>
        <v>9.9024766088891027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231</v>
      </c>
      <c r="FF162" s="18">
        <f>FE162*VLOOKUP('Données projet'!$B$16,Paramètres!$A$1:$I$88,3,0)*VLOOKUP('Données projet'!$B$16,Paramètres!$A$1:$I$88,5,0)</f>
        <v>169.36920000000001</v>
      </c>
      <c r="FG162" s="14">
        <f t="shared" si="182"/>
        <v>42.948714817158674</v>
      </c>
      <c r="FH162" s="22">
        <f t="shared" si="183"/>
        <v>369.787034973218</v>
      </c>
      <c r="FI162" s="62">
        <f t="shared" si="131"/>
        <v>657.44770453158696</v>
      </c>
      <c r="FJ162" s="62">
        <f ca="1">AVERAGE(OFFSET($FI$3,0,0,'Données projet'!$E$16+1,1))-AVERAGE(OFFSET($H$3,0,0,'Données projet'!$E$16+1,1))</f>
        <v>207.66160354686221</v>
      </c>
      <c r="FK162" s="62">
        <f t="shared" si="156"/>
        <v>260.45879589483525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projet'!$B$16,Paramètres!$A$1:$I$88,3,0)*0.475*44/12</f>
        <v>0.40231574531893677</v>
      </c>
      <c r="FR162" s="23">
        <f>EXP(-LN(2)/25)*FR161+(1-EXP(-LN(2)/25))/(LN(2)/25)*Calculateur!FM162*Calculateur!FO162*VLOOKUP('Données projet'!$B$16,Paramètres!$A$1:$I$88,3,0)*0.475*44/12</f>
        <v>0</v>
      </c>
      <c r="FS162" s="23">
        <f>EXP(-LN(2)/2)*FS161+(1-EXP(-LN(2)/2))/(LN(2)/2)*FM162*FP162*VLOOKUP('Données projet'!$B$16,Paramètres!$A$1:$I$88,3,0)*0.475*44/12</f>
        <v>0</v>
      </c>
      <c r="FT162" s="24">
        <f t="shared" si="184"/>
        <v>0.40231574531893677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projet'!$B$9,Paramètres!$A$1:$I$88,3,0)*VLOOKUP('Données projet'!$B$9,Paramètres!$A$1:$I$88,5,0)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378.13552372917843</v>
      </c>
      <c r="T163" s="62">
        <f t="shared" si="142"/>
        <v>528.97123645404952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30.438875343527691</v>
      </c>
      <c r="AA163" s="23">
        <f>EXP(-LN(2)/25)*AA162+(1-EXP(-LN(2)/25))/(LN(2)/25)*Calculateur!V163*Calculateur!X163*VLOOKUP('Données projet'!$B$9,Paramètres!$A$1:$I$88,3,0)*0.475*44/12</f>
        <v>6.8533189670368815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37.292194310564575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>
        <f>VLOOKUP(A163,'Données projet'!$A$61:$I$81,2,0)</f>
        <v>439</v>
      </c>
      <c r="AG163" s="13">
        <f>VLOOKUP(A163,'Données projet'!$A$61:$I$81,9,0)</f>
        <v>6.8</v>
      </c>
      <c r="AH163" s="13">
        <f t="array" ref="AH163">INDEX(AG:AG,MIN(IF(ISNUMBER(AG163:AG359),ROW(AG163:AG359),"")))</f>
        <v>6.8</v>
      </c>
      <c r="AI163" s="14">
        <f>IF('Données projet'!$A$62&gt;35,AI162+AH163-AQ162,IF(A163&lt;'Données projet'!$A$62,$AF$205^A163,IF(A163='Données projet'!$A$62,'Données projet'!$B$62,AI162+AH163-AQ162)))</f>
        <v>439.00000000000034</v>
      </c>
      <c r="AJ163" s="14">
        <f>AI163*VLOOKUP('Données projet'!$B$10,Paramètres!$A$1:$I$88,3,0)*VLOOKUP('Données projet'!$B$10,Paramètres!$A$1:$I$88,5,0)</f>
        <v>397.20720000000028</v>
      </c>
      <c r="AK163" s="14">
        <f t="shared" si="164"/>
        <v>91.210237205367548</v>
      </c>
      <c r="AL163" s="22">
        <f t="shared" si="165"/>
        <v>850.66036979934904</v>
      </c>
      <c r="AM163" s="62">
        <f t="shared" si="113"/>
        <v>1138.4194473920375</v>
      </c>
      <c r="AN163" s="62">
        <f ca="1">AVERAGE(OFFSET($AM$3,0,0,'Données projet'!$E$10+1,1))-AVERAGE(OFFSET($H$3,0,0,'Données projet'!$E$10+1,1))</f>
        <v>536.3707066106856</v>
      </c>
      <c r="AO163" s="62">
        <f t="shared" si="144"/>
        <v>217.6280015974086</v>
      </c>
      <c r="AP163" s="16">
        <f>IF(ISNA(VLOOKUP(A163,'Données projet'!$A$61:$I$81,3,0)),0,VLOOKUP(A163,'Données projet'!$A$61:$I$81,3,0))</f>
        <v>18</v>
      </c>
      <c r="AQ163" s="16">
        <f>IF(ISNA(VLOOKUP(A163,'Données projet'!$A$61:$I$81,4,0)),0,VLOOKUP(A163,'Données projet'!$A$61:$I$81,4,0))</f>
        <v>51</v>
      </c>
      <c r="AR163" s="17">
        <f>IF(ISNA(VLOOKUP(A163,'Données projet'!$A$61:$I$81,5,0)),0%,VLOOKUP(A163,'Données projet'!$A$61:$I$81,5,0)*VLOOKUP('Données projet'!$B$10,Paramètres!$A$1:$I$88,7,0))</f>
        <v>0.30099999999999999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55.489497943257369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55.489497943257369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302.3</v>
      </c>
      <c r="BE163" s="14">
        <f>BD163*VLOOKUP('Données projet'!$B$11,Paramètres!$A$1:$I$88,3,0)*VLOOKUP('Données projet'!$B$11,Paramètres!$A$1:$I$88,5,0)</f>
        <v>180.77540000000005</v>
      </c>
      <c r="BF163" s="14">
        <f t="shared" si="167"/>
        <v>45.494655198846154</v>
      </c>
      <c r="BG163" s="22">
        <f t="shared" si="168"/>
        <v>394.08701280465715</v>
      </c>
      <c r="BH163" s="62">
        <f t="shared" si="116"/>
        <v>681.84609039734551</v>
      </c>
      <c r="BI163" s="62">
        <f ca="1">AVERAGE(OFFSET($BH$3,0,0,'Données projet'!$E$11+1,1))-AVERAGE(OFFSET($H$3,0,0,'Données projet'!$E$11+1,1))</f>
        <v>248.66193174773525</v>
      </c>
      <c r="BJ163" s="62">
        <f t="shared" si="146"/>
        <v>249.61655682981151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2.8627368171156533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3.6871599381221471E-15</v>
      </c>
      <c r="BS163" s="24">
        <f t="shared" si="169"/>
        <v>2.8627368171156569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860.00000000000023</v>
      </c>
      <c r="BZ163" s="14">
        <f>BY163*VLOOKUP('Données projet'!$B$12,Paramètres!$A$1:$I$88,3,0)*VLOOKUP('Données projet'!$B$12,Paramètres!$A$1:$I$88,5,0)</f>
        <v>346.5800000000001</v>
      </c>
      <c r="CA163" s="14">
        <f t="shared" si="170"/>
        <v>80.857895771535127</v>
      </c>
      <c r="CB163" s="22">
        <f t="shared" si="171"/>
        <v>744.45433513542378</v>
      </c>
      <c r="CC163" s="62">
        <f t="shared" si="119"/>
        <v>1032.2134127281122</v>
      </c>
      <c r="CD163" s="62">
        <f ca="1">AVERAGE(OFFSET($CC$3,0,0,'Données projet'!$E$12+1,1))-AVERAGE(OFFSET($H$3,0,0,'Données projet'!$E$12+1,1))</f>
        <v>432.59662347701629</v>
      </c>
      <c r="CE163" s="62">
        <f t="shared" si="148"/>
        <v>348.67401091099748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12.89566215388475</v>
      </c>
      <c r="CL163" s="23">
        <f>EXP(-LN(2)/25)*CL162+(1-EXP(-LN(2)/25))/(LN(2)/25)*Calculateur!CG163*Calculateur!CI163*VLOOKUP('Données projet'!$B$12,Paramètres!$A$1:$I$88,3,0)*0.475*44/12</f>
        <v>7.5663188379829487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20.461980991867698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1099.9999999999998</v>
      </c>
      <c r="CU163" s="18">
        <f>CT163*VLOOKUP('Données projet'!$B$13,Paramètres!$A$1:$I$88,3,0)*VLOOKUP('Données projet'!$B$13,Paramètres!$A$1:$I$88,5,0)</f>
        <v>486.19999999999993</v>
      </c>
      <c r="CV163" s="14">
        <f t="shared" si="173"/>
        <v>109.0490179035375</v>
      </c>
      <c r="CW163" s="22">
        <f t="shared" si="174"/>
        <v>1036.725372848661</v>
      </c>
      <c r="CX163" s="62">
        <f t="shared" si="122"/>
        <v>1324.4844504413493</v>
      </c>
      <c r="CY163" s="62">
        <f ca="1">AVERAGE(OFFSET($CX$3,0,0,'Données projet'!$E$13+1,1))-AVERAGE(OFFSET($H$3,0,0,'Données projet'!$E$13+1,1))</f>
        <v>582.26951914082088</v>
      </c>
      <c r="CZ163" s="62">
        <f t="shared" si="150"/>
        <v>434.80429932654715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12.994167021759958</v>
      </c>
      <c r="DG163" s="23">
        <f>EXP(-LN(2)/25)*DG162+(1-EXP(-LN(2)/25))/(LN(2)/25)*Calculateur!DB163*Calculateur!DD163*VLOOKUP('Données projet'!$B$13,Paramètres!$A$1:$I$88,3,0)*0.475*44/12</f>
        <v>6.7989264274714056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19.793093449231364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498.99999999999955</v>
      </c>
      <c r="DP163" s="18">
        <f>DO163*VLOOKUP('Données projet'!$B$14,Paramètres!$A$1:$I$88,3,0)*VLOOKUP('Données projet'!$B$14,Paramètres!$A$1:$I$88,5,0)</f>
        <v>240.01899999999978</v>
      </c>
      <c r="DQ163" s="14">
        <f t="shared" si="176"/>
        <v>58.443618405936313</v>
      </c>
      <c r="DR163" s="22">
        <f t="shared" si="177"/>
        <v>519.82239372367201</v>
      </c>
      <c r="DS163" s="62">
        <f t="shared" si="125"/>
        <v>807.58147131636042</v>
      </c>
      <c r="DT163" s="62">
        <f ca="1">AVERAGE(OFFSET($DS$3,0,0,'Données projet'!$E$14+1,1))-AVERAGE(OFFSET($H$3,0,0,'Données projet'!$E$14+1,1))</f>
        <v>273.24375559399846</v>
      </c>
      <c r="DU163" s="62">
        <f t="shared" si="152"/>
        <v>270.77718895097848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projet'!$B$14,Paramètres!$A$1:$I$88,3,0)*0.475*44/12</f>
        <v>6.635533713830239</v>
      </c>
      <c r="EB163" s="23">
        <f>EXP(-LN(2)/25)*EB162+(1-EXP(-LN(2)/25))/(LN(2)/25)*Calculateur!DW163*Calculateur!DY163*VLOOKUP('Données projet'!$B$14,Paramètres!$A$1:$I$88,3,0)*0.475*44/12</f>
        <v>3.3160631125774254</v>
      </c>
      <c r="EC163" s="23">
        <f>EXP(-LN(2)/2)*EC162+(1-EXP(-LN(2)/2))/(LN(2)/2)*DW163*DZ163*VLOOKUP('Données projet'!$B$14,Paramètres!$A$1:$I$88,3,0)*0.475*44/12</f>
        <v>0</v>
      </c>
      <c r="ED163" s="24">
        <f t="shared" si="178"/>
        <v>9.9515968264076644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498.99999999999955</v>
      </c>
      <c r="EK163" s="18">
        <f>EJ163*VLOOKUP('Données projet'!$B$15,Paramètres!$A$1:$I$88,3,0)*VLOOKUP('Données projet'!$B$15,Paramètres!$A$1:$I$88,5,0)</f>
        <v>233.53199999999975</v>
      </c>
      <c r="EL163" s="14">
        <f t="shared" si="179"/>
        <v>57.04570382109803</v>
      </c>
      <c r="EM163" s="22">
        <f t="shared" si="180"/>
        <v>506.08950082174533</v>
      </c>
      <c r="EN163" s="62">
        <f t="shared" si="128"/>
        <v>793.84857841443363</v>
      </c>
      <c r="EO163" s="62">
        <f ca="1">AVERAGE(OFFSET($EN$3,0,0,'Données projet'!$E$15+1,1))-AVERAGE(OFFSET($H$3,0,0,'Données projet'!$E$15+1,1))</f>
        <v>267.26203506406682</v>
      </c>
      <c r="EP163" s="62">
        <f t="shared" si="154"/>
        <v>265.10857635664843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projet'!$B$15,Paramètres!$A$1:$I$88,3,0)*0.475*44/12</f>
        <v>6.4561949648077963</v>
      </c>
      <c r="EW163" s="23">
        <f>EXP(-LN(2)/25)*EW162+(1-EXP(-LN(2)/25))/(LN(2)/25)*Calculateur!ER163*Calculateur!ET163*VLOOKUP('Données projet'!$B$15,Paramètres!$A$1:$I$88,3,0)*0.475*44/12</f>
        <v>3.2264397852104656</v>
      </c>
      <c r="EX163" s="23">
        <f>EXP(-LN(2)/2)*EX162+(1-EXP(-LN(2)/2))/(LN(2)/2)*ER163*EU163*VLOOKUP('Données projet'!$B$15,Paramètres!$A$1:$I$88,3,0)*0.475*44/12</f>
        <v>0</v>
      </c>
      <c r="EY163" s="24">
        <f t="shared" si="181"/>
        <v>9.6826347500182628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231</v>
      </c>
      <c r="FF163" s="18">
        <f>FE163*VLOOKUP('Données projet'!$B$16,Paramètres!$A$1:$I$88,3,0)*VLOOKUP('Données projet'!$B$16,Paramètres!$A$1:$I$88,5,0)</f>
        <v>169.36920000000001</v>
      </c>
      <c r="FG163" s="14">
        <f t="shared" si="182"/>
        <v>42.948714817158674</v>
      </c>
      <c r="FH163" s="22">
        <f t="shared" si="183"/>
        <v>369.787034973218</v>
      </c>
      <c r="FI163" s="62">
        <f t="shared" si="131"/>
        <v>657.54611256590636</v>
      </c>
      <c r="FJ163" s="62">
        <f ca="1">AVERAGE(OFFSET($FI$3,0,0,'Données projet'!$E$16+1,1))-AVERAGE(OFFSET($H$3,0,0,'Données projet'!$E$16+1,1))</f>
        <v>207.66160354686221</v>
      </c>
      <c r="FK163" s="62">
        <f t="shared" si="156"/>
        <v>260.45879589483525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projet'!$B$16,Paramètres!$A$1:$I$88,3,0)*0.475*44/12</f>
        <v>0.39442657894160699</v>
      </c>
      <c r="FR163" s="23">
        <f>EXP(-LN(2)/25)*FR162+(1-EXP(-LN(2)/25))/(LN(2)/25)*Calculateur!FM163*Calculateur!FO163*VLOOKUP('Données projet'!$B$16,Paramètres!$A$1:$I$88,3,0)*0.475*44/12</f>
        <v>0</v>
      </c>
      <c r="FS163" s="23">
        <f>EXP(-LN(2)/2)*FS162+(1-EXP(-LN(2)/2))/(LN(2)/2)*FM163*FP163*VLOOKUP('Données projet'!$B$16,Paramètres!$A$1:$I$88,3,0)*0.475*44/12</f>
        <v>0</v>
      </c>
      <c r="FT163" s="24">
        <f t="shared" si="184"/>
        <v>0.39442657894160699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projet'!$B$9,Paramètres!$A$1:$I$88,3,0)*VLOOKUP('Données projet'!$B$9,Paramètres!$A$1:$I$88,5,0)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378.13552372917843</v>
      </c>
      <c r="T164" s="62">
        <f t="shared" si="142"/>
        <v>528.97123645404952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29.841987563921844</v>
      </c>
      <c r="AA164" s="23">
        <f>EXP(-LN(2)/25)*AA163+(1-EXP(-LN(2)/25))/(LN(2)/25)*Calculateur!V164*Calculateur!X164*VLOOKUP('Données projet'!$B$9,Paramètres!$A$1:$I$88,3,0)*0.475*44/12</f>
        <v>6.6659145994828766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36.507902163404722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6.9</v>
      </c>
      <c r="AI164" s="14">
        <f>IF('Données projet'!$A$62&gt;35,AI163+AH164-AQ163,IF(A164&lt;'Données projet'!$A$62,$AF$205^A164,IF(A164='Données projet'!$A$62,'Données projet'!$B$62,AI163+AH164-AQ163)))</f>
        <v>394.90000000000032</v>
      </c>
      <c r="AJ164" s="14">
        <f>AI164*VLOOKUP('Données projet'!$B$10,Paramètres!$A$1:$I$88,3,0)*VLOOKUP('Données projet'!$B$10,Paramètres!$A$1:$I$88,5,0)</f>
        <v>357.30552000000029</v>
      </c>
      <c r="AK164" s="14">
        <f t="shared" si="164"/>
        <v>83.064980309548403</v>
      </c>
      <c r="AL164" s="22">
        <f t="shared" si="165"/>
        <v>766.97862137246386</v>
      </c>
      <c r="AM164" s="62">
        <f t="shared" si="113"/>
        <v>1054.8343998400835</v>
      </c>
      <c r="AN164" s="62">
        <f ca="1">AVERAGE(OFFSET($AM$3,0,0,'Données projet'!$E$10+1,1))-AVERAGE(OFFSET($H$3,0,0,'Données projet'!$E$10+1,1))</f>
        <v>536.3707066106856</v>
      </c>
      <c r="AO164" s="62">
        <f t="shared" si="144"/>
        <v>217.6280015974086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54.401382733841899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54.401382733841899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302.3</v>
      </c>
      <c r="BE164" s="14">
        <f>BD164*VLOOKUP('Données projet'!$B$11,Paramètres!$A$1:$I$88,3,0)*VLOOKUP('Données projet'!$B$11,Paramètres!$A$1:$I$88,5,0)</f>
        <v>180.77540000000005</v>
      </c>
      <c r="BF164" s="14">
        <f t="shared" si="167"/>
        <v>45.494655198846154</v>
      </c>
      <c r="BG164" s="22">
        <f t="shared" si="168"/>
        <v>394.08701280465715</v>
      </c>
      <c r="BH164" s="62">
        <f t="shared" si="116"/>
        <v>681.94279127227685</v>
      </c>
      <c r="BI164" s="62">
        <f ca="1">AVERAGE(OFFSET($BH$3,0,0,'Données projet'!$E$11+1,1))-AVERAGE(OFFSET($H$3,0,0,'Données projet'!$E$11+1,1))</f>
        <v>248.66193174773525</v>
      </c>
      <c r="BJ164" s="62">
        <f t="shared" si="146"/>
        <v>249.61655682981151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2.8066002942290611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2.6072157955655412E-15</v>
      </c>
      <c r="BS164" s="24">
        <f t="shared" si="169"/>
        <v>2.8066002942290638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860.00000000000023</v>
      </c>
      <c r="BZ164" s="14">
        <f>BY164*VLOOKUP('Données projet'!$B$12,Paramètres!$A$1:$I$88,3,0)*VLOOKUP('Données projet'!$B$12,Paramètres!$A$1:$I$88,5,0)</f>
        <v>346.5800000000001</v>
      </c>
      <c r="CA164" s="14">
        <f t="shared" si="170"/>
        <v>80.857895771535127</v>
      </c>
      <c r="CB164" s="22">
        <f t="shared" si="171"/>
        <v>744.45433513542378</v>
      </c>
      <c r="CC164" s="62">
        <f t="shared" si="119"/>
        <v>1032.3101136030434</v>
      </c>
      <c r="CD164" s="62">
        <f ca="1">AVERAGE(OFFSET($CC$3,0,0,'Données projet'!$E$12+1,1))-AVERAGE(OFFSET($H$3,0,0,'Données projet'!$E$12+1,1))</f>
        <v>432.59662347701629</v>
      </c>
      <c r="CE164" s="62">
        <f t="shared" si="148"/>
        <v>348.67401091099748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12.642786084624323</v>
      </c>
      <c r="CL164" s="23">
        <f>EXP(-LN(2)/25)*CL163+(1-EXP(-LN(2)/25))/(LN(2)/25)*Calculateur!CG164*Calculateur!CI164*VLOOKUP('Données projet'!$B$12,Paramètres!$A$1:$I$88,3,0)*0.475*44/12</f>
        <v>7.3594174514628907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20.002203536087215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1099.9999999999998</v>
      </c>
      <c r="CU164" s="18">
        <f>CT164*VLOOKUP('Données projet'!$B$13,Paramètres!$A$1:$I$88,3,0)*VLOOKUP('Données projet'!$B$13,Paramètres!$A$1:$I$88,5,0)</f>
        <v>486.19999999999993</v>
      </c>
      <c r="CV164" s="14">
        <f t="shared" si="173"/>
        <v>109.0490179035375</v>
      </c>
      <c r="CW164" s="22">
        <f t="shared" si="174"/>
        <v>1036.725372848661</v>
      </c>
      <c r="CX164" s="62">
        <f t="shared" si="122"/>
        <v>1324.5811513162807</v>
      </c>
      <c r="CY164" s="62">
        <f ca="1">AVERAGE(OFFSET($CX$3,0,0,'Données projet'!$E$13+1,1))-AVERAGE(OFFSET($H$3,0,0,'Données projet'!$E$13+1,1))</f>
        <v>582.26951914082088</v>
      </c>
      <c r="CZ164" s="62">
        <f t="shared" si="150"/>
        <v>434.80429932654715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12.739359332122534</v>
      </c>
      <c r="DG164" s="23">
        <f>EXP(-LN(2)/25)*DG163+(1-EXP(-LN(2)/25))/(LN(2)/25)*Calculateur!DB164*Calculateur!DD164*VLOOKUP('Données projet'!$B$13,Paramètres!$A$1:$I$88,3,0)*0.475*44/12</f>
        <v>6.6130094267721979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19.352368758894734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498.99999999999955</v>
      </c>
      <c r="DP164" s="18">
        <f>DO164*VLOOKUP('Données projet'!$B$14,Paramètres!$A$1:$I$88,3,0)*VLOOKUP('Données projet'!$B$14,Paramètres!$A$1:$I$88,5,0)</f>
        <v>240.01899999999978</v>
      </c>
      <c r="DQ164" s="14">
        <f t="shared" si="176"/>
        <v>58.443618405936313</v>
      </c>
      <c r="DR164" s="22">
        <f t="shared" si="177"/>
        <v>519.82239372367201</v>
      </c>
      <c r="DS164" s="62">
        <f t="shared" si="125"/>
        <v>807.67817219129165</v>
      </c>
      <c r="DT164" s="62">
        <f ca="1">AVERAGE(OFFSET($DS$3,0,0,'Données projet'!$E$14+1,1))-AVERAGE(OFFSET($H$3,0,0,'Données projet'!$E$14+1,1))</f>
        <v>273.24375559399846</v>
      </c>
      <c r="DU164" s="62">
        <f t="shared" si="152"/>
        <v>270.77718895097848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projet'!$B$14,Paramètres!$A$1:$I$88,3,0)*0.475*44/12</f>
        <v>6.5054149449779581</v>
      </c>
      <c r="EB164" s="23">
        <f>EXP(-LN(2)/25)*EB163+(1-EXP(-LN(2)/25))/(LN(2)/25)*Calculateur!DW164*Calculateur!DY164*VLOOKUP('Données projet'!$B$14,Paramètres!$A$1:$I$88,3,0)*0.475*44/12</f>
        <v>3.2253851923798154</v>
      </c>
      <c r="EC164" s="23">
        <f>EXP(-LN(2)/2)*EC163+(1-EXP(-LN(2)/2))/(LN(2)/2)*DW164*DZ164*VLOOKUP('Données projet'!$B$14,Paramètres!$A$1:$I$88,3,0)*0.475*44/12</f>
        <v>0</v>
      </c>
      <c r="ED164" s="24">
        <f t="shared" si="178"/>
        <v>9.7308001373577735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498.99999999999955</v>
      </c>
      <c r="EK164" s="18">
        <f>EJ164*VLOOKUP('Données projet'!$B$15,Paramètres!$A$1:$I$88,3,0)*VLOOKUP('Données projet'!$B$15,Paramètres!$A$1:$I$88,5,0)</f>
        <v>233.53199999999975</v>
      </c>
      <c r="EL164" s="14">
        <f t="shared" si="179"/>
        <v>57.04570382109803</v>
      </c>
      <c r="EM164" s="22">
        <f t="shared" si="180"/>
        <v>506.08950082174533</v>
      </c>
      <c r="EN164" s="62">
        <f t="shared" si="128"/>
        <v>793.94527928936509</v>
      </c>
      <c r="EO164" s="62">
        <f ca="1">AVERAGE(OFFSET($EN$3,0,0,'Données projet'!$E$15+1,1))-AVERAGE(OFFSET($H$3,0,0,'Données projet'!$E$15+1,1))</f>
        <v>267.26203506406682</v>
      </c>
      <c r="EP164" s="62">
        <f t="shared" si="154"/>
        <v>265.10857635664843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projet'!$B$15,Paramètres!$A$1:$I$88,3,0)*0.475*44/12</f>
        <v>6.3295929194380092</v>
      </c>
      <c r="EW164" s="23">
        <f>EXP(-LN(2)/25)*EW163+(1-EXP(-LN(2)/25))/(LN(2)/25)*Calculateur!ER164*Calculateur!ET164*VLOOKUP('Données projet'!$B$15,Paramètres!$A$1:$I$88,3,0)*0.475*44/12</f>
        <v>3.1382126196127911</v>
      </c>
      <c r="EX164" s="23">
        <f>EXP(-LN(2)/2)*EX163+(1-EXP(-LN(2)/2))/(LN(2)/2)*ER164*EU164*VLOOKUP('Données projet'!$B$15,Paramètres!$A$1:$I$88,3,0)*0.475*44/12</f>
        <v>0</v>
      </c>
      <c r="EY164" s="24">
        <f t="shared" si="181"/>
        <v>9.4678055390508007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231</v>
      </c>
      <c r="FF164" s="18">
        <f>FE164*VLOOKUP('Données projet'!$B$16,Paramètres!$A$1:$I$88,3,0)*VLOOKUP('Données projet'!$B$16,Paramètres!$A$1:$I$88,5,0)</f>
        <v>169.36920000000001</v>
      </c>
      <c r="FG164" s="14">
        <f t="shared" si="182"/>
        <v>42.948714817158674</v>
      </c>
      <c r="FH164" s="22">
        <f t="shared" si="183"/>
        <v>369.787034973218</v>
      </c>
      <c r="FI164" s="62">
        <f t="shared" si="131"/>
        <v>657.6428134408377</v>
      </c>
      <c r="FJ164" s="62">
        <f ca="1">AVERAGE(OFFSET($FI$3,0,0,'Données projet'!$E$16+1,1))-AVERAGE(OFFSET($H$3,0,0,'Données projet'!$E$16+1,1))</f>
        <v>207.66160354686221</v>
      </c>
      <c r="FK164" s="62">
        <f t="shared" si="156"/>
        <v>260.45879589483525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projet'!$B$16,Paramètres!$A$1:$I$88,3,0)*0.475*44/12</f>
        <v>0.38669211430502026</v>
      </c>
      <c r="FR164" s="23">
        <f>EXP(-LN(2)/25)*FR163+(1-EXP(-LN(2)/25))/(LN(2)/25)*Calculateur!FM164*Calculateur!FO164*VLOOKUP('Données projet'!$B$16,Paramètres!$A$1:$I$88,3,0)*0.475*44/12</f>
        <v>0</v>
      </c>
      <c r="FS164" s="23">
        <f>EXP(-LN(2)/2)*FS163+(1-EXP(-LN(2)/2))/(LN(2)/2)*FM164*FP164*VLOOKUP('Données projet'!$B$16,Paramètres!$A$1:$I$88,3,0)*0.475*44/12</f>
        <v>0</v>
      </c>
      <c r="FT164" s="24">
        <f t="shared" si="184"/>
        <v>0.38669211430502026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projet'!$B$9,Paramètres!$A$1:$I$88,3,0)*VLOOKUP('Données projet'!$B$9,Paramètres!$A$1:$I$88,5,0)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378.13552372917843</v>
      </c>
      <c r="T165" s="62">
        <f t="shared" si="142"/>
        <v>528.97123645404952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29.256804389608469</v>
      </c>
      <c r="AA165" s="23">
        <f>EXP(-LN(2)/25)*AA164+(1-EXP(-LN(2)/25))/(LN(2)/25)*Calculateur!V165*Calculateur!X165*VLOOKUP('Données projet'!$B$9,Paramètres!$A$1:$I$88,3,0)*0.475*44/12</f>
        <v>6.4836348142148035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35.740439203823271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6.9</v>
      </c>
      <c r="AI165" s="14">
        <f>IF('Données projet'!$A$62&gt;35,AI164+AH165-AQ164,IF(A165&lt;'Données projet'!$A$62,$AF$205^A165,IF(A165='Données projet'!$A$62,'Données projet'!$B$62,AI164+AH165-AQ164)))</f>
        <v>401.8000000000003</v>
      </c>
      <c r="AJ165" s="14">
        <f>AI165*VLOOKUP('Données projet'!$B$10,Paramètres!$A$1:$I$88,3,0)*VLOOKUP('Données projet'!$B$10,Paramètres!$A$1:$I$88,5,0)</f>
        <v>363.54864000000026</v>
      </c>
      <c r="AK165" s="14">
        <f t="shared" si="164"/>
        <v>84.34612037538426</v>
      </c>
      <c r="AL165" s="22">
        <f t="shared" si="165"/>
        <v>780.0833743204613</v>
      </c>
      <c r="AM165" s="62">
        <f t="shared" si="113"/>
        <v>1068.034176119023</v>
      </c>
      <c r="AN165" s="62">
        <f ca="1">AVERAGE(OFFSET($AM$3,0,0,'Données projet'!$E$10+1,1))-AVERAGE(OFFSET($H$3,0,0,'Données projet'!$E$10+1,1))</f>
        <v>536.3707066106856</v>
      </c>
      <c r="AO165" s="62">
        <f t="shared" si="144"/>
        <v>217.6280015974086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53.334604799998317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53.334604799998317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302.3</v>
      </c>
      <c r="BE165" s="14">
        <f>BD165*VLOOKUP('Données projet'!$B$11,Paramètres!$A$1:$I$88,3,0)*VLOOKUP('Données projet'!$B$11,Paramètres!$A$1:$I$88,5,0)</f>
        <v>180.77540000000005</v>
      </c>
      <c r="BF165" s="14">
        <f t="shared" si="167"/>
        <v>45.494655198846154</v>
      </c>
      <c r="BG165" s="22">
        <f t="shared" si="168"/>
        <v>394.08701280465715</v>
      </c>
      <c r="BH165" s="62">
        <f t="shared" si="116"/>
        <v>682.03781460321886</v>
      </c>
      <c r="BI165" s="62">
        <f ca="1">AVERAGE(OFFSET($BH$3,0,0,'Données projet'!$E$11+1,1))-AVERAGE(OFFSET($H$3,0,0,'Données projet'!$E$11+1,1))</f>
        <v>248.66193174773525</v>
      </c>
      <c r="BJ165" s="62">
        <f t="shared" si="146"/>
        <v>249.61655682981151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2.7515645743163768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1.8435799690610736E-15</v>
      </c>
      <c r="BS165" s="24">
        <f t="shared" si="169"/>
        <v>2.7515645743163786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860.00000000000023</v>
      </c>
      <c r="BZ165" s="14">
        <f>BY165*VLOOKUP('Données projet'!$B$12,Paramètres!$A$1:$I$88,3,0)*VLOOKUP('Données projet'!$B$12,Paramètres!$A$1:$I$88,5,0)</f>
        <v>346.5800000000001</v>
      </c>
      <c r="CA165" s="14">
        <f t="shared" si="170"/>
        <v>80.857895771535127</v>
      </c>
      <c r="CB165" s="22">
        <f t="shared" si="171"/>
        <v>744.45433513542378</v>
      </c>
      <c r="CC165" s="62">
        <f t="shared" si="119"/>
        <v>1032.4051369339854</v>
      </c>
      <c r="CD165" s="62">
        <f ca="1">AVERAGE(OFFSET($CC$3,0,0,'Données projet'!$E$12+1,1))-AVERAGE(OFFSET($H$3,0,0,'Données projet'!$E$12+1,1))</f>
        <v>432.59662347701629</v>
      </c>
      <c r="CE165" s="62">
        <f t="shared" si="148"/>
        <v>348.67401091099748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12.39486876084292</v>
      </c>
      <c r="CL165" s="23">
        <f>EXP(-LN(2)/25)*CL164+(1-EXP(-LN(2)/25))/(LN(2)/25)*Calculateur!CG165*Calculateur!CI165*VLOOKUP('Données projet'!$B$12,Paramètres!$A$1:$I$88,3,0)*0.475*44/12</f>
        <v>7.158173794237694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19.553042555080616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1099.9999999999998</v>
      </c>
      <c r="CU165" s="18">
        <f>CT165*VLOOKUP('Données projet'!$B$13,Paramètres!$A$1:$I$88,3,0)*VLOOKUP('Données projet'!$B$13,Paramètres!$A$1:$I$88,5,0)</f>
        <v>486.19999999999993</v>
      </c>
      <c r="CV165" s="14">
        <f t="shared" si="173"/>
        <v>109.0490179035375</v>
      </c>
      <c r="CW165" s="22">
        <f t="shared" si="174"/>
        <v>1036.725372848661</v>
      </c>
      <c r="CX165" s="62">
        <f t="shared" si="122"/>
        <v>1324.6761746472228</v>
      </c>
      <c r="CY165" s="62">
        <f ca="1">AVERAGE(OFFSET($CX$3,0,0,'Données projet'!$E$13+1,1))-AVERAGE(OFFSET($H$3,0,0,'Données projet'!$E$13+1,1))</f>
        <v>582.26951914082088</v>
      </c>
      <c r="CZ165" s="62">
        <f t="shared" si="150"/>
        <v>434.80429932654715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12.489548265861556</v>
      </c>
      <c r="DG165" s="23">
        <f>EXP(-LN(2)/25)*DG164+(1-EXP(-LN(2)/25))/(LN(2)/25)*Calculateur!DB165*Calculateur!DD165*VLOOKUP('Données projet'!$B$13,Paramètres!$A$1:$I$88,3,0)*0.475*44/12</f>
        <v>6.4321763362340603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18.921724602095615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498.99999999999955</v>
      </c>
      <c r="DP165" s="18">
        <f>DO165*VLOOKUP('Données projet'!$B$14,Paramètres!$A$1:$I$88,3,0)*VLOOKUP('Données projet'!$B$14,Paramètres!$A$1:$I$88,5,0)</f>
        <v>240.01899999999978</v>
      </c>
      <c r="DQ165" s="14">
        <f t="shared" si="176"/>
        <v>58.443618405936313</v>
      </c>
      <c r="DR165" s="22">
        <f t="shared" si="177"/>
        <v>519.82239372367201</v>
      </c>
      <c r="DS165" s="62">
        <f t="shared" si="125"/>
        <v>807.77319552223366</v>
      </c>
      <c r="DT165" s="62">
        <f ca="1">AVERAGE(OFFSET($DS$3,0,0,'Données projet'!$E$14+1,1))-AVERAGE(OFFSET($H$3,0,0,'Données projet'!$E$14+1,1))</f>
        <v>273.24375559399846</v>
      </c>
      <c r="DU165" s="62">
        <f t="shared" si="152"/>
        <v>270.77718895097848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projet'!$B$14,Paramètres!$A$1:$I$88,3,0)*0.475*44/12</f>
        <v>6.377847725818258</v>
      </c>
      <c r="EB165" s="23">
        <f>EXP(-LN(2)/25)*EB164+(1-EXP(-LN(2)/25))/(LN(2)/25)*Calculateur!DW165*Calculateur!DY165*VLOOKUP('Données projet'!$B$14,Paramètres!$A$1:$I$88,3,0)*0.475*44/12</f>
        <v>3.1371868646785539</v>
      </c>
      <c r="EC165" s="23">
        <f>EXP(-LN(2)/2)*EC164+(1-EXP(-LN(2)/2))/(LN(2)/2)*DW165*DZ165*VLOOKUP('Données projet'!$B$14,Paramètres!$A$1:$I$88,3,0)*0.475*44/12</f>
        <v>0</v>
      </c>
      <c r="ED165" s="24">
        <f t="shared" si="178"/>
        <v>9.5150345904968123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498.99999999999955</v>
      </c>
      <c r="EK165" s="18">
        <f>EJ165*VLOOKUP('Données projet'!$B$15,Paramètres!$A$1:$I$88,3,0)*VLOOKUP('Données projet'!$B$15,Paramètres!$A$1:$I$88,5,0)</f>
        <v>233.53199999999975</v>
      </c>
      <c r="EL165" s="14">
        <f t="shared" si="179"/>
        <v>57.04570382109803</v>
      </c>
      <c r="EM165" s="22">
        <f t="shared" si="180"/>
        <v>506.08950082174533</v>
      </c>
      <c r="EN165" s="62">
        <f t="shared" si="128"/>
        <v>794.0403026203071</v>
      </c>
      <c r="EO165" s="62">
        <f ca="1">AVERAGE(OFFSET($EN$3,0,0,'Données projet'!$E$15+1,1))-AVERAGE(OFFSET($H$3,0,0,'Données projet'!$E$15+1,1))</f>
        <v>267.26203506406682</v>
      </c>
      <c r="EP165" s="62">
        <f t="shared" si="154"/>
        <v>265.10857635664843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projet'!$B$15,Paramètres!$A$1:$I$88,3,0)*0.475*44/12</f>
        <v>6.2054734629583015</v>
      </c>
      <c r="EW165" s="23">
        <f>EXP(-LN(2)/25)*EW164+(1-EXP(-LN(2)/25))/(LN(2)/25)*Calculateur!ER165*Calculateur!ET165*VLOOKUP('Données projet'!$B$15,Paramètres!$A$1:$I$88,3,0)*0.475*44/12</f>
        <v>3.05239803049805</v>
      </c>
      <c r="EX165" s="23">
        <f>EXP(-LN(2)/2)*EX164+(1-EXP(-LN(2)/2))/(LN(2)/2)*ER165*EU165*VLOOKUP('Données projet'!$B$15,Paramètres!$A$1:$I$88,3,0)*0.475*44/12</f>
        <v>0</v>
      </c>
      <c r="EY165" s="24">
        <f t="shared" si="181"/>
        <v>9.2578714934563511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231</v>
      </c>
      <c r="FF165" s="18">
        <f>FE165*VLOOKUP('Données projet'!$B$16,Paramètres!$A$1:$I$88,3,0)*VLOOKUP('Données projet'!$B$16,Paramètres!$A$1:$I$88,5,0)</f>
        <v>169.36920000000001</v>
      </c>
      <c r="FG165" s="14">
        <f t="shared" si="182"/>
        <v>42.948714817158674</v>
      </c>
      <c r="FH165" s="22">
        <f t="shared" si="183"/>
        <v>369.787034973218</v>
      </c>
      <c r="FI165" s="62">
        <f t="shared" si="131"/>
        <v>657.73783677177971</v>
      </c>
      <c r="FJ165" s="62">
        <f ca="1">AVERAGE(OFFSET($FI$3,0,0,'Données projet'!$E$16+1,1))-AVERAGE(OFFSET($H$3,0,0,'Données projet'!$E$16+1,1))</f>
        <v>207.66160354686221</v>
      </c>
      <c r="FK165" s="62">
        <f t="shared" si="156"/>
        <v>260.45879589483525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projet'!$B$16,Paramètres!$A$1:$I$88,3,0)*0.475*44/12</f>
        <v>0.37910931780239943</v>
      </c>
      <c r="FR165" s="23">
        <f>EXP(-LN(2)/25)*FR164+(1-EXP(-LN(2)/25))/(LN(2)/25)*Calculateur!FM165*Calculateur!FO165*VLOOKUP('Données projet'!$B$16,Paramètres!$A$1:$I$88,3,0)*0.475*44/12</f>
        <v>0</v>
      </c>
      <c r="FS165" s="23">
        <f>EXP(-LN(2)/2)*FS164+(1-EXP(-LN(2)/2))/(LN(2)/2)*FM165*FP165*VLOOKUP('Données projet'!$B$16,Paramètres!$A$1:$I$88,3,0)*0.475*44/12</f>
        <v>0</v>
      </c>
      <c r="FT165" s="24">
        <f t="shared" si="184"/>
        <v>0.37910931780239943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projet'!$B$9,Paramètres!$A$1:$I$88,3,0)*VLOOKUP('Données projet'!$B$9,Paramètres!$A$1:$I$88,5,0)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378.13552372917843</v>
      </c>
      <c r="T166" s="62">
        <f t="shared" si="142"/>
        <v>528.97123645404952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28.683096300416889</v>
      </c>
      <c r="AA166" s="23">
        <f>EXP(-LN(2)/25)*AA165+(1-EXP(-LN(2)/25))/(LN(2)/25)*Calculateur!V166*Calculateur!X166*VLOOKUP('Données projet'!$B$9,Paramètres!$A$1:$I$88,3,0)*0.475*44/12</f>
        <v>6.3063394792605632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34.98943577967745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6.9</v>
      </c>
      <c r="AI166" s="14">
        <f>IF('Données projet'!$A$62&gt;35,AI165+AH166-AQ165,IF(A166&lt;'Données projet'!$A$62,$AF$205^A166,IF(A166='Données projet'!$A$62,'Données projet'!$B$62,AI165+AH166-AQ165)))</f>
        <v>408.70000000000027</v>
      </c>
      <c r="AJ166" s="14">
        <f>AI166*VLOOKUP('Données projet'!$B$10,Paramètres!$A$1:$I$88,3,0)*VLOOKUP('Données projet'!$B$10,Paramètres!$A$1:$I$88,5,0)</f>
        <v>369.79176000000024</v>
      </c>
      <c r="AK166" s="14">
        <f t="shared" si="164"/>
        <v>85.624701988855662</v>
      </c>
      <c r="AL166" s="22">
        <f t="shared" si="165"/>
        <v>793.18367129725732</v>
      </c>
      <c r="AM166" s="62">
        <f t="shared" si="113"/>
        <v>1081.2278479844094</v>
      </c>
      <c r="AN166" s="62">
        <f ca="1">AVERAGE(OFFSET($AM$3,0,0,'Données projet'!$E$10+1,1))-AVERAGE(OFFSET($H$3,0,0,'Données projet'!$E$10+1,1))</f>
        <v>536.3707066106856</v>
      </c>
      <c r="AO166" s="62">
        <f t="shared" si="144"/>
        <v>217.6280015974086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52.288745730767118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52.288745730767118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302.3</v>
      </c>
      <c r="BE166" s="14">
        <f>BD166*VLOOKUP('Données projet'!$B$11,Paramètres!$A$1:$I$88,3,0)*VLOOKUP('Données projet'!$B$11,Paramètres!$A$1:$I$88,5,0)</f>
        <v>180.77540000000005</v>
      </c>
      <c r="BF166" s="14">
        <f t="shared" si="167"/>
        <v>45.494655198846154</v>
      </c>
      <c r="BG166" s="22">
        <f t="shared" si="168"/>
        <v>394.08701280465715</v>
      </c>
      <c r="BH166" s="62">
        <f t="shared" si="116"/>
        <v>682.13118949180944</v>
      </c>
      <c r="BI166" s="62">
        <f ca="1">AVERAGE(OFFSET($BH$3,0,0,'Données projet'!$E$11+1,1))-AVERAGE(OFFSET($H$3,0,0,'Données projet'!$E$11+1,1))</f>
        <v>248.66193174773525</v>
      </c>
      <c r="BJ166" s="62">
        <f t="shared" si="146"/>
        <v>249.61655682981151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2.6976080713027057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1.3036078977827706E-15</v>
      </c>
      <c r="BS166" s="24">
        <f t="shared" si="169"/>
        <v>2.6976080713027071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860.00000000000023</v>
      </c>
      <c r="BZ166" s="14">
        <f>BY166*VLOOKUP('Données projet'!$B$12,Paramètres!$A$1:$I$88,3,0)*VLOOKUP('Données projet'!$B$12,Paramètres!$A$1:$I$88,5,0)</f>
        <v>346.5800000000001</v>
      </c>
      <c r="CA166" s="14">
        <f t="shared" si="170"/>
        <v>80.857895771535127</v>
      </c>
      <c r="CB166" s="22">
        <f t="shared" si="171"/>
        <v>744.45433513542378</v>
      </c>
      <c r="CC166" s="62">
        <f t="shared" si="119"/>
        <v>1032.4985118225759</v>
      </c>
      <c r="CD166" s="62">
        <f ca="1">AVERAGE(OFFSET($CC$3,0,0,'Données projet'!$E$12+1,1))-AVERAGE(OFFSET($H$3,0,0,'Données projet'!$E$12+1,1))</f>
        <v>432.59662347701629</v>
      </c>
      <c r="CE166" s="62">
        <f t="shared" si="148"/>
        <v>348.67401091099748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12.151812944566235</v>
      </c>
      <c r="CL166" s="23">
        <f>EXP(-LN(2)/25)*CL165+(1-EXP(-LN(2)/25))/(LN(2)/25)*Calculateur!CG166*Calculateur!CI166*VLOOKUP('Données projet'!$B$12,Paramètres!$A$1:$I$88,3,0)*0.475*44/12</f>
        <v>6.9624331554022643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19.114246099968497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1099.9999999999998</v>
      </c>
      <c r="CU166" s="18">
        <f>CT166*VLOOKUP('Données projet'!$B$13,Paramètres!$A$1:$I$88,3,0)*VLOOKUP('Données projet'!$B$13,Paramètres!$A$1:$I$88,5,0)</f>
        <v>486.19999999999993</v>
      </c>
      <c r="CV166" s="14">
        <f t="shared" si="173"/>
        <v>109.0490179035375</v>
      </c>
      <c r="CW166" s="22">
        <f t="shared" si="174"/>
        <v>1036.725372848661</v>
      </c>
      <c r="CX166" s="62">
        <f t="shared" si="122"/>
        <v>1324.7695495358132</v>
      </c>
      <c r="CY166" s="62">
        <f ca="1">AVERAGE(OFFSET($CX$3,0,0,'Données projet'!$E$13+1,1))-AVERAGE(OFFSET($H$3,0,0,'Données projet'!$E$13+1,1))</f>
        <v>582.26951914082088</v>
      </c>
      <c r="CZ166" s="62">
        <f t="shared" si="150"/>
        <v>434.80429932654715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12.244635842240251</v>
      </c>
      <c r="DG166" s="23">
        <f>EXP(-LN(2)/25)*DG165+(1-EXP(-LN(2)/25))/(LN(2)/25)*Calculateur!DB166*Calculateur!DD166*VLOOKUP('Données projet'!$B$13,Paramètres!$A$1:$I$88,3,0)*0.475*44/12</f>
        <v>6.2562881360662876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18.500923978306538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498.99999999999955</v>
      </c>
      <c r="DP166" s="18">
        <f>DO166*VLOOKUP('Données projet'!$B$14,Paramètres!$A$1:$I$88,3,0)*VLOOKUP('Données projet'!$B$14,Paramètres!$A$1:$I$88,5,0)</f>
        <v>240.01899999999978</v>
      </c>
      <c r="DQ166" s="14">
        <f t="shared" si="176"/>
        <v>58.443618405936313</v>
      </c>
      <c r="DR166" s="22">
        <f t="shared" si="177"/>
        <v>519.82239372367201</v>
      </c>
      <c r="DS166" s="62">
        <f t="shared" si="125"/>
        <v>807.86657041082424</v>
      </c>
      <c r="DT166" s="62">
        <f ca="1">AVERAGE(OFFSET($DS$3,0,0,'Données projet'!$E$14+1,1))-AVERAGE(OFFSET($H$3,0,0,'Données projet'!$E$14+1,1))</f>
        <v>273.24375559399846</v>
      </c>
      <c r="DU166" s="62">
        <f t="shared" si="152"/>
        <v>270.77718895097848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projet'!$B$14,Paramètres!$A$1:$I$88,3,0)*0.475*44/12</f>
        <v>6.2527820220179589</v>
      </c>
      <c r="EB166" s="23">
        <f>EXP(-LN(2)/25)*EB165+(1-EXP(-LN(2)/25))/(LN(2)/25)*Calculateur!DW166*Calculateur!DY166*VLOOKUP('Données projet'!$B$14,Paramètres!$A$1:$I$88,3,0)*0.475*44/12</f>
        <v>3.0514003248864316</v>
      </c>
      <c r="EC166" s="23">
        <f>EXP(-LN(2)/2)*EC165+(1-EXP(-LN(2)/2))/(LN(2)/2)*DW166*DZ166*VLOOKUP('Données projet'!$B$14,Paramètres!$A$1:$I$88,3,0)*0.475*44/12</f>
        <v>0</v>
      </c>
      <c r="ED166" s="24">
        <f t="shared" si="178"/>
        <v>9.3041823469043905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498.99999999999955</v>
      </c>
      <c r="EK166" s="18">
        <f>EJ166*VLOOKUP('Données projet'!$B$15,Paramètres!$A$1:$I$88,3,0)*VLOOKUP('Données projet'!$B$15,Paramètres!$A$1:$I$88,5,0)</f>
        <v>233.53199999999975</v>
      </c>
      <c r="EL166" s="14">
        <f t="shared" si="179"/>
        <v>57.04570382109803</v>
      </c>
      <c r="EM166" s="22">
        <f t="shared" si="180"/>
        <v>506.08950082174533</v>
      </c>
      <c r="EN166" s="62">
        <f t="shared" si="128"/>
        <v>794.13367750889756</v>
      </c>
      <c r="EO166" s="62">
        <f ca="1">AVERAGE(OFFSET($EN$3,0,0,'Données projet'!$E$15+1,1))-AVERAGE(OFFSET($H$3,0,0,'Données projet'!$E$15+1,1))</f>
        <v>267.26203506406682</v>
      </c>
      <c r="EP166" s="62">
        <f t="shared" si="154"/>
        <v>265.10857635664843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projet'!$B$15,Paramètres!$A$1:$I$88,3,0)*0.475*44/12</f>
        <v>6.083787913314767</v>
      </c>
      <c r="EW166" s="23">
        <f>EXP(-LN(2)/25)*EW165+(1-EXP(-LN(2)/25))/(LN(2)/25)*Calculateur!ER166*Calculateur!ET166*VLOOKUP('Données projet'!$B$15,Paramètres!$A$1:$I$88,3,0)*0.475*44/12</f>
        <v>2.9689300458354446</v>
      </c>
      <c r="EX166" s="23">
        <f>EXP(-LN(2)/2)*EX165+(1-EXP(-LN(2)/2))/(LN(2)/2)*ER166*EU166*VLOOKUP('Données projet'!$B$15,Paramètres!$A$1:$I$88,3,0)*0.475*44/12</f>
        <v>0</v>
      </c>
      <c r="EY166" s="24">
        <f t="shared" si="181"/>
        <v>9.0527179591502112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231</v>
      </c>
      <c r="FF166" s="18">
        <f>FE166*VLOOKUP('Données projet'!$B$16,Paramètres!$A$1:$I$88,3,0)*VLOOKUP('Données projet'!$B$16,Paramètres!$A$1:$I$88,5,0)</f>
        <v>169.36920000000001</v>
      </c>
      <c r="FG166" s="14">
        <f t="shared" si="182"/>
        <v>42.948714817158674</v>
      </c>
      <c r="FH166" s="22">
        <f t="shared" si="183"/>
        <v>369.787034973218</v>
      </c>
      <c r="FI166" s="62">
        <f t="shared" si="131"/>
        <v>657.83121166037017</v>
      </c>
      <c r="FJ166" s="62">
        <f ca="1">AVERAGE(OFFSET($FI$3,0,0,'Données projet'!$E$16+1,1))-AVERAGE(OFFSET($H$3,0,0,'Données projet'!$E$16+1,1))</f>
        <v>207.66160354686221</v>
      </c>
      <c r="FK166" s="62">
        <f t="shared" si="156"/>
        <v>260.45879589483525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projet'!$B$16,Paramètres!$A$1:$I$88,3,0)*0.475*44/12</f>
        <v>0.37167521531414577</v>
      </c>
      <c r="FR166" s="23">
        <f>EXP(-LN(2)/25)*FR165+(1-EXP(-LN(2)/25))/(LN(2)/25)*Calculateur!FM166*Calculateur!FO166*VLOOKUP('Données projet'!$B$16,Paramètres!$A$1:$I$88,3,0)*0.475*44/12</f>
        <v>0</v>
      </c>
      <c r="FS166" s="23">
        <f>EXP(-LN(2)/2)*FS165+(1-EXP(-LN(2)/2))/(LN(2)/2)*FM166*FP166*VLOOKUP('Données projet'!$B$16,Paramètres!$A$1:$I$88,3,0)*0.475*44/12</f>
        <v>0</v>
      </c>
      <c r="FT166" s="24">
        <f t="shared" si="184"/>
        <v>0.37167521531414577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projet'!$B$9,Paramètres!$A$1:$I$88,3,0)*VLOOKUP('Données projet'!$B$9,Paramètres!$A$1:$I$88,5,0)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378.13552372917843</v>
      </c>
      <c r="T167" s="62">
        <f t="shared" si="142"/>
        <v>528.97123645404952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28.120638276926972</v>
      </c>
      <c r="AA167" s="23">
        <f>EXP(-LN(2)/25)*AA166+(1-EXP(-LN(2)/25))/(LN(2)/25)*Calculateur!V167*Calculateur!X167*VLOOKUP('Données projet'!$B$9,Paramètres!$A$1:$I$88,3,0)*0.475*44/12</f>
        <v>6.1338922945642036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34.254530571491173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6.9</v>
      </c>
      <c r="AI167" s="14">
        <f>IF('Données projet'!$A$62&gt;35,AI166+AH167-AQ166,IF(A167&lt;'Données projet'!$A$62,$AF$205^A167,IF(A167='Données projet'!$A$62,'Données projet'!$B$62,AI166+AH167-AQ166)))</f>
        <v>415.60000000000025</v>
      </c>
      <c r="AJ167" s="14">
        <f>AI167*VLOOKUP('Données projet'!$B$10,Paramètres!$A$1:$I$88,3,0)*VLOOKUP('Données projet'!$B$10,Paramètres!$A$1:$I$88,5,0)</f>
        <v>376.03488000000021</v>
      </c>
      <c r="AK167" s="14">
        <f t="shared" si="164"/>
        <v>86.900773328824684</v>
      </c>
      <c r="AL167" s="22">
        <f t="shared" si="165"/>
        <v>806.27959621437003</v>
      </c>
      <c r="AM167" s="62">
        <f t="shared" si="113"/>
        <v>1094.4155279445508</v>
      </c>
      <c r="AN167" s="62">
        <f ca="1">AVERAGE(OFFSET($AM$3,0,0,'Données projet'!$E$10+1,1))-AVERAGE(OFFSET($H$3,0,0,'Données projet'!$E$10+1,1))</f>
        <v>536.3707066106856</v>
      </c>
      <c r="AO167" s="62">
        <f t="shared" si="144"/>
        <v>217.6280015974086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51.263395319972503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51.263395319972503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302.3</v>
      </c>
      <c r="BE167" s="14">
        <f>BD167*VLOOKUP('Données projet'!$B$11,Paramètres!$A$1:$I$88,3,0)*VLOOKUP('Données projet'!$B$11,Paramètres!$A$1:$I$88,5,0)</f>
        <v>180.77540000000005</v>
      </c>
      <c r="BF167" s="14">
        <f t="shared" si="167"/>
        <v>45.494655198846154</v>
      </c>
      <c r="BG167" s="22">
        <f t="shared" si="168"/>
        <v>394.08701280465715</v>
      </c>
      <c r="BH167" s="62">
        <f t="shared" si="116"/>
        <v>682.22294453483778</v>
      </c>
      <c r="BI167" s="62">
        <f ca="1">AVERAGE(OFFSET($BH$3,0,0,'Données projet'!$E$11+1,1))-AVERAGE(OFFSET($H$3,0,0,'Données projet'!$E$11+1,1))</f>
        <v>248.66193174773525</v>
      </c>
      <c r="BJ167" s="62">
        <f t="shared" si="146"/>
        <v>249.61655682981151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2.6447096224029156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9.2178998453053678E-16</v>
      </c>
      <c r="BS167" s="24">
        <f t="shared" si="169"/>
        <v>2.6447096224029165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860.00000000000023</v>
      </c>
      <c r="BZ167" s="14">
        <f>BY167*VLOOKUP('Données projet'!$B$12,Paramètres!$A$1:$I$88,3,0)*VLOOKUP('Données projet'!$B$12,Paramètres!$A$1:$I$88,5,0)</f>
        <v>346.5800000000001</v>
      </c>
      <c r="CA167" s="14">
        <f t="shared" si="170"/>
        <v>80.857895771535127</v>
      </c>
      <c r="CB167" s="22">
        <f t="shared" si="171"/>
        <v>744.45433513542378</v>
      </c>
      <c r="CC167" s="62">
        <f t="shared" si="119"/>
        <v>1032.5902668656045</v>
      </c>
      <c r="CD167" s="62">
        <f ca="1">AVERAGE(OFFSET($CC$3,0,0,'Données projet'!$E$12+1,1))-AVERAGE(OFFSET($H$3,0,0,'Données projet'!$E$12+1,1))</f>
        <v>432.59662347701629</v>
      </c>
      <c r="CE167" s="62">
        <f t="shared" si="148"/>
        <v>348.67401091099748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11.913523304597325</v>
      </c>
      <c r="CL167" s="23">
        <f>EXP(-LN(2)/25)*CL166+(1-EXP(-LN(2)/25))/(LN(2)/25)*Calculateur!CG167*Calculateur!CI167*VLOOKUP('Données projet'!$B$12,Paramètres!$A$1:$I$88,3,0)*0.475*44/12</f>
        <v>6.7720450546293423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18.685568359226668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1099.9999999999998</v>
      </c>
      <c r="CU167" s="18">
        <f>CT167*VLOOKUP('Données projet'!$B$13,Paramètres!$A$1:$I$88,3,0)*VLOOKUP('Données projet'!$B$13,Paramètres!$A$1:$I$88,5,0)</f>
        <v>486.19999999999993</v>
      </c>
      <c r="CV167" s="14">
        <f t="shared" si="173"/>
        <v>109.0490179035375</v>
      </c>
      <c r="CW167" s="22">
        <f t="shared" si="174"/>
        <v>1036.725372848661</v>
      </c>
      <c r="CX167" s="62">
        <f t="shared" si="122"/>
        <v>1324.8613045788416</v>
      </c>
      <c r="CY167" s="62">
        <f ca="1">AVERAGE(OFFSET($CX$3,0,0,'Données projet'!$E$13+1,1))-AVERAGE(OFFSET($H$3,0,0,'Données projet'!$E$13+1,1))</f>
        <v>582.26951914082088</v>
      </c>
      <c r="CZ167" s="62">
        <f t="shared" si="150"/>
        <v>434.80429932654715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12.004526001864331</v>
      </c>
      <c r="DG167" s="23">
        <f>EXP(-LN(2)/25)*DG166+(1-EXP(-LN(2)/25))/(LN(2)/25)*Calculateur!DB167*Calculateur!DD167*VLOOKUP('Données projet'!$B$13,Paramètres!$A$1:$I$88,3,0)*0.475*44/12</f>
        <v>6.0852096079816604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18.089735609845992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498.99999999999955</v>
      </c>
      <c r="DP167" s="18">
        <f>DO167*VLOOKUP('Données projet'!$B$14,Paramètres!$A$1:$I$88,3,0)*VLOOKUP('Données projet'!$B$14,Paramètres!$A$1:$I$88,5,0)</f>
        <v>240.01899999999978</v>
      </c>
      <c r="DQ167" s="14">
        <f t="shared" si="176"/>
        <v>58.443618405936313</v>
      </c>
      <c r="DR167" s="22">
        <f t="shared" si="177"/>
        <v>519.82239372367201</v>
      </c>
      <c r="DS167" s="62">
        <f t="shared" si="125"/>
        <v>807.95832545385269</v>
      </c>
      <c r="DT167" s="62">
        <f ca="1">AVERAGE(OFFSET($DS$3,0,0,'Données projet'!$E$14+1,1))-AVERAGE(OFFSET($H$3,0,0,'Données projet'!$E$14+1,1))</f>
        <v>273.24375559399846</v>
      </c>
      <c r="DU167" s="62">
        <f t="shared" si="152"/>
        <v>270.77718895097848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projet'!$B$14,Paramètres!$A$1:$I$88,3,0)*0.475*44/12</f>
        <v>6.1301687803866365</v>
      </c>
      <c r="EB167" s="23">
        <f>EXP(-LN(2)/25)*EB166+(1-EXP(-LN(2)/25))/(LN(2)/25)*Calculateur!DW167*Calculateur!DY167*VLOOKUP('Données projet'!$B$14,Paramètres!$A$1:$I$88,3,0)*0.475*44/12</f>
        <v>2.967959622536243</v>
      </c>
      <c r="EC167" s="23">
        <f>EXP(-LN(2)/2)*EC166+(1-EXP(-LN(2)/2))/(LN(2)/2)*DW167*DZ167*VLOOKUP('Données projet'!$B$14,Paramètres!$A$1:$I$88,3,0)*0.475*44/12</f>
        <v>0</v>
      </c>
      <c r="ED167" s="24">
        <f t="shared" si="178"/>
        <v>9.0981284029228799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498.99999999999955</v>
      </c>
      <c r="EK167" s="18">
        <f>EJ167*VLOOKUP('Données projet'!$B$15,Paramètres!$A$1:$I$88,3,0)*VLOOKUP('Données projet'!$B$15,Paramètres!$A$1:$I$88,5,0)</f>
        <v>233.53199999999975</v>
      </c>
      <c r="EL167" s="14">
        <f t="shared" si="179"/>
        <v>57.04570382109803</v>
      </c>
      <c r="EM167" s="22">
        <f t="shared" si="180"/>
        <v>506.08950082174533</v>
      </c>
      <c r="EN167" s="62">
        <f t="shared" si="128"/>
        <v>794.22543255192602</v>
      </c>
      <c r="EO167" s="62">
        <f ca="1">AVERAGE(OFFSET($EN$3,0,0,'Données projet'!$E$15+1,1))-AVERAGE(OFFSET($H$3,0,0,'Données projet'!$E$15+1,1))</f>
        <v>267.26203506406682</v>
      </c>
      <c r="EP167" s="62">
        <f t="shared" si="154"/>
        <v>265.10857635664843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projet'!$B$15,Paramètres!$A$1:$I$88,3,0)*0.475*44/12</f>
        <v>5.9644885430788861</v>
      </c>
      <c r="EW167" s="23">
        <f>EXP(-LN(2)/25)*EW166+(1-EXP(-LN(2)/25))/(LN(2)/25)*Calculateur!ER167*Calculateur!ET167*VLOOKUP('Données projet'!$B$15,Paramètres!$A$1:$I$88,3,0)*0.475*44/12</f>
        <v>2.8877444976028288</v>
      </c>
      <c r="EX167" s="23">
        <f>EXP(-LN(2)/2)*EX166+(1-EXP(-LN(2)/2))/(LN(2)/2)*ER167*EU167*VLOOKUP('Données projet'!$B$15,Paramètres!$A$1:$I$88,3,0)*0.475*44/12</f>
        <v>0</v>
      </c>
      <c r="EY167" s="24">
        <f t="shared" si="181"/>
        <v>8.852233040681714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231</v>
      </c>
      <c r="FF167" s="18">
        <f>FE167*VLOOKUP('Données projet'!$B$16,Paramètres!$A$1:$I$88,3,0)*VLOOKUP('Données projet'!$B$16,Paramètres!$A$1:$I$88,5,0)</f>
        <v>169.36920000000001</v>
      </c>
      <c r="FG167" s="14">
        <f t="shared" si="182"/>
        <v>42.948714817158674</v>
      </c>
      <c r="FH167" s="22">
        <f t="shared" si="183"/>
        <v>369.787034973218</v>
      </c>
      <c r="FI167" s="62">
        <f t="shared" si="131"/>
        <v>657.92296670339874</v>
      </c>
      <c r="FJ167" s="62">
        <f ca="1">AVERAGE(OFFSET($FI$3,0,0,'Données projet'!$E$16+1,1))-AVERAGE(OFFSET($H$3,0,0,'Données projet'!$E$16+1,1))</f>
        <v>207.66160354686221</v>
      </c>
      <c r="FK167" s="62">
        <f t="shared" si="156"/>
        <v>260.45879589483525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projet'!$B$16,Paramètres!$A$1:$I$88,3,0)*0.475*44/12</f>
        <v>0.36438689104133198</v>
      </c>
      <c r="FR167" s="23">
        <f>EXP(-LN(2)/25)*FR166+(1-EXP(-LN(2)/25))/(LN(2)/25)*Calculateur!FM167*Calculateur!FO167*VLOOKUP('Données projet'!$B$16,Paramètres!$A$1:$I$88,3,0)*0.475*44/12</f>
        <v>0</v>
      </c>
      <c r="FS167" s="23">
        <f>EXP(-LN(2)/2)*FS166+(1-EXP(-LN(2)/2))/(LN(2)/2)*FM167*FP167*VLOOKUP('Données projet'!$B$16,Paramètres!$A$1:$I$88,3,0)*0.475*44/12</f>
        <v>0</v>
      </c>
      <c r="FT167" s="24">
        <f t="shared" si="184"/>
        <v>0.36438689104133198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projet'!$B$9,Paramètres!$A$1:$I$88,3,0)*VLOOKUP('Données projet'!$B$9,Paramètres!$A$1:$I$88,5,0)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378.13552372917843</v>
      </c>
      <c r="T168" s="62">
        <f t="shared" si="142"/>
        <v>528.97123645404952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27.569209712212174</v>
      </c>
      <c r="AA168" s="23">
        <f>EXP(-LN(2)/25)*AA167+(1-EXP(-LN(2)/25))/(LN(2)/25)*Calculateur!V168*Calculateur!X168*VLOOKUP('Données projet'!$B$9,Paramètres!$A$1:$I$88,3,0)*0.475*44/12</f>
        <v>5.9661606872019686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33.535370399414141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6.9</v>
      </c>
      <c r="AI168" s="14">
        <f>IF('Données projet'!$A$62&gt;35,AI167+AH168-AQ167,IF(A168&lt;'Données projet'!$A$62,$AF$205^A168,IF(A168='Données projet'!$A$62,'Données projet'!$B$62,AI167+AH168-AQ167)))</f>
        <v>422.50000000000023</v>
      </c>
      <c r="AJ168" s="14">
        <f>AI168*VLOOKUP('Données projet'!$B$10,Paramètres!$A$1:$I$88,3,0)*VLOOKUP('Données projet'!$B$10,Paramètres!$A$1:$I$88,5,0)</f>
        <v>382.27800000000019</v>
      </c>
      <c r="AK168" s="14">
        <f t="shared" si="164"/>
        <v>88.174380882669126</v>
      </c>
      <c r="AL168" s="22">
        <f t="shared" si="165"/>
        <v>819.37123003731574</v>
      </c>
      <c r="AM168" s="62">
        <f t="shared" si="113"/>
        <v>1107.5973250656618</v>
      </c>
      <c r="AN168" s="62">
        <f ca="1">AVERAGE(OFFSET($AM$3,0,0,'Données projet'!$E$10+1,1))-AVERAGE(OFFSET($H$3,0,0,'Données projet'!$E$10+1,1))</f>
        <v>536.3707066106856</v>
      </c>
      <c r="AO168" s="62">
        <f t="shared" si="144"/>
        <v>217.6280015974086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50.258151405331567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50.258151405331567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302.3</v>
      </c>
      <c r="BE168" s="14">
        <f>BD168*VLOOKUP('Données projet'!$B$11,Paramètres!$A$1:$I$88,3,0)*VLOOKUP('Données projet'!$B$11,Paramètres!$A$1:$I$88,5,0)</f>
        <v>180.77540000000005</v>
      </c>
      <c r="BF168" s="14">
        <f t="shared" si="167"/>
        <v>45.494655198846154</v>
      </c>
      <c r="BG168" s="22">
        <f t="shared" si="168"/>
        <v>394.08701280465715</v>
      </c>
      <c r="BH168" s="62">
        <f t="shared" si="116"/>
        <v>682.3131078330033</v>
      </c>
      <c r="BI168" s="62">
        <f ca="1">AVERAGE(OFFSET($BH$3,0,0,'Données projet'!$E$11+1,1))-AVERAGE(OFFSET($H$3,0,0,'Données projet'!$E$11+1,1))</f>
        <v>248.66193174773525</v>
      </c>
      <c r="BJ168" s="62">
        <f t="shared" si="146"/>
        <v>249.61655682981151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2.5928484798211824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6.5180394889138531E-16</v>
      </c>
      <c r="BS168" s="24">
        <f t="shared" si="169"/>
        <v>2.5928484798211828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860.00000000000023</v>
      </c>
      <c r="BZ168" s="14">
        <f>BY168*VLOOKUP('Données projet'!$B$12,Paramètres!$A$1:$I$88,3,0)*VLOOKUP('Données projet'!$B$12,Paramètres!$A$1:$I$88,5,0)</f>
        <v>346.5800000000001</v>
      </c>
      <c r="CA168" s="14">
        <f t="shared" si="170"/>
        <v>80.857895771535127</v>
      </c>
      <c r="CB168" s="22">
        <f t="shared" si="171"/>
        <v>744.45433513542378</v>
      </c>
      <c r="CC168" s="62">
        <f t="shared" si="119"/>
        <v>1032.6804301637699</v>
      </c>
      <c r="CD168" s="62">
        <f ca="1">AVERAGE(OFFSET($CC$3,0,0,'Données projet'!$E$12+1,1))-AVERAGE(OFFSET($H$3,0,0,'Données projet'!$E$12+1,1))</f>
        <v>432.59662347701629</v>
      </c>
      <c r="CE168" s="62">
        <f t="shared" si="148"/>
        <v>348.67401091099748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11.679906379125876</v>
      </c>
      <c r="CL168" s="23">
        <f>EXP(-LN(2)/25)*CL167+(1-EXP(-LN(2)/25))/(LN(2)/25)*Calculateur!CG168*Calculateur!CI168*VLOOKUP('Données projet'!$B$12,Paramètres!$A$1:$I$88,3,0)*0.475*44/12</f>
        <v>6.5868631264841309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18.266769505610007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1099.9999999999998</v>
      </c>
      <c r="CU168" s="18">
        <f>CT168*VLOOKUP('Données projet'!$B$13,Paramètres!$A$1:$I$88,3,0)*VLOOKUP('Données projet'!$B$13,Paramètres!$A$1:$I$88,5,0)</f>
        <v>486.19999999999993</v>
      </c>
      <c r="CV168" s="14">
        <f t="shared" si="173"/>
        <v>109.0490179035375</v>
      </c>
      <c r="CW168" s="22">
        <f t="shared" si="174"/>
        <v>1036.725372848661</v>
      </c>
      <c r="CX168" s="62">
        <f t="shared" si="122"/>
        <v>1324.9514678770072</v>
      </c>
      <c r="CY168" s="62">
        <f ca="1">AVERAGE(OFFSET($CX$3,0,0,'Données projet'!$E$13+1,1))-AVERAGE(OFFSET($H$3,0,0,'Données projet'!$E$13+1,1))</f>
        <v>582.26951914082088</v>
      </c>
      <c r="CZ168" s="62">
        <f t="shared" si="150"/>
        <v>434.80429932654715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11.769124569005642</v>
      </c>
      <c r="DG168" s="23">
        <f>EXP(-LN(2)/25)*DG167+(1-EXP(-LN(2)/25))/(LN(2)/25)*Calculateur!DB168*Calculateur!DD168*VLOOKUP('Données projet'!$B$13,Paramètres!$A$1:$I$88,3,0)*0.475*44/12</f>
        <v>5.9188092312441363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17.68793380024978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498.99999999999955</v>
      </c>
      <c r="DP168" s="18">
        <f>DO168*VLOOKUP('Données projet'!$B$14,Paramètres!$A$1:$I$88,3,0)*VLOOKUP('Données projet'!$B$14,Paramètres!$A$1:$I$88,5,0)</f>
        <v>240.01899999999978</v>
      </c>
      <c r="DQ168" s="14">
        <f t="shared" si="176"/>
        <v>58.443618405936313</v>
      </c>
      <c r="DR168" s="22">
        <f t="shared" si="177"/>
        <v>519.82239372367201</v>
      </c>
      <c r="DS168" s="62">
        <f t="shared" si="125"/>
        <v>808.0484887520181</v>
      </c>
      <c r="DT168" s="62">
        <f ca="1">AVERAGE(OFFSET($DS$3,0,0,'Données projet'!$E$14+1,1))-AVERAGE(OFFSET($H$3,0,0,'Données projet'!$E$14+1,1))</f>
        <v>273.24375559399846</v>
      </c>
      <c r="DU168" s="62">
        <f t="shared" si="152"/>
        <v>270.77718895097848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projet'!$B$14,Paramètres!$A$1:$I$88,3,0)*0.475*44/12</f>
        <v>6.0099599096370113</v>
      </c>
      <c r="EB168" s="23">
        <f>EXP(-LN(2)/25)*EB167+(1-EXP(-LN(2)/25))/(LN(2)/25)*Calculateur!DW168*Calculateur!DY168*VLOOKUP('Données projet'!$B$14,Paramètres!$A$1:$I$88,3,0)*0.475*44/12</f>
        <v>2.8868006105797761</v>
      </c>
      <c r="EC168" s="23">
        <f>EXP(-LN(2)/2)*EC167+(1-EXP(-LN(2)/2))/(LN(2)/2)*DW168*DZ168*VLOOKUP('Données projet'!$B$14,Paramètres!$A$1:$I$88,3,0)*0.475*44/12</f>
        <v>0</v>
      </c>
      <c r="ED168" s="24">
        <f t="shared" si="178"/>
        <v>8.8967605202167874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498.99999999999955</v>
      </c>
      <c r="EK168" s="18">
        <f>EJ168*VLOOKUP('Données projet'!$B$15,Paramètres!$A$1:$I$88,3,0)*VLOOKUP('Données projet'!$B$15,Paramètres!$A$1:$I$88,5,0)</f>
        <v>233.53199999999975</v>
      </c>
      <c r="EL168" s="14">
        <f t="shared" si="179"/>
        <v>57.04570382109803</v>
      </c>
      <c r="EM168" s="22">
        <f t="shared" si="180"/>
        <v>506.08950082174533</v>
      </c>
      <c r="EN168" s="62">
        <f t="shared" si="128"/>
        <v>794.31559585009154</v>
      </c>
      <c r="EO168" s="62">
        <f ca="1">AVERAGE(OFFSET($EN$3,0,0,'Données projet'!$E$15+1,1))-AVERAGE(OFFSET($H$3,0,0,'Données projet'!$E$15+1,1))</f>
        <v>267.26203506406682</v>
      </c>
      <c r="EP168" s="62">
        <f t="shared" si="154"/>
        <v>265.10857635664843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projet'!$B$15,Paramètres!$A$1:$I$88,3,0)*0.475*44/12</f>
        <v>5.8475285607279002</v>
      </c>
      <c r="EW168" s="23">
        <f>EXP(-LN(2)/25)*EW167+(1-EXP(-LN(2)/25))/(LN(2)/25)*Calculateur!ER168*Calculateur!ET168*VLOOKUP('Données projet'!$B$15,Paramètres!$A$1:$I$88,3,0)*0.475*44/12</f>
        <v>2.8087789724559964</v>
      </c>
      <c r="EX168" s="23">
        <f>EXP(-LN(2)/2)*EX167+(1-EXP(-LN(2)/2))/(LN(2)/2)*ER168*EU168*VLOOKUP('Données projet'!$B$15,Paramètres!$A$1:$I$88,3,0)*0.475*44/12</f>
        <v>0</v>
      </c>
      <c r="EY168" s="24">
        <f t="shared" si="181"/>
        <v>8.656307533183897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231</v>
      </c>
      <c r="FF168" s="18">
        <f>FE168*VLOOKUP('Données projet'!$B$16,Paramètres!$A$1:$I$88,3,0)*VLOOKUP('Données projet'!$B$16,Paramètres!$A$1:$I$88,5,0)</f>
        <v>169.36920000000001</v>
      </c>
      <c r="FG168" s="14">
        <f t="shared" si="182"/>
        <v>42.948714817158674</v>
      </c>
      <c r="FH168" s="22">
        <f t="shared" si="183"/>
        <v>369.787034973218</v>
      </c>
      <c r="FI168" s="62">
        <f t="shared" si="131"/>
        <v>658.01313000156415</v>
      </c>
      <c r="FJ168" s="62">
        <f ca="1">AVERAGE(OFFSET($FI$3,0,0,'Données projet'!$E$16+1,1))-AVERAGE(OFFSET($H$3,0,0,'Données projet'!$E$16+1,1))</f>
        <v>207.66160354686221</v>
      </c>
      <c r="FK168" s="62">
        <f t="shared" si="156"/>
        <v>260.45879589483525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projet'!$B$16,Paramètres!$A$1:$I$88,3,0)*0.475*44/12</f>
        <v>0.35724148636206926</v>
      </c>
      <c r="FR168" s="23">
        <f>EXP(-LN(2)/25)*FR167+(1-EXP(-LN(2)/25))/(LN(2)/25)*Calculateur!FM168*Calculateur!FO168*VLOOKUP('Données projet'!$B$16,Paramètres!$A$1:$I$88,3,0)*0.475*44/12</f>
        <v>0</v>
      </c>
      <c r="FS168" s="23">
        <f>EXP(-LN(2)/2)*FS167+(1-EXP(-LN(2)/2))/(LN(2)/2)*FM168*FP168*VLOOKUP('Données projet'!$B$16,Paramètres!$A$1:$I$88,3,0)*0.475*44/12</f>
        <v>0</v>
      </c>
      <c r="FT168" s="24">
        <f t="shared" si="184"/>
        <v>0.35724148636206926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projet'!$B$9,Paramètres!$A$1:$I$88,3,0)*VLOOKUP('Données projet'!$B$9,Paramètres!$A$1:$I$88,5,0)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378.13552372917843</v>
      </c>
      <c r="T169" s="62">
        <f t="shared" si="142"/>
        <v>528.97123645404952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27.028594325313218</v>
      </c>
      <c r="AA169" s="23">
        <f>EXP(-LN(2)/25)*AA168+(1-EXP(-LN(2)/25))/(LN(2)/25)*Calculateur!V169*Calculateur!X169*VLOOKUP('Données projet'!$B$9,Paramètres!$A$1:$I$88,3,0)*0.475*44/12</f>
        <v>5.8030157094636756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32.831610034776894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6.9</v>
      </c>
      <c r="AI169" s="14">
        <f>IF('Données projet'!$A$62&gt;35,AI168+AH169-AQ168,IF(A169&lt;'Données projet'!$A$62,$AF$205^A169,IF(A169='Données projet'!$A$62,'Données projet'!$B$62,AI168+AH169-AQ168)))</f>
        <v>429.4000000000002</v>
      </c>
      <c r="AJ169" s="14">
        <f>AI169*VLOOKUP('Données projet'!$B$10,Paramètres!$A$1:$I$88,3,0)*VLOOKUP('Données projet'!$B$10,Paramètres!$A$1:$I$88,5,0)</f>
        <v>388.52112000000017</v>
      </c>
      <c r="AK169" s="14">
        <f t="shared" si="164"/>
        <v>89.445569532304589</v>
      </c>
      <c r="AL169" s="22">
        <f t="shared" si="165"/>
        <v>832.4586509354308</v>
      </c>
      <c r="AM169" s="62">
        <f t="shared" si="113"/>
        <v>1120.7733451302943</v>
      </c>
      <c r="AN169" s="62">
        <f ca="1">AVERAGE(OFFSET($AM$3,0,0,'Données projet'!$E$10+1,1))-AVERAGE(OFFSET($H$3,0,0,'Données projet'!$E$10+1,1))</f>
        <v>536.3707066106856</v>
      </c>
      <c r="AO169" s="62">
        <f t="shared" si="144"/>
        <v>217.6280015974086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49.272619710718494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49.272619710718494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302.3</v>
      </c>
      <c r="BE169" s="14">
        <f>BD169*VLOOKUP('Données projet'!$B$11,Paramètres!$A$1:$I$88,3,0)*VLOOKUP('Données projet'!$B$11,Paramètres!$A$1:$I$88,5,0)</f>
        <v>180.77540000000005</v>
      </c>
      <c r="BF169" s="14">
        <f t="shared" si="167"/>
        <v>45.494655198846154</v>
      </c>
      <c r="BG169" s="22">
        <f t="shared" si="168"/>
        <v>394.08701280465715</v>
      </c>
      <c r="BH169" s="62">
        <f t="shared" si="116"/>
        <v>682.40170699952057</v>
      </c>
      <c r="BI169" s="62">
        <f ca="1">AVERAGE(OFFSET($BH$3,0,0,'Données projet'!$E$11+1,1))-AVERAGE(OFFSET($H$3,0,0,'Données projet'!$E$11+1,1))</f>
        <v>248.66193174773525</v>
      </c>
      <c r="BJ169" s="62">
        <f t="shared" si="146"/>
        <v>249.61655682981151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2.5420043026133032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4.6089499226526839E-16</v>
      </c>
      <c r="BS169" s="24">
        <f t="shared" si="169"/>
        <v>2.5420043026133037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860.00000000000023</v>
      </c>
      <c r="BZ169" s="14">
        <f>BY169*VLOOKUP('Données projet'!$B$12,Paramètres!$A$1:$I$88,3,0)*VLOOKUP('Données projet'!$B$12,Paramètres!$A$1:$I$88,5,0)</f>
        <v>346.5800000000001</v>
      </c>
      <c r="CA169" s="14">
        <f t="shared" si="170"/>
        <v>80.857895771535127</v>
      </c>
      <c r="CB169" s="22">
        <f t="shared" si="171"/>
        <v>744.45433513542378</v>
      </c>
      <c r="CC169" s="62">
        <f t="shared" si="119"/>
        <v>1032.7690293302871</v>
      </c>
      <c r="CD169" s="62">
        <f ca="1">AVERAGE(OFFSET($CC$3,0,0,'Données projet'!$E$12+1,1))-AVERAGE(OFFSET($H$3,0,0,'Données projet'!$E$12+1,1))</f>
        <v>432.59662347701629</v>
      </c>
      <c r="CE169" s="62">
        <f t="shared" si="148"/>
        <v>348.67401091099748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11.450870539070669</v>
      </c>
      <c r="CL169" s="23">
        <f>EXP(-LN(2)/25)*CL168+(1-EXP(-LN(2)/25))/(LN(2)/25)*Calculateur!CG169*Calculateur!CI169*VLOOKUP('Données projet'!$B$12,Paramètres!$A$1:$I$88,3,0)*0.475*44/12</f>
        <v>6.4067450079023454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17.857615546973015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1099.9999999999998</v>
      </c>
      <c r="CU169" s="18">
        <f>CT169*VLOOKUP('Données projet'!$B$13,Paramètres!$A$1:$I$88,3,0)*VLOOKUP('Données projet'!$B$13,Paramètres!$A$1:$I$88,5,0)</f>
        <v>486.19999999999993</v>
      </c>
      <c r="CV169" s="14">
        <f t="shared" si="173"/>
        <v>109.0490179035375</v>
      </c>
      <c r="CW169" s="22">
        <f t="shared" si="174"/>
        <v>1036.725372848661</v>
      </c>
      <c r="CX169" s="62">
        <f t="shared" si="122"/>
        <v>1325.0400670435245</v>
      </c>
      <c r="CY169" s="62">
        <f ca="1">AVERAGE(OFFSET($CX$3,0,0,'Données projet'!$E$13+1,1))-AVERAGE(OFFSET($H$3,0,0,'Données projet'!$E$13+1,1))</f>
        <v>582.26951914082088</v>
      </c>
      <c r="CZ169" s="62">
        <f t="shared" si="150"/>
        <v>434.80429932654715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11.538339214664616</v>
      </c>
      <c r="DG169" s="23">
        <f>EXP(-LN(2)/25)*DG168+(1-EXP(-LN(2)/25))/(LN(2)/25)*Calculateur!DB169*Calculateur!DD169*VLOOKUP('Données projet'!$B$13,Paramètres!$A$1:$I$88,3,0)*0.475*44/12</f>
        <v>5.7569590815591152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17.295298296223731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498.99999999999955</v>
      </c>
      <c r="DP169" s="18">
        <f>DO169*VLOOKUP('Données projet'!$B$14,Paramètres!$A$1:$I$88,3,0)*VLOOKUP('Données projet'!$B$14,Paramètres!$A$1:$I$88,5,0)</f>
        <v>240.01899999999978</v>
      </c>
      <c r="DQ169" s="14">
        <f t="shared" si="176"/>
        <v>58.443618405936313</v>
      </c>
      <c r="DR169" s="22">
        <f t="shared" si="177"/>
        <v>519.82239372367201</v>
      </c>
      <c r="DS169" s="62">
        <f t="shared" si="125"/>
        <v>808.13708791853537</v>
      </c>
      <c r="DT169" s="62">
        <f ca="1">AVERAGE(OFFSET($DS$3,0,0,'Données projet'!$E$14+1,1))-AVERAGE(OFFSET($H$3,0,0,'Données projet'!$E$14+1,1))</f>
        <v>273.24375559399846</v>
      </c>
      <c r="DU169" s="62">
        <f t="shared" si="152"/>
        <v>270.77718895097848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projet'!$B$14,Paramètres!$A$1:$I$88,3,0)*0.475*44/12</f>
        <v>5.8921082615226155</v>
      </c>
      <c r="EB169" s="23">
        <f>EXP(-LN(2)/25)*EB168+(1-EXP(-LN(2)/25))/(LN(2)/25)*Calculateur!DW169*Calculateur!DY169*VLOOKUP('Données projet'!$B$14,Paramètres!$A$1:$I$88,3,0)*0.475*44/12</f>
        <v>2.8078608960732261</v>
      </c>
      <c r="EC169" s="23">
        <f>EXP(-LN(2)/2)*EC168+(1-EXP(-LN(2)/2))/(LN(2)/2)*DW169*DZ169*VLOOKUP('Données projet'!$B$14,Paramètres!$A$1:$I$88,3,0)*0.475*44/12</f>
        <v>0</v>
      </c>
      <c r="ED169" s="24">
        <f t="shared" si="178"/>
        <v>8.6999691575958416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498.99999999999955</v>
      </c>
      <c r="EK169" s="18">
        <f>EJ169*VLOOKUP('Données projet'!$B$15,Paramètres!$A$1:$I$88,3,0)*VLOOKUP('Données projet'!$B$15,Paramètres!$A$1:$I$88,5,0)</f>
        <v>233.53199999999975</v>
      </c>
      <c r="EL169" s="14">
        <f t="shared" si="179"/>
        <v>57.04570382109803</v>
      </c>
      <c r="EM169" s="22">
        <f t="shared" si="180"/>
        <v>506.08950082174533</v>
      </c>
      <c r="EN169" s="62">
        <f t="shared" si="128"/>
        <v>794.40419501660881</v>
      </c>
      <c r="EO169" s="62">
        <f ca="1">AVERAGE(OFFSET($EN$3,0,0,'Données projet'!$E$15+1,1))-AVERAGE(OFFSET($H$3,0,0,'Données projet'!$E$15+1,1))</f>
        <v>267.26203506406682</v>
      </c>
      <c r="EP169" s="62">
        <f t="shared" si="154"/>
        <v>265.10857635664843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projet'!$B$15,Paramètres!$A$1:$I$88,3,0)*0.475*44/12</f>
        <v>5.7328620922922715</v>
      </c>
      <c r="EW169" s="23">
        <f>EXP(-LN(2)/25)*EW168+(1-EXP(-LN(2)/25))/(LN(2)/25)*Calculateur!ER169*Calculateur!ET169*VLOOKUP('Données projet'!$B$15,Paramètres!$A$1:$I$88,3,0)*0.475*44/12</f>
        <v>2.7319727637469207</v>
      </c>
      <c r="EX169" s="23">
        <f>EXP(-LN(2)/2)*EX168+(1-EXP(-LN(2)/2))/(LN(2)/2)*ER169*EU169*VLOOKUP('Données projet'!$B$15,Paramètres!$A$1:$I$88,3,0)*0.475*44/12</f>
        <v>0</v>
      </c>
      <c r="EY169" s="24">
        <f t="shared" si="181"/>
        <v>8.4648348560391931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231</v>
      </c>
      <c r="FF169" s="18">
        <f>FE169*VLOOKUP('Données projet'!$B$16,Paramètres!$A$1:$I$88,3,0)*VLOOKUP('Données projet'!$B$16,Paramètres!$A$1:$I$88,5,0)</f>
        <v>169.36920000000001</v>
      </c>
      <c r="FG169" s="14">
        <f t="shared" si="182"/>
        <v>42.948714817158674</v>
      </c>
      <c r="FH169" s="22">
        <f t="shared" si="183"/>
        <v>369.787034973218</v>
      </c>
      <c r="FI169" s="62">
        <f t="shared" si="131"/>
        <v>658.10172916808142</v>
      </c>
      <c r="FJ169" s="62">
        <f ca="1">AVERAGE(OFFSET($FI$3,0,0,'Données projet'!$E$16+1,1))-AVERAGE(OFFSET($H$3,0,0,'Données projet'!$E$16+1,1))</f>
        <v>207.66160354686221</v>
      </c>
      <c r="FK169" s="62">
        <f t="shared" si="156"/>
        <v>260.45879589483525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projet'!$B$16,Paramètres!$A$1:$I$88,3,0)*0.475*44/12</f>
        <v>0.35023619871030032</v>
      </c>
      <c r="FR169" s="23">
        <f>EXP(-LN(2)/25)*FR168+(1-EXP(-LN(2)/25))/(LN(2)/25)*Calculateur!FM169*Calculateur!FO169*VLOOKUP('Données projet'!$B$16,Paramètres!$A$1:$I$88,3,0)*0.475*44/12</f>
        <v>0</v>
      </c>
      <c r="FS169" s="23">
        <f>EXP(-LN(2)/2)*FS168+(1-EXP(-LN(2)/2))/(LN(2)/2)*FM169*FP169*VLOOKUP('Données projet'!$B$16,Paramètres!$A$1:$I$88,3,0)*0.475*44/12</f>
        <v>0</v>
      </c>
      <c r="FT169" s="24">
        <f t="shared" si="184"/>
        <v>0.35023619871030032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projet'!$B$9,Paramètres!$A$1:$I$88,3,0)*VLOOKUP('Données projet'!$B$9,Paramètres!$A$1:$I$88,5,0)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378.13552372917843</v>
      </c>
      <c r="T170" s="62">
        <f t="shared" si="142"/>
        <v>528.97123645404952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26.498580076408526</v>
      </c>
      <c r="AA170" s="23">
        <f>EXP(-LN(2)/25)*AA169+(1-EXP(-LN(2)/25))/(LN(2)/25)*Calculateur!V170*Calculateur!X170*VLOOKUP('Données projet'!$B$9,Paramètres!$A$1:$I$88,3,0)*0.475*44/12</f>
        <v>5.6443319397210585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32.142912016129586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6.9</v>
      </c>
      <c r="AI170" s="14">
        <f>IF('Données projet'!$A$62&gt;35,AI169+AH170-AQ169,IF(A170&lt;'Données projet'!$A$62,$AF$205^A170,IF(A170='Données projet'!$A$62,'Données projet'!$B$62,AI169+AH170-AQ169)))</f>
        <v>436.30000000000018</v>
      </c>
      <c r="AJ170" s="14">
        <f>AI170*VLOOKUP('Données projet'!$B$10,Paramètres!$A$1:$I$88,3,0)*VLOOKUP('Données projet'!$B$10,Paramètres!$A$1:$I$88,5,0)</f>
        <v>394.76424000000014</v>
      </c>
      <c r="AK170" s="14">
        <f t="shared" si="164"/>
        <v>90.714382634519666</v>
      </c>
      <c r="AL170" s="22">
        <f t="shared" si="165"/>
        <v>845.5419344217886</v>
      </c>
      <c r="AM170" s="62">
        <f t="shared" si="113"/>
        <v>1133.9436907857082</v>
      </c>
      <c r="AN170" s="62">
        <f ca="1">AVERAGE(OFFSET($AM$3,0,0,'Données projet'!$E$10+1,1))-AVERAGE(OFFSET($H$3,0,0,'Données projet'!$E$10+1,1))</f>
        <v>536.3707066106856</v>
      </c>
      <c r="AO170" s="62">
        <f t="shared" si="144"/>
        <v>217.6280015974086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48.306413691521811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48.306413691521811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302.3</v>
      </c>
      <c r="BE170" s="14">
        <f>BD170*VLOOKUP('Données projet'!$B$11,Paramètres!$A$1:$I$88,3,0)*VLOOKUP('Données projet'!$B$11,Paramètres!$A$1:$I$88,5,0)</f>
        <v>180.77540000000005</v>
      </c>
      <c r="BF170" s="14">
        <f t="shared" si="167"/>
        <v>45.494655198846154</v>
      </c>
      <c r="BG170" s="22">
        <f t="shared" si="168"/>
        <v>394.08701280465715</v>
      </c>
      <c r="BH170" s="62">
        <f t="shared" si="116"/>
        <v>682.48876916857671</v>
      </c>
      <c r="BI170" s="62">
        <f ca="1">AVERAGE(OFFSET($BH$3,0,0,'Données projet'!$E$11+1,1))-AVERAGE(OFFSET($H$3,0,0,'Données projet'!$E$11+1,1))</f>
        <v>248.66193174773525</v>
      </c>
      <c r="BJ170" s="62">
        <f t="shared" si="146"/>
        <v>249.61655682981151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2.4921571487085847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3.2590197444569266E-16</v>
      </c>
      <c r="BS170" s="24">
        <f t="shared" si="169"/>
        <v>2.4921571487085852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860.00000000000023</v>
      </c>
      <c r="BZ170" s="14">
        <f>BY170*VLOOKUP('Données projet'!$B$12,Paramètres!$A$1:$I$88,3,0)*VLOOKUP('Données projet'!$B$12,Paramètres!$A$1:$I$88,5,0)</f>
        <v>346.5800000000001</v>
      </c>
      <c r="CA170" s="14">
        <f t="shared" si="170"/>
        <v>80.857895771535127</v>
      </c>
      <c r="CB170" s="22">
        <f t="shared" si="171"/>
        <v>744.45433513542378</v>
      </c>
      <c r="CC170" s="62">
        <f t="shared" si="119"/>
        <v>1032.8560914993434</v>
      </c>
      <c r="CD170" s="62">
        <f ca="1">AVERAGE(OFFSET($CC$3,0,0,'Données projet'!$E$12+1,1))-AVERAGE(OFFSET($H$3,0,0,'Données projet'!$E$12+1,1))</f>
        <v>432.59662347701629</v>
      </c>
      <c r="CE170" s="62">
        <f t="shared" si="148"/>
        <v>348.67401091099748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11.226325952140876</v>
      </c>
      <c r="CL170" s="23">
        <f>EXP(-LN(2)/25)*CL169+(1-EXP(-LN(2)/25))/(LN(2)/25)*Calculateur!CG170*Calculateur!CI170*VLOOKUP('Données projet'!$B$12,Paramètres!$A$1:$I$88,3,0)*0.475*44/12</f>
        <v>6.231552228745179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17.457878180886055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1099.9999999999998</v>
      </c>
      <c r="CU170" s="18">
        <f>CT170*VLOOKUP('Données projet'!$B$13,Paramètres!$A$1:$I$88,3,0)*VLOOKUP('Données projet'!$B$13,Paramètres!$A$1:$I$88,5,0)</f>
        <v>486.19999999999993</v>
      </c>
      <c r="CV170" s="14">
        <f t="shared" si="173"/>
        <v>109.0490179035375</v>
      </c>
      <c r="CW170" s="22">
        <f t="shared" si="174"/>
        <v>1036.725372848661</v>
      </c>
      <c r="CX170" s="62">
        <f t="shared" si="122"/>
        <v>1325.1271292125807</v>
      </c>
      <c r="CY170" s="62">
        <f ca="1">AVERAGE(OFFSET($CX$3,0,0,'Données projet'!$E$13+1,1))-AVERAGE(OFFSET($H$3,0,0,'Données projet'!$E$13+1,1))</f>
        <v>582.26951914082088</v>
      </c>
      <c r="CZ170" s="62">
        <f t="shared" si="150"/>
        <v>434.80429932654715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11.312079420357049</v>
      </c>
      <c r="DG170" s="23">
        <f>EXP(-LN(2)/25)*DG169+(1-EXP(-LN(2)/25))/(LN(2)/25)*Calculateur!DB170*Calculateur!DD170*VLOOKUP('Données projet'!$B$13,Paramètres!$A$1:$I$88,3,0)*0.475*44/12</f>
        <v>5.5995347327285607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16.911614153085608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498.99999999999955</v>
      </c>
      <c r="DP170" s="18">
        <f>DO170*VLOOKUP('Données projet'!$B$14,Paramètres!$A$1:$I$88,3,0)*VLOOKUP('Données projet'!$B$14,Paramètres!$A$1:$I$88,5,0)</f>
        <v>240.01899999999978</v>
      </c>
      <c r="DQ170" s="14">
        <f t="shared" si="176"/>
        <v>58.443618405936313</v>
      </c>
      <c r="DR170" s="22">
        <f t="shared" si="177"/>
        <v>519.82239372367201</v>
      </c>
      <c r="DS170" s="62">
        <f t="shared" si="125"/>
        <v>808.22415008759162</v>
      </c>
      <c r="DT170" s="62">
        <f ca="1">AVERAGE(OFFSET($DS$3,0,0,'Données projet'!$E$14+1,1))-AVERAGE(OFFSET($H$3,0,0,'Données projet'!$E$14+1,1))</f>
        <v>273.24375559399846</v>
      </c>
      <c r="DU170" s="62">
        <f t="shared" si="152"/>
        <v>270.77718895097848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projet'!$B$14,Paramètres!$A$1:$I$88,3,0)*0.475*44/12</f>
        <v>5.7765676123453353</v>
      </c>
      <c r="EB170" s="23">
        <f>EXP(-LN(2)/25)*EB169+(1-EXP(-LN(2)/25))/(LN(2)/25)*Calculateur!DW170*Calculateur!DY170*VLOOKUP('Données projet'!$B$14,Paramètres!$A$1:$I$88,3,0)*0.475*44/12</f>
        <v>2.7310797922111165</v>
      </c>
      <c r="EC170" s="23">
        <f>EXP(-LN(2)/2)*EC169+(1-EXP(-LN(2)/2))/(LN(2)/2)*DW170*DZ170*VLOOKUP('Données projet'!$B$14,Paramètres!$A$1:$I$88,3,0)*0.475*44/12</f>
        <v>0</v>
      </c>
      <c r="ED170" s="24">
        <f t="shared" si="178"/>
        <v>8.507647404556451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498.99999999999955</v>
      </c>
      <c r="EK170" s="18">
        <f>EJ170*VLOOKUP('Données projet'!$B$15,Paramètres!$A$1:$I$88,3,0)*VLOOKUP('Données projet'!$B$15,Paramètres!$A$1:$I$88,5,0)</f>
        <v>233.53199999999975</v>
      </c>
      <c r="EL170" s="14">
        <f t="shared" si="179"/>
        <v>57.04570382109803</v>
      </c>
      <c r="EM170" s="22">
        <f t="shared" si="180"/>
        <v>506.08950082174533</v>
      </c>
      <c r="EN170" s="62">
        <f t="shared" si="128"/>
        <v>794.49125718566495</v>
      </c>
      <c r="EO170" s="62">
        <f ca="1">AVERAGE(OFFSET($EN$3,0,0,'Données projet'!$E$15+1,1))-AVERAGE(OFFSET($H$3,0,0,'Données projet'!$E$15+1,1))</f>
        <v>267.26203506406682</v>
      </c>
      <c r="EP170" s="62">
        <f t="shared" si="154"/>
        <v>265.10857635664843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projet'!$B$15,Paramètres!$A$1:$I$88,3,0)*0.475*44/12</f>
        <v>5.6204441633630262</v>
      </c>
      <c r="EW170" s="23">
        <f>EXP(-LN(2)/25)*EW169+(1-EXP(-LN(2)/25))/(LN(2)/25)*Calculateur!ER170*Calculateur!ET170*VLOOKUP('Données projet'!$B$15,Paramètres!$A$1:$I$88,3,0)*0.475*44/12</f>
        <v>2.6572668248540574</v>
      </c>
      <c r="EX170" s="23">
        <f>EXP(-LN(2)/2)*EX169+(1-EXP(-LN(2)/2))/(LN(2)/2)*ER170*EU170*VLOOKUP('Données projet'!$B$15,Paramètres!$A$1:$I$88,3,0)*0.475*44/12</f>
        <v>0</v>
      </c>
      <c r="EY170" s="24">
        <f t="shared" si="181"/>
        <v>8.2777109882170841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231</v>
      </c>
      <c r="FF170" s="18">
        <f>FE170*VLOOKUP('Données projet'!$B$16,Paramètres!$A$1:$I$88,3,0)*VLOOKUP('Données projet'!$B$16,Paramètres!$A$1:$I$88,5,0)</f>
        <v>169.36920000000001</v>
      </c>
      <c r="FG170" s="14">
        <f t="shared" si="182"/>
        <v>42.948714817158674</v>
      </c>
      <c r="FH170" s="22">
        <f t="shared" si="183"/>
        <v>369.787034973218</v>
      </c>
      <c r="FI170" s="62">
        <f t="shared" si="131"/>
        <v>658.18879133713767</v>
      </c>
      <c r="FJ170" s="62">
        <f ca="1">AVERAGE(OFFSET($FI$3,0,0,'Données projet'!$E$16+1,1))-AVERAGE(OFFSET($H$3,0,0,'Données projet'!$E$16+1,1))</f>
        <v>207.66160354686221</v>
      </c>
      <c r="FK170" s="62">
        <f t="shared" si="156"/>
        <v>260.45879589483525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projet'!$B$16,Paramètres!$A$1:$I$88,3,0)*0.475*44/12</f>
        <v>0.34336828047657902</v>
      </c>
      <c r="FR170" s="23">
        <f>EXP(-LN(2)/25)*FR169+(1-EXP(-LN(2)/25))/(LN(2)/25)*Calculateur!FM170*Calculateur!FO170*VLOOKUP('Données projet'!$B$16,Paramètres!$A$1:$I$88,3,0)*0.475*44/12</f>
        <v>0</v>
      </c>
      <c r="FS170" s="23">
        <f>EXP(-LN(2)/2)*FS169+(1-EXP(-LN(2)/2))/(LN(2)/2)*FM170*FP170*VLOOKUP('Données projet'!$B$16,Paramètres!$A$1:$I$88,3,0)*0.475*44/12</f>
        <v>0</v>
      </c>
      <c r="FT170" s="24">
        <f t="shared" si="184"/>
        <v>0.34336828047657902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projet'!$B$9,Paramètres!$A$1:$I$88,3,0)*VLOOKUP('Données projet'!$B$9,Paramètres!$A$1:$I$88,5,0)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378.13552372917843</v>
      </c>
      <c r="T171" s="62">
        <f t="shared" si="142"/>
        <v>528.97123645404952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25.978959083648082</v>
      </c>
      <c r="AA171" s="23">
        <f>EXP(-LN(2)/25)*AA170+(1-EXP(-LN(2)/25))/(LN(2)/25)*Calculateur!V171*Calculateur!X171*VLOOKUP('Données projet'!$B$9,Paramètres!$A$1:$I$88,3,0)*0.475*44/12</f>
        <v>5.4899873860068693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31.468946469654952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6.9</v>
      </c>
      <c r="AI171" s="14">
        <f>IF('Données projet'!$A$62&gt;35,AI170+AH171-AQ170,IF(A171&lt;'Données projet'!$A$62,$AF$205^A171,IF(A171='Données projet'!$A$62,'Données projet'!$B$62,AI170+AH171-AQ170)))</f>
        <v>443.20000000000016</v>
      </c>
      <c r="AJ171" s="14">
        <f>AI171*VLOOKUP('Données projet'!$B$10,Paramètres!$A$1:$I$88,3,0)*VLOOKUP('Données projet'!$B$10,Paramètres!$A$1:$I$88,5,0)</f>
        <v>401.00736000000018</v>
      </c>
      <c r="AK171" s="14">
        <f t="shared" si="164"/>
        <v>91.980862096086014</v>
      </c>
      <c r="AL171" s="22">
        <f t="shared" si="165"/>
        <v>858.62115348401676</v>
      </c>
      <c r="AM171" s="62">
        <f t="shared" si="113"/>
        <v>1147.1084616830012</v>
      </c>
      <c r="AN171" s="62">
        <f ca="1">AVERAGE(OFFSET($AM$3,0,0,'Données projet'!$E$10+1,1))-AVERAGE(OFFSET($H$3,0,0,'Données projet'!$E$10+1,1))</f>
        <v>536.3707066106856</v>
      </c>
      <c r="AO171" s="62">
        <f t="shared" si="144"/>
        <v>217.6280015974086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47.359154383034095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47.359154383034095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302.3</v>
      </c>
      <c r="BE171" s="14">
        <f>BD171*VLOOKUP('Données projet'!$B$11,Paramètres!$A$1:$I$88,3,0)*VLOOKUP('Données projet'!$B$11,Paramètres!$A$1:$I$88,5,0)</f>
        <v>180.77540000000005</v>
      </c>
      <c r="BF171" s="14">
        <f t="shared" si="167"/>
        <v>45.494655198846154</v>
      </c>
      <c r="BG171" s="22">
        <f t="shared" si="168"/>
        <v>394.08701280465715</v>
      </c>
      <c r="BH171" s="62">
        <f t="shared" si="116"/>
        <v>682.57432100364167</v>
      </c>
      <c r="BI171" s="62">
        <f ca="1">AVERAGE(OFFSET($BH$3,0,0,'Données projet'!$E$11+1,1))-AVERAGE(OFFSET($H$3,0,0,'Données projet'!$E$11+1,1))</f>
        <v>248.66193174773525</v>
      </c>
      <c r="BJ171" s="62">
        <f t="shared" si="146"/>
        <v>249.61655682981151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2.4432874670881759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2.304474961326342E-16</v>
      </c>
      <c r="BS171" s="24">
        <f t="shared" si="169"/>
        <v>2.4432874670881763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860.00000000000023</v>
      </c>
      <c r="BZ171" s="14">
        <f>BY171*VLOOKUP('Données projet'!$B$12,Paramètres!$A$1:$I$88,3,0)*VLOOKUP('Données projet'!$B$12,Paramètres!$A$1:$I$88,5,0)</f>
        <v>346.5800000000001</v>
      </c>
      <c r="CA171" s="14">
        <f t="shared" si="170"/>
        <v>80.857895771535127</v>
      </c>
      <c r="CB171" s="22">
        <f t="shared" si="171"/>
        <v>744.45433513542378</v>
      </c>
      <c r="CC171" s="62">
        <f t="shared" si="119"/>
        <v>1032.9416433344084</v>
      </c>
      <c r="CD171" s="62">
        <f ca="1">AVERAGE(OFFSET($CC$3,0,0,'Données projet'!$E$12+1,1))-AVERAGE(OFFSET($H$3,0,0,'Données projet'!$E$12+1,1))</f>
        <v>432.59662347701629</v>
      </c>
      <c r="CE171" s="62">
        <f t="shared" si="148"/>
        <v>348.67401091099748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11.006184547602102</v>
      </c>
      <c r="CL171" s="23">
        <f>EXP(-LN(2)/25)*CL170+(1-EXP(-LN(2)/25))/(LN(2)/25)*Calculateur!CG171*Calculateur!CI171*VLOOKUP('Données projet'!$B$12,Paramètres!$A$1:$I$88,3,0)*0.475*44/12</f>
        <v>6.0611501053470525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17.067334652949153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1099.9999999999998</v>
      </c>
      <c r="CU171" s="18">
        <f>CT171*VLOOKUP('Données projet'!$B$13,Paramètres!$A$1:$I$88,3,0)*VLOOKUP('Données projet'!$B$13,Paramètres!$A$1:$I$88,5,0)</f>
        <v>486.19999999999993</v>
      </c>
      <c r="CV171" s="14">
        <f t="shared" si="173"/>
        <v>109.0490179035375</v>
      </c>
      <c r="CW171" s="22">
        <f t="shared" si="174"/>
        <v>1036.725372848661</v>
      </c>
      <c r="CX171" s="62">
        <f t="shared" si="122"/>
        <v>1325.2126810476454</v>
      </c>
      <c r="CY171" s="62">
        <f ca="1">AVERAGE(OFFSET($CX$3,0,0,'Données projet'!$E$13+1,1))-AVERAGE(OFFSET($H$3,0,0,'Données projet'!$E$13+1,1))</f>
        <v>582.26951914082088</v>
      </c>
      <c r="CZ171" s="62">
        <f t="shared" si="150"/>
        <v>434.80429932654715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11.090256442611006</v>
      </c>
      <c r="DG171" s="23">
        <f>EXP(-LN(2)/25)*DG170+(1-EXP(-LN(2)/25))/(LN(2)/25)*Calculateur!DB171*Calculateur!DD171*VLOOKUP('Données projet'!$B$13,Paramètres!$A$1:$I$88,3,0)*0.475*44/12</f>
        <v>5.4464151609953646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16.536671603606372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498.99999999999955</v>
      </c>
      <c r="DP171" s="18">
        <f>DO171*VLOOKUP('Données projet'!$B$14,Paramètres!$A$1:$I$88,3,0)*VLOOKUP('Données projet'!$B$14,Paramètres!$A$1:$I$88,5,0)</f>
        <v>240.01899999999978</v>
      </c>
      <c r="DQ171" s="14">
        <f t="shared" si="176"/>
        <v>58.443618405936313</v>
      </c>
      <c r="DR171" s="22">
        <f t="shared" si="177"/>
        <v>519.82239372367201</v>
      </c>
      <c r="DS171" s="62">
        <f t="shared" si="125"/>
        <v>808.30970192265659</v>
      </c>
      <c r="DT171" s="62">
        <f ca="1">AVERAGE(OFFSET($DS$3,0,0,'Données projet'!$E$14+1,1))-AVERAGE(OFFSET($H$3,0,0,'Données projet'!$E$14+1,1))</f>
        <v>273.24375559399846</v>
      </c>
      <c r="DU171" s="62">
        <f t="shared" si="152"/>
        <v>270.77718895097848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projet'!$B$14,Paramètres!$A$1:$I$88,3,0)*0.475*44/12</f>
        <v>5.6632926448255843</v>
      </c>
      <c r="EB171" s="23">
        <f>EXP(-LN(2)/25)*EB170+(1-EXP(-LN(2)/25))/(LN(2)/25)*Calculateur!DW171*Calculateur!DY171*VLOOKUP('Données projet'!$B$14,Paramètres!$A$1:$I$88,3,0)*0.475*44/12</f>
        <v>2.656398271671859</v>
      </c>
      <c r="EC171" s="23">
        <f>EXP(-LN(2)/2)*EC170+(1-EXP(-LN(2)/2))/(LN(2)/2)*DW171*DZ171*VLOOKUP('Données projet'!$B$14,Paramètres!$A$1:$I$88,3,0)*0.475*44/12</f>
        <v>0</v>
      </c>
      <c r="ED171" s="24">
        <f t="shared" si="178"/>
        <v>8.3196909164974429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498.99999999999955</v>
      </c>
      <c r="EK171" s="18">
        <f>EJ171*VLOOKUP('Données projet'!$B$15,Paramètres!$A$1:$I$88,3,0)*VLOOKUP('Données projet'!$B$15,Paramètres!$A$1:$I$88,5,0)</f>
        <v>233.53199999999975</v>
      </c>
      <c r="EL171" s="14">
        <f t="shared" si="179"/>
        <v>57.04570382109803</v>
      </c>
      <c r="EM171" s="22">
        <f t="shared" si="180"/>
        <v>506.08950082174533</v>
      </c>
      <c r="EN171" s="62">
        <f t="shared" si="128"/>
        <v>794.5768090207298</v>
      </c>
      <c r="EO171" s="62">
        <f ca="1">AVERAGE(OFFSET($EN$3,0,0,'Données projet'!$E$15+1,1))-AVERAGE(OFFSET($H$3,0,0,'Données projet'!$E$15+1,1))</f>
        <v>267.26203506406682</v>
      </c>
      <c r="EP171" s="62">
        <f t="shared" si="154"/>
        <v>265.10857635664843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projet'!$B$15,Paramètres!$A$1:$I$88,3,0)*0.475*44/12</f>
        <v>5.5102306814519171</v>
      </c>
      <c r="EW171" s="23">
        <f>EXP(-LN(2)/25)*EW170+(1-EXP(-LN(2)/25))/(LN(2)/25)*Calculateur!ER171*Calculateur!ET171*VLOOKUP('Données projet'!$B$15,Paramètres!$A$1:$I$88,3,0)*0.475*44/12</f>
        <v>2.5846037237888342</v>
      </c>
      <c r="EX171" s="23">
        <f>EXP(-LN(2)/2)*EX170+(1-EXP(-LN(2)/2))/(LN(2)/2)*ER171*EU171*VLOOKUP('Données projet'!$B$15,Paramètres!$A$1:$I$88,3,0)*0.475*44/12</f>
        <v>0</v>
      </c>
      <c r="EY171" s="24">
        <f t="shared" si="181"/>
        <v>8.0948344052407517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231</v>
      </c>
      <c r="FF171" s="18">
        <f>FE171*VLOOKUP('Données projet'!$B$16,Paramètres!$A$1:$I$88,3,0)*VLOOKUP('Données projet'!$B$16,Paramètres!$A$1:$I$88,5,0)</f>
        <v>169.36920000000001</v>
      </c>
      <c r="FG171" s="14">
        <f t="shared" si="182"/>
        <v>42.948714817158674</v>
      </c>
      <c r="FH171" s="22">
        <f t="shared" si="183"/>
        <v>369.787034973218</v>
      </c>
      <c r="FI171" s="62">
        <f t="shared" si="131"/>
        <v>658.27434317220252</v>
      </c>
      <c r="FJ171" s="62">
        <f ca="1">AVERAGE(OFFSET($FI$3,0,0,'Données projet'!$E$16+1,1))-AVERAGE(OFFSET($H$3,0,0,'Données projet'!$E$16+1,1))</f>
        <v>207.66160354686221</v>
      </c>
      <c r="FK171" s="62">
        <f t="shared" si="156"/>
        <v>260.45879589483525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projet'!$B$16,Paramètres!$A$1:$I$88,3,0)*0.475*44/12</f>
        <v>0.3366350379304045</v>
      </c>
      <c r="FR171" s="23">
        <f>EXP(-LN(2)/25)*FR170+(1-EXP(-LN(2)/25))/(LN(2)/25)*Calculateur!FM171*Calculateur!FO171*VLOOKUP('Données projet'!$B$16,Paramètres!$A$1:$I$88,3,0)*0.475*44/12</f>
        <v>0</v>
      </c>
      <c r="FS171" s="23">
        <f>EXP(-LN(2)/2)*FS170+(1-EXP(-LN(2)/2))/(LN(2)/2)*FM171*FP171*VLOOKUP('Données projet'!$B$16,Paramètres!$A$1:$I$88,3,0)*0.475*44/12</f>
        <v>0</v>
      </c>
      <c r="FT171" s="24">
        <f t="shared" si="184"/>
        <v>0.3366350379304045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projet'!$B$9,Paramètres!$A$1:$I$88,3,0)*VLOOKUP('Données projet'!$B$9,Paramètres!$A$1:$I$88,5,0)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378.13552372917843</v>
      </c>
      <c r="T172" s="62">
        <f t="shared" si="142"/>
        <v>528.97123645404952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25.469527541618159</v>
      </c>
      <c r="AA172" s="23">
        <f>EXP(-LN(2)/25)*AA171+(1-EXP(-LN(2)/25))/(LN(2)/25)*Calculateur!V172*Calculateur!X172*VLOOKUP('Données projet'!$B$9,Paramètres!$A$1:$I$88,3,0)*0.475*44/12</f>
        <v>5.3398633922306225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30.809390933848782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6.9</v>
      </c>
      <c r="AI172" s="14">
        <f>IF('Données projet'!$A$62&gt;35,AI171+AH172-AQ171,IF(A172&lt;'Données projet'!$A$62,$AF$205^A172,IF(A172='Données projet'!$A$62,'Données projet'!$B$62,AI171+AH172-AQ171)))</f>
        <v>450.10000000000014</v>
      </c>
      <c r="AJ172" s="14">
        <f>AI172*VLOOKUP('Données projet'!$B$10,Paramètres!$A$1:$I$88,3,0)*VLOOKUP('Données projet'!$B$10,Paramètres!$A$1:$I$88,5,0)</f>
        <v>407.2504800000001</v>
      </c>
      <c r="AK172" s="14">
        <f t="shared" si="164"/>
        <v>93.245048444057318</v>
      </c>
      <c r="AL172" s="22">
        <f t="shared" si="165"/>
        <v>871.6963787067333</v>
      </c>
      <c r="AM172" s="62">
        <f t="shared" si="113"/>
        <v>1160.2677546077098</v>
      </c>
      <c r="AN172" s="62">
        <f ca="1">AVERAGE(OFFSET($AM$3,0,0,'Données projet'!$E$10+1,1))-AVERAGE(OFFSET($H$3,0,0,'Données projet'!$E$10+1,1))</f>
        <v>536.3707066106856</v>
      </c>
      <c r="AO172" s="62">
        <f t="shared" si="144"/>
        <v>217.6280015974086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46.43047025181469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46.43047025181469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302.3</v>
      </c>
      <c r="BE172" s="14">
        <f>BD172*VLOOKUP('Données projet'!$B$11,Paramètres!$A$1:$I$88,3,0)*VLOOKUP('Données projet'!$B$11,Paramètres!$A$1:$I$88,5,0)</f>
        <v>180.77540000000005</v>
      </c>
      <c r="BF172" s="14">
        <f t="shared" si="167"/>
        <v>45.494655198846154</v>
      </c>
      <c r="BG172" s="22">
        <f t="shared" si="168"/>
        <v>394.08701280465715</v>
      </c>
      <c r="BH172" s="62">
        <f t="shared" si="116"/>
        <v>682.65838870563357</v>
      </c>
      <c r="BI172" s="62">
        <f ca="1">AVERAGE(OFFSET($BH$3,0,0,'Données projet'!$E$11+1,1))-AVERAGE(OFFSET($H$3,0,0,'Données projet'!$E$11+1,1))</f>
        <v>248.66193174773525</v>
      </c>
      <c r="BJ172" s="62">
        <f t="shared" si="146"/>
        <v>249.61655682981151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2.3953760901167809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1.6295098722284633E-16</v>
      </c>
      <c r="BS172" s="24">
        <f t="shared" si="169"/>
        <v>2.3953760901167809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860.00000000000023</v>
      </c>
      <c r="BZ172" s="14">
        <f>BY172*VLOOKUP('Données projet'!$B$12,Paramètres!$A$1:$I$88,3,0)*VLOOKUP('Données projet'!$B$12,Paramètres!$A$1:$I$88,5,0)</f>
        <v>346.5800000000001</v>
      </c>
      <c r="CA172" s="14">
        <f t="shared" si="170"/>
        <v>80.857895771535127</v>
      </c>
      <c r="CB172" s="22">
        <f t="shared" si="171"/>
        <v>744.45433513542378</v>
      </c>
      <c r="CC172" s="62">
        <f t="shared" si="119"/>
        <v>1033.0257110364003</v>
      </c>
      <c r="CD172" s="62">
        <f ca="1">AVERAGE(OFFSET($CC$3,0,0,'Données projet'!$E$12+1,1))-AVERAGE(OFFSET($H$3,0,0,'Données projet'!$E$12+1,1))</f>
        <v>432.59662347701629</v>
      </c>
      <c r="CE172" s="62">
        <f t="shared" si="148"/>
        <v>348.67401091099748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10.790359981733333</v>
      </c>
      <c r="CL172" s="23">
        <f>EXP(-LN(2)/25)*CL171+(1-EXP(-LN(2)/25))/(LN(2)/25)*Calculateur!CG172*Calculateur!CI172*VLOOKUP('Données projet'!$B$12,Paramètres!$A$1:$I$88,3,0)*0.475*44/12</f>
        <v>5.8954076369743058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16.68576761870764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1099.9999999999998</v>
      </c>
      <c r="CU172" s="18">
        <f>CT172*VLOOKUP('Données projet'!$B$13,Paramètres!$A$1:$I$88,3,0)*VLOOKUP('Données projet'!$B$13,Paramètres!$A$1:$I$88,5,0)</f>
        <v>486.19999999999993</v>
      </c>
      <c r="CV172" s="14">
        <f t="shared" si="173"/>
        <v>109.0490179035375</v>
      </c>
      <c r="CW172" s="22">
        <f t="shared" si="174"/>
        <v>1036.725372848661</v>
      </c>
      <c r="CX172" s="62">
        <f t="shared" si="122"/>
        <v>1325.2967487496373</v>
      </c>
      <c r="CY172" s="62">
        <f ca="1">AVERAGE(OFFSET($CX$3,0,0,'Données projet'!$E$13+1,1))-AVERAGE(OFFSET($H$3,0,0,'Données projet'!$E$13+1,1))</f>
        <v>582.26951914082088</v>
      </c>
      <c r="CZ172" s="62">
        <f t="shared" si="150"/>
        <v>434.80429932654715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10.872783278159906</v>
      </c>
      <c r="DG172" s="23">
        <f>EXP(-LN(2)/25)*DG171+(1-EXP(-LN(2)/25))/(LN(2)/25)*Calculateur!DB172*Calculateur!DD172*VLOOKUP('Données projet'!$B$13,Paramètres!$A$1:$I$88,3,0)*0.475*44/12</f>
        <v>5.2974826520034206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16.170265930163325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498.99999999999955</v>
      </c>
      <c r="DP172" s="18">
        <f>DO172*VLOOKUP('Données projet'!$B$14,Paramètres!$A$1:$I$88,3,0)*VLOOKUP('Données projet'!$B$14,Paramètres!$A$1:$I$88,5,0)</f>
        <v>240.01899999999978</v>
      </c>
      <c r="DQ172" s="14">
        <f t="shared" si="176"/>
        <v>58.443618405936313</v>
      </c>
      <c r="DR172" s="22">
        <f t="shared" si="177"/>
        <v>519.82239372367201</v>
      </c>
      <c r="DS172" s="62">
        <f t="shared" si="125"/>
        <v>808.39376962464848</v>
      </c>
      <c r="DT172" s="62">
        <f ca="1">AVERAGE(OFFSET($DS$3,0,0,'Données projet'!$E$14+1,1))-AVERAGE(OFFSET($H$3,0,0,'Données projet'!$E$14+1,1))</f>
        <v>273.24375559399846</v>
      </c>
      <c r="DU172" s="62">
        <f t="shared" si="152"/>
        <v>270.77718895097848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projet'!$B$14,Paramètres!$A$1:$I$88,3,0)*0.475*44/12</f>
        <v>5.5522389303279871</v>
      </c>
      <c r="EB172" s="23">
        <f>EXP(-LN(2)/25)*EB171+(1-EXP(-LN(2)/25))/(LN(2)/25)*Calculateur!DW172*Calculateur!DY172*VLOOKUP('Données projet'!$B$14,Paramètres!$A$1:$I$88,3,0)*0.475*44/12</f>
        <v>2.5837589212390784</v>
      </c>
      <c r="EC172" s="23">
        <f>EXP(-LN(2)/2)*EC171+(1-EXP(-LN(2)/2))/(LN(2)/2)*DW172*DZ172*VLOOKUP('Données projet'!$B$14,Paramètres!$A$1:$I$88,3,0)*0.475*44/12</f>
        <v>0</v>
      </c>
      <c r="ED172" s="24">
        <f t="shared" si="178"/>
        <v>8.1359978515670655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498.99999999999955</v>
      </c>
      <c r="EK172" s="18">
        <f>EJ172*VLOOKUP('Données projet'!$B$15,Paramètres!$A$1:$I$88,3,0)*VLOOKUP('Données projet'!$B$15,Paramètres!$A$1:$I$88,5,0)</f>
        <v>233.53199999999975</v>
      </c>
      <c r="EL172" s="14">
        <f t="shared" si="179"/>
        <v>57.04570382109803</v>
      </c>
      <c r="EM172" s="22">
        <f t="shared" si="180"/>
        <v>506.08950082174533</v>
      </c>
      <c r="EN172" s="62">
        <f t="shared" si="128"/>
        <v>794.6608767227217</v>
      </c>
      <c r="EO172" s="62">
        <f ca="1">AVERAGE(OFFSET($EN$3,0,0,'Données projet'!$E$15+1,1))-AVERAGE(OFFSET($H$3,0,0,'Données projet'!$E$15+1,1))</f>
        <v>267.26203506406682</v>
      </c>
      <c r="EP172" s="62">
        <f t="shared" si="154"/>
        <v>265.10857635664843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projet'!$B$15,Paramètres!$A$1:$I$88,3,0)*0.475*44/12</f>
        <v>5.4021784186974982</v>
      </c>
      <c r="EW172" s="23">
        <f>EXP(-LN(2)/25)*EW171+(1-EXP(-LN(2)/25))/(LN(2)/25)*Calculateur!ER172*Calculateur!ET172*VLOOKUP('Données projet'!$B$15,Paramètres!$A$1:$I$88,3,0)*0.475*44/12</f>
        <v>2.5139275990434258</v>
      </c>
      <c r="EX172" s="23">
        <f>EXP(-LN(2)/2)*EX171+(1-EXP(-LN(2)/2))/(LN(2)/2)*ER172*EU172*VLOOKUP('Données projet'!$B$15,Paramètres!$A$1:$I$88,3,0)*0.475*44/12</f>
        <v>0</v>
      </c>
      <c r="EY172" s="24">
        <f t="shared" si="181"/>
        <v>7.9161060177409244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231</v>
      </c>
      <c r="FF172" s="18">
        <f>FE172*VLOOKUP('Données projet'!$B$16,Paramètres!$A$1:$I$88,3,0)*VLOOKUP('Données projet'!$B$16,Paramètres!$A$1:$I$88,5,0)</f>
        <v>169.36920000000001</v>
      </c>
      <c r="FG172" s="14">
        <f t="shared" si="182"/>
        <v>42.948714817158674</v>
      </c>
      <c r="FH172" s="22">
        <f t="shared" si="183"/>
        <v>369.787034973218</v>
      </c>
      <c r="FI172" s="62">
        <f t="shared" si="131"/>
        <v>658.35841087419442</v>
      </c>
      <c r="FJ172" s="62">
        <f ca="1">AVERAGE(OFFSET($FI$3,0,0,'Données projet'!$E$16+1,1))-AVERAGE(OFFSET($H$3,0,0,'Données projet'!$E$16+1,1))</f>
        <v>207.66160354686221</v>
      </c>
      <c r="FK172" s="62">
        <f t="shared" si="156"/>
        <v>260.45879589483525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projet'!$B$16,Paramètres!$A$1:$I$88,3,0)*0.475*44/12</f>
        <v>0.33003383016368804</v>
      </c>
      <c r="FR172" s="23">
        <f>EXP(-LN(2)/25)*FR171+(1-EXP(-LN(2)/25))/(LN(2)/25)*Calculateur!FM172*Calculateur!FO172*VLOOKUP('Données projet'!$B$16,Paramètres!$A$1:$I$88,3,0)*0.475*44/12</f>
        <v>0</v>
      </c>
      <c r="FS172" s="23">
        <f>EXP(-LN(2)/2)*FS171+(1-EXP(-LN(2)/2))/(LN(2)/2)*FM172*FP172*VLOOKUP('Données projet'!$B$16,Paramètres!$A$1:$I$88,3,0)*0.475*44/12</f>
        <v>0</v>
      </c>
      <c r="FT172" s="24">
        <f t="shared" si="184"/>
        <v>0.33003383016368804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projet'!$B$9,Paramètres!$A$1:$I$88,3,0)*VLOOKUP('Données projet'!$B$9,Paramètres!$A$1:$I$88,5,0)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378.13552372917843</v>
      </c>
      <c r="T173" s="62">
        <f t="shared" si="142"/>
        <v>528.97123645404952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24.970085641404886</v>
      </c>
      <c r="AA173" s="23">
        <f>EXP(-LN(2)/25)*AA172+(1-EXP(-LN(2)/25))/(LN(2)/25)*Calculateur!V173*Calculateur!X173*VLOOKUP('Données projet'!$B$9,Paramètres!$A$1:$I$88,3,0)*0.475*44/12</f>
        <v>5.1938445469588643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30.16393018836375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>
        <f>VLOOKUP(A173,'Données projet'!$A$61:$I$81,2,0)</f>
        <v>457</v>
      </c>
      <c r="AG173" s="13">
        <f>VLOOKUP(A173,'Données projet'!$A$61:$I$81,9,0)</f>
        <v>6.9</v>
      </c>
      <c r="AH173" s="13">
        <f t="array" ref="AH173">INDEX(AG:AG,MIN(IF(ISNUMBER(AG173:AG369),ROW(AG173:AG369),"")))</f>
        <v>6.9</v>
      </c>
      <c r="AI173" s="14">
        <f>IF('Données projet'!$A$62&gt;35,AI172+AH173-AQ172,IF(A173&lt;'Données projet'!$A$62,$AF$205^A173,IF(A173='Données projet'!$A$62,'Données projet'!$B$62,AI172+AH173-AQ172)))</f>
        <v>457.00000000000011</v>
      </c>
      <c r="AJ173" s="14">
        <f>AI173*VLOOKUP('Données projet'!$B$10,Paramètres!$A$1:$I$88,3,0)*VLOOKUP('Données projet'!$B$10,Paramètres!$A$1:$I$88,5,0)</f>
        <v>413.49360000000013</v>
      </c>
      <c r="AK173" s="14">
        <f t="shared" si="164"/>
        <v>94.506980891636218</v>
      </c>
      <c r="AL173" s="22">
        <f t="shared" si="165"/>
        <v>884.76767838626654</v>
      </c>
      <c r="AM173" s="62">
        <f t="shared" si="113"/>
        <v>1173.4216636025524</v>
      </c>
      <c r="AN173" s="62">
        <f ca="1">AVERAGE(OFFSET($AM$3,0,0,'Données projet'!$E$10+1,1))-AVERAGE(OFFSET($H$3,0,0,'Données projet'!$E$10+1,1))</f>
        <v>536.3707066106856</v>
      </c>
      <c r="AO173" s="62">
        <f t="shared" si="144"/>
        <v>217.6280015974086</v>
      </c>
      <c r="AP173" s="16">
        <f>IF(ISNA(VLOOKUP(A173,'Données projet'!$A$61:$I$81,3,0)),0,VLOOKUP(A173,'Données projet'!$A$61:$I$81,3,0))</f>
        <v>19</v>
      </c>
      <c r="AQ173" s="16">
        <f>IF(ISNA(VLOOKUP(A173,'Données projet'!$A$61:$I$81,4,0)),0,VLOOKUP(A173,'Données projet'!$A$61:$I$81,4,0))</f>
        <v>457</v>
      </c>
      <c r="AR173" s="17">
        <f>IF(ISNA(VLOOKUP(A173,'Données projet'!$A$61:$I$81,5,0)),0%,VLOOKUP(A173,'Données projet'!$A$61:$I$81,5,0)*VLOOKUP('Données projet'!$B$10,Paramètres!$A$1:$I$88,7,0))</f>
        <v>0.30099999999999999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183.10858005482731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183.10858005482731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302.3</v>
      </c>
      <c r="BE173" s="14">
        <f>BD173*VLOOKUP('Données projet'!$B$11,Paramètres!$A$1:$I$88,3,0)*VLOOKUP('Données projet'!$B$11,Paramètres!$A$1:$I$88,5,0)</f>
        <v>180.77540000000005</v>
      </c>
      <c r="BF173" s="14">
        <f t="shared" si="167"/>
        <v>45.494655198846154</v>
      </c>
      <c r="BG173" s="22">
        <f t="shared" si="168"/>
        <v>394.08701280465715</v>
      </c>
      <c r="BH173" s="62">
        <f t="shared" si="116"/>
        <v>682.74099802094304</v>
      </c>
      <c r="BI173" s="62">
        <f ca="1">AVERAGE(OFFSET($BH$3,0,0,'Données projet'!$E$11+1,1))-AVERAGE(OFFSET($H$3,0,0,'Données projet'!$E$11+1,1))</f>
        <v>248.66193174773525</v>
      </c>
      <c r="BJ173" s="62">
        <f t="shared" si="146"/>
        <v>249.61655682981151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2.3484042260247406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1.152237480663171E-16</v>
      </c>
      <c r="BS173" s="24">
        <f t="shared" si="169"/>
        <v>2.3484042260247406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860.00000000000023</v>
      </c>
      <c r="BZ173" s="14">
        <f>BY173*VLOOKUP('Données projet'!$B$12,Paramètres!$A$1:$I$88,3,0)*VLOOKUP('Données projet'!$B$12,Paramètres!$A$1:$I$88,5,0)</f>
        <v>346.5800000000001</v>
      </c>
      <c r="CA173" s="14">
        <f t="shared" si="170"/>
        <v>80.857895771535127</v>
      </c>
      <c r="CB173" s="22">
        <f t="shared" si="171"/>
        <v>744.45433513542378</v>
      </c>
      <c r="CC173" s="62">
        <f t="shared" si="119"/>
        <v>1033.1083203517096</v>
      </c>
      <c r="CD173" s="62">
        <f ca="1">AVERAGE(OFFSET($CC$3,0,0,'Données projet'!$E$12+1,1))-AVERAGE(OFFSET($H$3,0,0,'Données projet'!$E$12+1,1))</f>
        <v>432.59662347701629</v>
      </c>
      <c r="CE173" s="62">
        <f t="shared" si="148"/>
        <v>348.67401091099748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10.578767603961266</v>
      </c>
      <c r="CL173" s="23">
        <f>EXP(-LN(2)/25)*CL172+(1-EXP(-LN(2)/25))/(LN(2)/25)*Calculateur!CG173*Calculateur!CI173*VLOOKUP('Données projet'!$B$12,Paramètres!$A$1:$I$88,3,0)*0.475*44/12</f>
        <v>5.7341974051152302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16.312965009076496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1099.9999999999998</v>
      </c>
      <c r="CU173" s="18">
        <f>CT173*VLOOKUP('Données projet'!$B$13,Paramètres!$A$1:$I$88,3,0)*VLOOKUP('Données projet'!$B$13,Paramètres!$A$1:$I$88,5,0)</f>
        <v>486.19999999999993</v>
      </c>
      <c r="CV173" s="14">
        <f t="shared" si="173"/>
        <v>109.0490179035375</v>
      </c>
      <c r="CW173" s="22">
        <f t="shared" si="174"/>
        <v>1036.725372848661</v>
      </c>
      <c r="CX173" s="62">
        <f t="shared" si="122"/>
        <v>1325.3793580649469</v>
      </c>
      <c r="CY173" s="62">
        <f ca="1">AVERAGE(OFFSET($CX$3,0,0,'Données projet'!$E$13+1,1))-AVERAGE(OFFSET($H$3,0,0,'Données projet'!$E$13+1,1))</f>
        <v>582.26951914082088</v>
      </c>
      <c r="CZ173" s="62">
        <f t="shared" si="150"/>
        <v>434.80429932654715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10.65957462981816</v>
      </c>
      <c r="DG173" s="23">
        <f>EXP(-LN(2)/25)*DG172+(1-EXP(-LN(2)/25))/(LN(2)/25)*Calculateur!DB173*Calculateur!DD173*VLOOKUP('Données projet'!$B$13,Paramètres!$A$1:$I$88,3,0)*0.475*44/12</f>
        <v>5.1526227103018822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15.812197340120042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498.99999999999955</v>
      </c>
      <c r="DP173" s="18">
        <f>DO173*VLOOKUP('Données projet'!$B$14,Paramètres!$A$1:$I$88,3,0)*VLOOKUP('Données projet'!$B$14,Paramètres!$A$1:$I$88,5,0)</f>
        <v>240.01899999999978</v>
      </c>
      <c r="DQ173" s="14">
        <f t="shared" si="176"/>
        <v>58.443618405936313</v>
      </c>
      <c r="DR173" s="22">
        <f t="shared" si="177"/>
        <v>519.82239372367201</v>
      </c>
      <c r="DS173" s="62">
        <f t="shared" si="125"/>
        <v>808.47637893995784</v>
      </c>
      <c r="DT173" s="62">
        <f ca="1">AVERAGE(OFFSET($DS$3,0,0,'Données projet'!$E$14+1,1))-AVERAGE(OFFSET($H$3,0,0,'Données projet'!$E$14+1,1))</f>
        <v>273.24375559399846</v>
      </c>
      <c r="DU173" s="62">
        <f t="shared" si="152"/>
        <v>270.77718895097848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projet'!$B$14,Paramètres!$A$1:$I$88,3,0)*0.475*44/12</f>
        <v>5.443362911435611</v>
      </c>
      <c r="EB173" s="23">
        <f>EXP(-LN(2)/25)*EB172+(1-EXP(-LN(2)/25))/(LN(2)/25)*Calculateur!DW173*Calculateur!DY173*VLOOKUP('Données projet'!$B$14,Paramètres!$A$1:$I$88,3,0)*0.475*44/12</f>
        <v>2.5131058976638192</v>
      </c>
      <c r="EC173" s="23">
        <f>EXP(-LN(2)/2)*EC172+(1-EXP(-LN(2)/2))/(LN(2)/2)*DW173*DZ173*VLOOKUP('Données projet'!$B$14,Paramètres!$A$1:$I$88,3,0)*0.475*44/12</f>
        <v>0</v>
      </c>
      <c r="ED173" s="24">
        <f t="shared" si="178"/>
        <v>7.9564688090994302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498.99999999999955</v>
      </c>
      <c r="EK173" s="18">
        <f>EJ173*VLOOKUP('Données projet'!$B$15,Paramètres!$A$1:$I$88,3,0)*VLOOKUP('Données projet'!$B$15,Paramètres!$A$1:$I$88,5,0)</f>
        <v>233.53199999999975</v>
      </c>
      <c r="EL173" s="14">
        <f t="shared" si="179"/>
        <v>57.04570382109803</v>
      </c>
      <c r="EM173" s="22">
        <f t="shared" si="180"/>
        <v>506.08950082174533</v>
      </c>
      <c r="EN173" s="62">
        <f t="shared" si="128"/>
        <v>794.74348603803128</v>
      </c>
      <c r="EO173" s="62">
        <f ca="1">AVERAGE(OFFSET($EN$3,0,0,'Données projet'!$E$15+1,1))-AVERAGE(OFFSET($H$3,0,0,'Données projet'!$E$15+1,1))</f>
        <v>267.26203506406682</v>
      </c>
      <c r="EP173" s="62">
        <f t="shared" si="154"/>
        <v>265.10857635664843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projet'!$B$15,Paramètres!$A$1:$I$88,3,0)*0.475*44/12</f>
        <v>5.296244994910321</v>
      </c>
      <c r="EW173" s="23">
        <f>EXP(-LN(2)/25)*EW172+(1-EXP(-LN(2)/25))/(LN(2)/25)*Calculateur!ER173*Calculateur!ET173*VLOOKUP('Données projet'!$B$15,Paramètres!$A$1:$I$88,3,0)*0.475*44/12</f>
        <v>2.4451841166458763</v>
      </c>
      <c r="EX173" s="23">
        <f>EXP(-LN(2)/2)*EX172+(1-EXP(-LN(2)/2))/(LN(2)/2)*ER173*EU173*VLOOKUP('Données projet'!$B$15,Paramètres!$A$1:$I$88,3,0)*0.475*44/12</f>
        <v>0</v>
      </c>
      <c r="EY173" s="24">
        <f t="shared" si="181"/>
        <v>7.7414291115561973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231</v>
      </c>
      <c r="FF173" s="18">
        <f>FE173*VLOOKUP('Données projet'!$B$16,Paramètres!$A$1:$I$88,3,0)*VLOOKUP('Données projet'!$B$16,Paramètres!$A$1:$I$88,5,0)</f>
        <v>169.36920000000001</v>
      </c>
      <c r="FG173" s="14">
        <f t="shared" si="182"/>
        <v>42.948714817158674</v>
      </c>
      <c r="FH173" s="22">
        <f t="shared" si="183"/>
        <v>369.787034973218</v>
      </c>
      <c r="FI173" s="62">
        <f t="shared" si="131"/>
        <v>658.44102018950389</v>
      </c>
      <c r="FJ173" s="62">
        <f ca="1">AVERAGE(OFFSET($FI$3,0,0,'Données projet'!$E$16+1,1))-AVERAGE(OFFSET($H$3,0,0,'Données projet'!$E$16+1,1))</f>
        <v>207.66160354686221</v>
      </c>
      <c r="FK173" s="62">
        <f t="shared" si="156"/>
        <v>260.45879589483525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projet'!$B$16,Paramètres!$A$1:$I$88,3,0)*0.475*44/12</f>
        <v>0.3235620680549377</v>
      </c>
      <c r="FR173" s="23">
        <f>EXP(-LN(2)/25)*FR172+(1-EXP(-LN(2)/25))/(LN(2)/25)*Calculateur!FM173*Calculateur!FO173*VLOOKUP('Données projet'!$B$16,Paramètres!$A$1:$I$88,3,0)*0.475*44/12</f>
        <v>0</v>
      </c>
      <c r="FS173" s="23">
        <f>EXP(-LN(2)/2)*FS172+(1-EXP(-LN(2)/2))/(LN(2)/2)*FM173*FP173*VLOOKUP('Données projet'!$B$16,Paramètres!$A$1:$I$88,3,0)*0.475*44/12</f>
        <v>0</v>
      </c>
      <c r="FT173" s="24">
        <f t="shared" si="184"/>
        <v>0.3235620680549377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projet'!$B$9,Paramètres!$A$1:$I$88,3,0)*VLOOKUP('Données projet'!$B$9,Paramètres!$A$1:$I$88,5,0)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378.13552372917843</v>
      </c>
      <c r="T174" s="62">
        <f t="shared" si="142"/>
        <v>528.97123645404952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24.480437492225317</v>
      </c>
      <c r="AA174" s="23">
        <f>EXP(-LN(2)/25)*AA173+(1-EXP(-LN(2)/25))/(LN(2)/25)*Calculateur!V174*Calculateur!X174*VLOOKUP('Données projet'!$B$9,Paramètres!$A$1:$I$88,3,0)*0.475*44/12</f>
        <v>5.0518185946898599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29.532256086915176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projet'!$B$10,Paramètres!$A$1:$I$88,3,0)*VLOOKUP('Données projet'!$B$10,Paramètres!$A$1:$I$88,5,0)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288.73516144466436</v>
      </c>
      <c r="AN174" s="62">
        <f ca="1">AVERAGE(OFFSET($AM$3,0,0,'Données projet'!$E$10+1,1))-AVERAGE(OFFSET($H$3,0,0,'Données projet'!$E$10+1,1))</f>
        <v>536.3707066106856</v>
      </c>
      <c r="AO174" s="62">
        <f t="shared" si="144"/>
        <v>217.6280015974086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179.51793248515798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179.51793248515798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302.3</v>
      </c>
      <c r="BE174" s="14">
        <f>BD174*VLOOKUP('Données projet'!$B$11,Paramètres!$A$1:$I$88,3,0)*VLOOKUP('Données projet'!$B$11,Paramètres!$A$1:$I$88,5,0)</f>
        <v>180.77540000000005</v>
      </c>
      <c r="BF174" s="14">
        <f t="shared" si="167"/>
        <v>45.494655198846154</v>
      </c>
      <c r="BG174" s="22">
        <f t="shared" si="168"/>
        <v>394.08701280465715</v>
      </c>
      <c r="BH174" s="62">
        <f t="shared" si="116"/>
        <v>682.82217424931866</v>
      </c>
      <c r="BI174" s="62">
        <f ca="1">AVERAGE(OFFSET($BH$3,0,0,'Données projet'!$E$11+1,1))-AVERAGE(OFFSET($H$3,0,0,'Données projet'!$E$11+1,1))</f>
        <v>248.66193174773525</v>
      </c>
      <c r="BJ174" s="62">
        <f t="shared" si="146"/>
        <v>249.61655682981151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2.3023534515375372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8.1475493611423164E-17</v>
      </c>
      <c r="BS174" s="24">
        <f t="shared" si="169"/>
        <v>2.3023534515375372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860.00000000000023</v>
      </c>
      <c r="BZ174" s="14">
        <f>BY174*VLOOKUP('Données projet'!$B$12,Paramètres!$A$1:$I$88,3,0)*VLOOKUP('Données projet'!$B$12,Paramètres!$A$1:$I$88,5,0)</f>
        <v>346.5800000000001</v>
      </c>
      <c r="CA174" s="14">
        <f t="shared" si="170"/>
        <v>80.857895771535127</v>
      </c>
      <c r="CB174" s="22">
        <f t="shared" si="171"/>
        <v>744.45433513542378</v>
      </c>
      <c r="CC174" s="62">
        <f t="shared" si="119"/>
        <v>1033.1894965800852</v>
      </c>
      <c r="CD174" s="62">
        <f ca="1">AVERAGE(OFFSET($CC$3,0,0,'Données projet'!$E$12+1,1))-AVERAGE(OFFSET($H$3,0,0,'Données projet'!$E$12+1,1))</f>
        <v>432.59662347701629</v>
      </c>
      <c r="CE174" s="62">
        <f t="shared" si="148"/>
        <v>348.67401091099748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10.371324423658701</v>
      </c>
      <c r="CL174" s="23">
        <f>EXP(-LN(2)/25)*CL173+(1-EXP(-LN(2)/25))/(LN(2)/25)*Calculateur!CG174*Calculateur!CI174*VLOOKUP('Données projet'!$B$12,Paramètres!$A$1:$I$88,3,0)*0.475*44/12</f>
        <v>5.5773954755240185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15.94871989918272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1099.9999999999998</v>
      </c>
      <c r="CU174" s="18">
        <f>CT174*VLOOKUP('Données projet'!$B$13,Paramètres!$A$1:$I$88,3,0)*VLOOKUP('Données projet'!$B$13,Paramètres!$A$1:$I$88,5,0)</f>
        <v>486.19999999999993</v>
      </c>
      <c r="CV174" s="14">
        <f t="shared" si="173"/>
        <v>109.0490179035375</v>
      </c>
      <c r="CW174" s="22">
        <f t="shared" si="174"/>
        <v>1036.725372848661</v>
      </c>
      <c r="CX174" s="62">
        <f t="shared" si="122"/>
        <v>1325.4605342933226</v>
      </c>
      <c r="CY174" s="62">
        <f ca="1">AVERAGE(OFFSET($CX$3,0,0,'Données projet'!$E$13+1,1))-AVERAGE(OFFSET($H$3,0,0,'Données projet'!$E$13+1,1))</f>
        <v>582.26951914082088</v>
      </c>
      <c r="CZ174" s="62">
        <f t="shared" si="150"/>
        <v>434.80429932654715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10.45054687302596</v>
      </c>
      <c r="DG174" s="23">
        <f>EXP(-LN(2)/25)*DG173+(1-EXP(-LN(2)/25))/(LN(2)/25)*Calculateur!DB174*Calculateur!DD174*VLOOKUP('Données projet'!$B$13,Paramètres!$A$1:$I$88,3,0)*0.475*44/12</f>
        <v>5.0117239713240256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15.462270844349986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498.99999999999955</v>
      </c>
      <c r="DP174" s="18">
        <f>DO174*VLOOKUP('Données projet'!$B$14,Paramètres!$A$1:$I$88,3,0)*VLOOKUP('Données projet'!$B$14,Paramètres!$A$1:$I$88,5,0)</f>
        <v>240.01899999999978</v>
      </c>
      <c r="DQ174" s="14">
        <f t="shared" si="176"/>
        <v>58.443618405936313</v>
      </c>
      <c r="DR174" s="22">
        <f t="shared" si="177"/>
        <v>519.82239372367201</v>
      </c>
      <c r="DS174" s="62">
        <f t="shared" si="125"/>
        <v>808.55755516833347</v>
      </c>
      <c r="DT174" s="62">
        <f ca="1">AVERAGE(OFFSET($DS$3,0,0,'Données projet'!$E$14+1,1))-AVERAGE(OFFSET($H$3,0,0,'Données projet'!$E$14+1,1))</f>
        <v>273.24375559399846</v>
      </c>
      <c r="DU174" s="62">
        <f t="shared" si="152"/>
        <v>270.77718895097848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projet'!$B$14,Paramètres!$A$1:$I$88,3,0)*0.475*44/12</f>
        <v>5.3366218848658997</v>
      </c>
      <c r="EB174" s="23">
        <f>EXP(-LN(2)/25)*EB173+(1-EXP(-LN(2)/25))/(LN(2)/25)*Calculateur!DW174*Calculateur!DY174*VLOOKUP('Données projet'!$B$14,Paramètres!$A$1:$I$88,3,0)*0.475*44/12</f>
        <v>2.4443848847337066</v>
      </c>
      <c r="EC174" s="23">
        <f>EXP(-LN(2)/2)*EC173+(1-EXP(-LN(2)/2))/(LN(2)/2)*DW174*DZ174*VLOOKUP('Données projet'!$B$14,Paramètres!$A$1:$I$88,3,0)*0.475*44/12</f>
        <v>0</v>
      </c>
      <c r="ED174" s="24">
        <f t="shared" si="178"/>
        <v>7.7810067695996068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498.99999999999955</v>
      </c>
      <c r="EK174" s="18">
        <f>EJ174*VLOOKUP('Données projet'!$B$15,Paramètres!$A$1:$I$88,3,0)*VLOOKUP('Données projet'!$B$15,Paramètres!$A$1:$I$88,5,0)</f>
        <v>233.53199999999975</v>
      </c>
      <c r="EL174" s="14">
        <f t="shared" si="179"/>
        <v>57.04570382109803</v>
      </c>
      <c r="EM174" s="22">
        <f t="shared" si="180"/>
        <v>506.08950082174533</v>
      </c>
      <c r="EN174" s="62">
        <f t="shared" si="128"/>
        <v>794.8246622664069</v>
      </c>
      <c r="EO174" s="62">
        <f ca="1">AVERAGE(OFFSET($EN$3,0,0,'Données projet'!$E$15+1,1))-AVERAGE(OFFSET($H$3,0,0,'Données projet'!$E$15+1,1))</f>
        <v>267.26203506406682</v>
      </c>
      <c r="EP174" s="62">
        <f t="shared" si="154"/>
        <v>265.10857635664843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projet'!$B$15,Paramètres!$A$1:$I$88,3,0)*0.475*44/12</f>
        <v>5.1923888609506017</v>
      </c>
      <c r="EW174" s="23">
        <f>EXP(-LN(2)/25)*EW173+(1-EXP(-LN(2)/25))/(LN(2)/25)*Calculateur!ER174*Calculateur!ET174*VLOOKUP('Données projet'!$B$15,Paramètres!$A$1:$I$88,3,0)*0.475*44/12</f>
        <v>2.3783204283895505</v>
      </c>
      <c r="EX174" s="23">
        <f>EXP(-LN(2)/2)*EX173+(1-EXP(-LN(2)/2))/(LN(2)/2)*ER174*EU174*VLOOKUP('Données projet'!$B$15,Paramètres!$A$1:$I$88,3,0)*0.475*44/12</f>
        <v>0</v>
      </c>
      <c r="EY174" s="24">
        <f t="shared" si="181"/>
        <v>7.5707092893401526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231</v>
      </c>
      <c r="FF174" s="18">
        <f>FE174*VLOOKUP('Données projet'!$B$16,Paramètres!$A$1:$I$88,3,0)*VLOOKUP('Données projet'!$B$16,Paramètres!$A$1:$I$88,5,0)</f>
        <v>169.36920000000001</v>
      </c>
      <c r="FG174" s="14">
        <f t="shared" si="182"/>
        <v>42.948714817158674</v>
      </c>
      <c r="FH174" s="22">
        <f t="shared" si="183"/>
        <v>369.787034973218</v>
      </c>
      <c r="FI174" s="62">
        <f t="shared" si="131"/>
        <v>658.52219641787951</v>
      </c>
      <c r="FJ174" s="62">
        <f ca="1">AVERAGE(OFFSET($FI$3,0,0,'Données projet'!$E$16+1,1))-AVERAGE(OFFSET($H$3,0,0,'Données projet'!$E$16+1,1))</f>
        <v>207.66160354686221</v>
      </c>
      <c r="FK174" s="62">
        <f t="shared" si="156"/>
        <v>260.45879589483525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projet'!$B$16,Paramètres!$A$1:$I$88,3,0)*0.475*44/12</f>
        <v>0.31721721325375485</v>
      </c>
      <c r="FR174" s="23">
        <f>EXP(-LN(2)/25)*FR173+(1-EXP(-LN(2)/25))/(LN(2)/25)*Calculateur!FM174*Calculateur!FO174*VLOOKUP('Données projet'!$B$16,Paramètres!$A$1:$I$88,3,0)*0.475*44/12</f>
        <v>0</v>
      </c>
      <c r="FS174" s="23">
        <f>EXP(-LN(2)/2)*FS173+(1-EXP(-LN(2)/2))/(LN(2)/2)*FM174*FP174*VLOOKUP('Données projet'!$B$16,Paramètres!$A$1:$I$88,3,0)*0.475*44/12</f>
        <v>0</v>
      </c>
      <c r="FT174" s="24">
        <f t="shared" si="184"/>
        <v>0.31721721325375485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projet'!$B$9,Paramètres!$A$1:$I$88,3,0)*VLOOKUP('Données projet'!$B$9,Paramètres!$A$1:$I$88,5,0)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378.13552372917843</v>
      </c>
      <c r="T175" s="62">
        <f t="shared" si="142"/>
        <v>528.97123645404952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24.000391044595276</v>
      </c>
      <c r="AA175" s="23">
        <f>EXP(-LN(2)/25)*AA174+(1-EXP(-LN(2)/25))/(LN(2)/25)*Calculateur!V175*Calculateur!X175*VLOOKUP('Données projet'!$B$9,Paramètres!$A$1:$I$88,3,0)*0.475*44/12</f>
        <v>4.9136763495544722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28.914067394149747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projet'!$B$10,Paramètres!$A$1:$I$88,3,0)*VLOOKUP('Données projet'!$B$10,Paramètres!$A$1:$I$88,5,0)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288.81492944696049</v>
      </c>
      <c r="AN175" s="62">
        <f ca="1">AVERAGE(OFFSET($AM$3,0,0,'Données projet'!$E$10+1,1))-AVERAGE(OFFSET($H$3,0,0,'Données projet'!$E$10+1,1))</f>
        <v>536.3707066106856</v>
      </c>
      <c r="AO175" s="62">
        <f t="shared" si="144"/>
        <v>217.6280015974086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175.99769532425111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175.99769532425111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302.3</v>
      </c>
      <c r="BE175" s="14">
        <f>BD175*VLOOKUP('Données projet'!$B$11,Paramètres!$A$1:$I$88,3,0)*VLOOKUP('Données projet'!$B$11,Paramètres!$A$1:$I$88,5,0)</f>
        <v>180.77540000000005</v>
      </c>
      <c r="BF175" s="14">
        <f t="shared" si="167"/>
        <v>45.494655198846154</v>
      </c>
      <c r="BG175" s="22">
        <f t="shared" si="168"/>
        <v>394.08701280465715</v>
      </c>
      <c r="BH175" s="62">
        <f t="shared" si="116"/>
        <v>682.90194225161486</v>
      </c>
      <c r="BI175" s="62">
        <f ca="1">AVERAGE(OFFSET($BH$3,0,0,'Données projet'!$E$11+1,1))-AVERAGE(OFFSET($H$3,0,0,'Données projet'!$E$11+1,1))</f>
        <v>248.66193174773525</v>
      </c>
      <c r="BJ175" s="62">
        <f t="shared" si="146"/>
        <v>249.61655682981151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2.2572057046498286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5.7611874033158549E-17</v>
      </c>
      <c r="BS175" s="24">
        <f t="shared" si="169"/>
        <v>2.2572057046498286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860.00000000000023</v>
      </c>
      <c r="BZ175" s="14">
        <f>BY175*VLOOKUP('Données projet'!$B$12,Paramètres!$A$1:$I$88,3,0)*VLOOKUP('Données projet'!$B$12,Paramètres!$A$1:$I$88,5,0)</f>
        <v>346.5800000000001</v>
      </c>
      <c r="CA175" s="14">
        <f t="shared" si="170"/>
        <v>80.857895771535127</v>
      </c>
      <c r="CB175" s="22">
        <f t="shared" si="171"/>
        <v>744.45433513542378</v>
      </c>
      <c r="CC175" s="62">
        <f t="shared" si="119"/>
        <v>1033.2692645823813</v>
      </c>
      <c r="CD175" s="62">
        <f ca="1">AVERAGE(OFFSET($CC$3,0,0,'Données projet'!$E$12+1,1))-AVERAGE(OFFSET($H$3,0,0,'Données projet'!$E$12+1,1))</f>
        <v>432.59662347701629</v>
      </c>
      <c r="CE175" s="62">
        <f t="shared" si="148"/>
        <v>348.67401091099748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10.167949077594022</v>
      </c>
      <c r="CL175" s="23">
        <f>EXP(-LN(2)/25)*CL174+(1-EXP(-LN(2)/25))/(LN(2)/25)*Calculateur!CG175*Calculateur!CI175*VLOOKUP('Données projet'!$B$12,Paramètres!$A$1:$I$88,3,0)*0.475*44/12</f>
        <v>5.4248813029433336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15.592830380537356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1099.9999999999998</v>
      </c>
      <c r="CU175" s="18">
        <f>CT175*VLOOKUP('Données projet'!$B$13,Paramètres!$A$1:$I$88,3,0)*VLOOKUP('Données projet'!$B$13,Paramètres!$A$1:$I$88,5,0)</f>
        <v>486.19999999999993</v>
      </c>
      <c r="CV175" s="14">
        <f t="shared" si="173"/>
        <v>109.0490179035375</v>
      </c>
      <c r="CW175" s="22">
        <f t="shared" si="174"/>
        <v>1036.725372848661</v>
      </c>
      <c r="CX175" s="62">
        <f t="shared" si="122"/>
        <v>1325.5403022956186</v>
      </c>
      <c r="CY175" s="62">
        <f ca="1">AVERAGE(OFFSET($CX$3,0,0,'Données projet'!$E$13+1,1))-AVERAGE(OFFSET($H$3,0,0,'Données projet'!$E$13+1,1))</f>
        <v>582.26951914082088</v>
      </c>
      <c r="CZ175" s="62">
        <f t="shared" si="150"/>
        <v>434.80429932654715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10.245618023050113</v>
      </c>
      <c r="DG175" s="23">
        <f>EXP(-LN(2)/25)*DG174+(1-EXP(-LN(2)/25))/(LN(2)/25)*Calculateur!DB175*Calculateur!DD175*VLOOKUP('Données projet'!$B$13,Paramètres!$A$1:$I$88,3,0)*0.475*44/12</f>
        <v>4.8746781157730608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15.120296138823175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498.99999999999955</v>
      </c>
      <c r="DP175" s="18">
        <f>DO175*VLOOKUP('Données projet'!$B$14,Paramètres!$A$1:$I$88,3,0)*VLOOKUP('Données projet'!$B$14,Paramètres!$A$1:$I$88,5,0)</f>
        <v>240.01899999999978</v>
      </c>
      <c r="DQ175" s="14">
        <f t="shared" si="176"/>
        <v>58.443618405936313</v>
      </c>
      <c r="DR175" s="22">
        <f t="shared" si="177"/>
        <v>519.82239372367201</v>
      </c>
      <c r="DS175" s="62">
        <f t="shared" si="125"/>
        <v>808.63732317062966</v>
      </c>
      <c r="DT175" s="62">
        <f ca="1">AVERAGE(OFFSET($DS$3,0,0,'Données projet'!$E$14+1,1))-AVERAGE(OFFSET($H$3,0,0,'Données projet'!$E$14+1,1))</f>
        <v>273.24375559399846</v>
      </c>
      <c r="DU175" s="62">
        <f t="shared" si="152"/>
        <v>270.77718895097848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projet'!$B$14,Paramètres!$A$1:$I$88,3,0)*0.475*44/12</f>
        <v>5.2319739847216225</v>
      </c>
      <c r="EB175" s="23">
        <f>EXP(-LN(2)/25)*EB174+(1-EXP(-LN(2)/25))/(LN(2)/25)*Calculateur!DW175*Calculateur!DY175*VLOOKUP('Données projet'!$B$14,Paramètres!$A$1:$I$88,3,0)*0.475*44/12</f>
        <v>2.3775430515160489</v>
      </c>
      <c r="EC175" s="23">
        <f>EXP(-LN(2)/2)*EC174+(1-EXP(-LN(2)/2))/(LN(2)/2)*DW175*DZ175*VLOOKUP('Données projet'!$B$14,Paramètres!$A$1:$I$88,3,0)*0.475*44/12</f>
        <v>0</v>
      </c>
      <c r="ED175" s="24">
        <f t="shared" si="178"/>
        <v>7.609517036237671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498.99999999999955</v>
      </c>
      <c r="EK175" s="18">
        <f>EJ175*VLOOKUP('Données projet'!$B$15,Paramètres!$A$1:$I$88,3,0)*VLOOKUP('Données projet'!$B$15,Paramètres!$A$1:$I$88,5,0)</f>
        <v>233.53199999999975</v>
      </c>
      <c r="EL175" s="14">
        <f t="shared" si="179"/>
        <v>57.04570382109803</v>
      </c>
      <c r="EM175" s="22">
        <f t="shared" si="180"/>
        <v>506.08950082174533</v>
      </c>
      <c r="EN175" s="62">
        <f t="shared" si="128"/>
        <v>794.90443026870298</v>
      </c>
      <c r="EO175" s="62">
        <f ca="1">AVERAGE(OFFSET($EN$3,0,0,'Données projet'!$E$15+1,1))-AVERAGE(OFFSET($H$3,0,0,'Données projet'!$E$15+1,1))</f>
        <v>267.26203506406682</v>
      </c>
      <c r="EP175" s="62">
        <f t="shared" si="154"/>
        <v>265.10857635664843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projet'!$B$15,Paramètres!$A$1:$I$88,3,0)*0.475*44/12</f>
        <v>5.0905692824318463</v>
      </c>
      <c r="EW175" s="23">
        <f>EXP(-LN(2)/25)*EW174+(1-EXP(-LN(2)/25))/(LN(2)/25)*Calculateur!ER175*Calculateur!ET175*VLOOKUP('Données projet'!$B$15,Paramètres!$A$1:$I$88,3,0)*0.475*44/12</f>
        <v>2.3132851312048026</v>
      </c>
      <c r="EX175" s="23">
        <f>EXP(-LN(2)/2)*EX174+(1-EXP(-LN(2)/2))/(LN(2)/2)*ER175*EU175*VLOOKUP('Données projet'!$B$15,Paramètres!$A$1:$I$88,3,0)*0.475*44/12</f>
        <v>0</v>
      </c>
      <c r="EY175" s="24">
        <f t="shared" si="181"/>
        <v>7.4038544136366493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231</v>
      </c>
      <c r="FF175" s="18">
        <f>FE175*VLOOKUP('Données projet'!$B$16,Paramètres!$A$1:$I$88,3,0)*VLOOKUP('Données projet'!$B$16,Paramètres!$A$1:$I$88,5,0)</f>
        <v>169.36920000000001</v>
      </c>
      <c r="FG175" s="14">
        <f t="shared" si="182"/>
        <v>42.948714817158674</v>
      </c>
      <c r="FH175" s="22">
        <f t="shared" si="183"/>
        <v>369.787034973218</v>
      </c>
      <c r="FI175" s="62">
        <f t="shared" si="131"/>
        <v>658.60196442017559</v>
      </c>
      <c r="FJ175" s="62">
        <f ca="1">AVERAGE(OFFSET($FI$3,0,0,'Données projet'!$E$16+1,1))-AVERAGE(OFFSET($H$3,0,0,'Données projet'!$E$16+1,1))</f>
        <v>207.66160354686221</v>
      </c>
      <c r="FK175" s="62">
        <f t="shared" si="156"/>
        <v>260.45879589483525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projet'!$B$16,Paramètres!$A$1:$I$88,3,0)*0.475*44/12</f>
        <v>0.31099677718524388</v>
      </c>
      <c r="FR175" s="23">
        <f>EXP(-LN(2)/25)*FR174+(1-EXP(-LN(2)/25))/(LN(2)/25)*Calculateur!FM175*Calculateur!FO175*VLOOKUP('Données projet'!$B$16,Paramètres!$A$1:$I$88,3,0)*0.475*44/12</f>
        <v>0</v>
      </c>
      <c r="FS175" s="23">
        <f>EXP(-LN(2)/2)*FS174+(1-EXP(-LN(2)/2))/(LN(2)/2)*FM175*FP175*VLOOKUP('Données projet'!$B$16,Paramètres!$A$1:$I$88,3,0)*0.475*44/12</f>
        <v>0</v>
      </c>
      <c r="FT175" s="24">
        <f t="shared" si="184"/>
        <v>0.31099677718524388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projet'!$B$9,Paramètres!$A$1:$I$88,3,0)*VLOOKUP('Données projet'!$B$9,Paramètres!$A$1:$I$88,5,0)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378.13552372917843</v>
      </c>
      <c r="T176" s="62">
        <f t="shared" si="142"/>
        <v>528.97123645404952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23.529758015003839</v>
      </c>
      <c r="AA176" s="23">
        <f>EXP(-LN(2)/25)*AA175+(1-EXP(-LN(2)/25))/(LN(2)/25)*Calculateur!V176*Calculateur!X176*VLOOKUP('Données projet'!$B$9,Paramètres!$A$1:$I$88,3,0)*0.475*44/12</f>
        <v>4.7793116113768965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28.309069626380737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projet'!$B$10,Paramètres!$A$1:$I$88,3,0)*VLOOKUP('Données projet'!$B$10,Paramètres!$A$1:$I$88,5,0)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288.89331365275132</v>
      </c>
      <c r="AN176" s="62">
        <f ca="1">AVERAGE(OFFSET($AM$3,0,0,'Données projet'!$E$10+1,1))-AVERAGE(OFFSET($H$3,0,0,'Données projet'!$E$10+1,1))</f>
        <v>536.3707066106856</v>
      </c>
      <c r="AO176" s="62">
        <f t="shared" si="144"/>
        <v>217.6280015974086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172.54648786693696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172.54648786693696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302.3</v>
      </c>
      <c r="BE176" s="14">
        <f>BD176*VLOOKUP('Données projet'!$B$11,Paramètres!$A$1:$I$88,3,0)*VLOOKUP('Données projet'!$B$11,Paramètres!$A$1:$I$88,5,0)</f>
        <v>180.77540000000005</v>
      </c>
      <c r="BF176" s="14">
        <f t="shared" si="167"/>
        <v>45.494655198846154</v>
      </c>
      <c r="BG176" s="22">
        <f t="shared" si="168"/>
        <v>394.08701280465715</v>
      </c>
      <c r="BH176" s="62">
        <f t="shared" si="116"/>
        <v>682.98032645740568</v>
      </c>
      <c r="BI176" s="62">
        <f ca="1">AVERAGE(OFFSET($BH$3,0,0,'Données projet'!$E$11+1,1))-AVERAGE(OFFSET($H$3,0,0,'Données projet'!$E$11+1,1))</f>
        <v>248.66193174773525</v>
      </c>
      <c r="BJ176" s="62">
        <f t="shared" si="146"/>
        <v>249.61655682981151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2.2129432775411817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4.0737746805711582E-17</v>
      </c>
      <c r="BS176" s="24">
        <f t="shared" si="169"/>
        <v>2.2129432775411817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860.00000000000023</v>
      </c>
      <c r="BZ176" s="14">
        <f>BY176*VLOOKUP('Données projet'!$B$12,Paramètres!$A$1:$I$88,3,0)*VLOOKUP('Données projet'!$B$12,Paramètres!$A$1:$I$88,5,0)</f>
        <v>346.5800000000001</v>
      </c>
      <c r="CA176" s="14">
        <f t="shared" si="170"/>
        <v>80.857895771535127</v>
      </c>
      <c r="CB176" s="22">
        <f t="shared" si="171"/>
        <v>744.45433513542378</v>
      </c>
      <c r="CC176" s="62">
        <f t="shared" si="119"/>
        <v>1033.3476487881721</v>
      </c>
      <c r="CD176" s="62">
        <f ca="1">AVERAGE(OFFSET($CC$3,0,0,'Données projet'!$E$12+1,1))-AVERAGE(OFFSET($H$3,0,0,'Données projet'!$E$12+1,1))</f>
        <v>432.59662347701629</v>
      </c>
      <c r="CE176" s="62">
        <f t="shared" si="148"/>
        <v>348.67401091099748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9.9685617980189605</v>
      </c>
      <c r="CL176" s="23">
        <f>EXP(-LN(2)/25)*CL175+(1-EXP(-LN(2)/25))/(LN(2)/25)*Calculateur!CG176*Calculateur!CI176*VLOOKUP('Données projet'!$B$12,Paramètres!$A$1:$I$88,3,0)*0.475*44/12</f>
        <v>5.2765376384322389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15.245099436451198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1099.9999999999998</v>
      </c>
      <c r="CU176" s="18">
        <f>CT176*VLOOKUP('Données projet'!$B$13,Paramètres!$A$1:$I$88,3,0)*VLOOKUP('Données projet'!$B$13,Paramètres!$A$1:$I$88,5,0)</f>
        <v>486.19999999999993</v>
      </c>
      <c r="CV176" s="14">
        <f t="shared" si="173"/>
        <v>109.0490179035375</v>
      </c>
      <c r="CW176" s="22">
        <f t="shared" si="174"/>
        <v>1036.725372848661</v>
      </c>
      <c r="CX176" s="62">
        <f t="shared" si="122"/>
        <v>1325.6186865014095</v>
      </c>
      <c r="CY176" s="62">
        <f ca="1">AVERAGE(OFFSET($CX$3,0,0,'Données projet'!$E$13+1,1))-AVERAGE(OFFSET($H$3,0,0,'Données projet'!$E$13+1,1))</f>
        <v>582.26951914082088</v>
      </c>
      <c r="CZ176" s="62">
        <f t="shared" si="150"/>
        <v>434.80429932654715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10.044707702828036</v>
      </c>
      <c r="DG176" s="23">
        <f>EXP(-LN(2)/25)*DG175+(1-EXP(-LN(2)/25))/(LN(2)/25)*Calculateur!DB176*Calculateur!DD176*VLOOKUP('Données projet'!$B$13,Paramètres!$A$1:$I$88,3,0)*0.475*44/12</f>
        <v>4.7413797863490652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14.786087489177103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498.99999999999955</v>
      </c>
      <c r="DP176" s="18">
        <f>DO176*VLOOKUP('Données projet'!$B$14,Paramètres!$A$1:$I$88,3,0)*VLOOKUP('Données projet'!$B$14,Paramètres!$A$1:$I$88,5,0)</f>
        <v>240.01899999999978</v>
      </c>
      <c r="DQ176" s="14">
        <f t="shared" si="176"/>
        <v>58.443618405936313</v>
      </c>
      <c r="DR176" s="22">
        <f t="shared" si="177"/>
        <v>519.82239372367201</v>
      </c>
      <c r="DS176" s="62">
        <f t="shared" si="125"/>
        <v>808.71570737642048</v>
      </c>
      <c r="DT176" s="62">
        <f ca="1">AVERAGE(OFFSET($DS$3,0,0,'Données projet'!$E$14+1,1))-AVERAGE(OFFSET($H$3,0,0,'Données projet'!$E$14+1,1))</f>
        <v>273.24375559399846</v>
      </c>
      <c r="DU176" s="62">
        <f t="shared" si="152"/>
        <v>270.77718895097848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projet'!$B$14,Paramètres!$A$1:$I$88,3,0)*0.475*44/12</f>
        <v>5.129378166070258</v>
      </c>
      <c r="EB176" s="23">
        <f>EXP(-LN(2)/25)*EB175+(1-EXP(-LN(2)/25))/(LN(2)/25)*Calculateur!DW176*Calculateur!DY176*VLOOKUP('Données projet'!$B$14,Paramètres!$A$1:$I$88,3,0)*0.475*44/12</f>
        <v>2.3125290117427872</v>
      </c>
      <c r="EC176" s="23">
        <f>EXP(-LN(2)/2)*EC175+(1-EXP(-LN(2)/2))/(LN(2)/2)*DW176*DZ176*VLOOKUP('Données projet'!$B$14,Paramètres!$A$1:$I$88,3,0)*0.475*44/12</f>
        <v>0</v>
      </c>
      <c r="ED176" s="24">
        <f t="shared" si="178"/>
        <v>7.4419071778130448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498.99999999999955</v>
      </c>
      <c r="EK176" s="18">
        <f>EJ176*VLOOKUP('Données projet'!$B$15,Paramètres!$A$1:$I$88,3,0)*VLOOKUP('Données projet'!$B$15,Paramètres!$A$1:$I$88,5,0)</f>
        <v>233.53199999999975</v>
      </c>
      <c r="EL176" s="14">
        <f t="shared" si="179"/>
        <v>57.04570382109803</v>
      </c>
      <c r="EM176" s="22">
        <f t="shared" si="180"/>
        <v>506.08950082174533</v>
      </c>
      <c r="EN176" s="62">
        <f t="shared" si="128"/>
        <v>794.98281447449381</v>
      </c>
      <c r="EO176" s="62">
        <f ca="1">AVERAGE(OFFSET($EN$3,0,0,'Données projet'!$E$15+1,1))-AVERAGE(OFFSET($H$3,0,0,'Données projet'!$E$15+1,1))</f>
        <v>267.26203506406682</v>
      </c>
      <c r="EP176" s="62">
        <f t="shared" si="154"/>
        <v>265.10857635664843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projet'!$B$15,Paramètres!$A$1:$I$88,3,0)*0.475*44/12</f>
        <v>4.990746323744033</v>
      </c>
      <c r="EW176" s="23">
        <f>EXP(-LN(2)/25)*EW175+(1-EXP(-LN(2)/25))/(LN(2)/25)*Calculateur!ER176*Calculateur!ET176*VLOOKUP('Données projet'!$B$15,Paramètres!$A$1:$I$88,3,0)*0.475*44/12</f>
        <v>2.2500282276416295</v>
      </c>
      <c r="EX176" s="23">
        <f>EXP(-LN(2)/2)*EX175+(1-EXP(-LN(2)/2))/(LN(2)/2)*ER176*EU176*VLOOKUP('Données projet'!$B$15,Paramètres!$A$1:$I$88,3,0)*0.475*44/12</f>
        <v>0</v>
      </c>
      <c r="EY176" s="24">
        <f t="shared" si="181"/>
        <v>7.2407745513856625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231</v>
      </c>
      <c r="FF176" s="18">
        <f>FE176*VLOOKUP('Données projet'!$B$16,Paramètres!$A$1:$I$88,3,0)*VLOOKUP('Données projet'!$B$16,Paramètres!$A$1:$I$88,5,0)</f>
        <v>169.36920000000001</v>
      </c>
      <c r="FG176" s="14">
        <f t="shared" si="182"/>
        <v>42.948714817158674</v>
      </c>
      <c r="FH176" s="22">
        <f t="shared" si="183"/>
        <v>369.787034973218</v>
      </c>
      <c r="FI176" s="62">
        <f t="shared" si="131"/>
        <v>658.68034862596642</v>
      </c>
      <c r="FJ176" s="62">
        <f ca="1">AVERAGE(OFFSET($FI$3,0,0,'Données projet'!$E$16+1,1))-AVERAGE(OFFSET($H$3,0,0,'Données projet'!$E$16+1,1))</f>
        <v>207.66160354686221</v>
      </c>
      <c r="FK176" s="62">
        <f t="shared" si="156"/>
        <v>260.45879589483525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projet'!$B$16,Paramètres!$A$1:$I$88,3,0)*0.475*44/12</f>
        <v>0.30489832007394507</v>
      </c>
      <c r="FR176" s="23">
        <f>EXP(-LN(2)/25)*FR175+(1-EXP(-LN(2)/25))/(LN(2)/25)*Calculateur!FM176*Calculateur!FO176*VLOOKUP('Données projet'!$B$16,Paramètres!$A$1:$I$88,3,0)*0.475*44/12</f>
        <v>0</v>
      </c>
      <c r="FS176" s="23">
        <f>EXP(-LN(2)/2)*FS175+(1-EXP(-LN(2)/2))/(LN(2)/2)*FM176*FP176*VLOOKUP('Données projet'!$B$16,Paramètres!$A$1:$I$88,3,0)*0.475*44/12</f>
        <v>0</v>
      </c>
      <c r="FT176" s="24">
        <f t="shared" si="184"/>
        <v>0.30489832007394507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projet'!$B$9,Paramètres!$A$1:$I$88,3,0)*VLOOKUP('Données projet'!$B$9,Paramètres!$A$1:$I$88,5,0)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378.13552372917843</v>
      </c>
      <c r="T177" s="62">
        <f t="shared" si="142"/>
        <v>528.97123645404952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23.068353812064888</v>
      </c>
      <c r="AA177" s="23">
        <f>EXP(-LN(2)/25)*AA176+(1-EXP(-LN(2)/25))/(LN(2)/25)*Calculateur!V177*Calculateur!X177*VLOOKUP('Données projet'!$B$9,Paramètres!$A$1:$I$88,3,0)*0.475*44/12</f>
        <v>4.6486210840307205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27.716974896095607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projet'!$B$10,Paramètres!$A$1:$I$88,3,0)*VLOOKUP('Données projet'!$B$10,Paramètres!$A$1:$I$88,5,0)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288.97033806781258</v>
      </c>
      <c r="AN177" s="62">
        <f ca="1">AVERAGE(OFFSET($AM$3,0,0,'Données projet'!$E$10+1,1))-AVERAGE(OFFSET($H$3,0,0,'Données projet'!$E$10+1,1))</f>
        <v>536.3707066106856</v>
      </c>
      <c r="AO177" s="62">
        <f t="shared" si="144"/>
        <v>217.6280015974086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169.16295648283204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169.16295648283204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302.3</v>
      </c>
      <c r="BE177" s="14">
        <f>BD177*VLOOKUP('Données projet'!$B$11,Paramètres!$A$1:$I$88,3,0)*VLOOKUP('Données projet'!$B$11,Paramètres!$A$1:$I$88,5,0)</f>
        <v>180.77540000000005</v>
      </c>
      <c r="BF177" s="14">
        <f t="shared" si="167"/>
        <v>45.494655198846154</v>
      </c>
      <c r="BG177" s="22">
        <f t="shared" si="168"/>
        <v>394.08701280465715</v>
      </c>
      <c r="BH177" s="62">
        <f t="shared" si="116"/>
        <v>683.05735087246694</v>
      </c>
      <c r="BI177" s="62">
        <f ca="1">AVERAGE(OFFSET($BH$3,0,0,'Données projet'!$E$11+1,1))-AVERAGE(OFFSET($H$3,0,0,'Données projet'!$E$11+1,1))</f>
        <v>248.66193174773525</v>
      </c>
      <c r="BJ177" s="62">
        <f t="shared" si="146"/>
        <v>249.61655682981151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2.1695488096307205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2.8805937016579275E-17</v>
      </c>
      <c r="BS177" s="24">
        <f t="shared" si="169"/>
        <v>2.1695488096307205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860.00000000000023</v>
      </c>
      <c r="BZ177" s="14">
        <f>BY177*VLOOKUP('Données projet'!$B$12,Paramètres!$A$1:$I$88,3,0)*VLOOKUP('Données projet'!$B$12,Paramètres!$A$1:$I$88,5,0)</f>
        <v>346.5800000000001</v>
      </c>
      <c r="CA177" s="14">
        <f t="shared" si="170"/>
        <v>80.857895771535127</v>
      </c>
      <c r="CB177" s="22">
        <f t="shared" si="171"/>
        <v>744.45433513542378</v>
      </c>
      <c r="CC177" s="62">
        <f t="shared" si="119"/>
        <v>1033.4246732032334</v>
      </c>
      <c r="CD177" s="62">
        <f ca="1">AVERAGE(OFFSET($CC$3,0,0,'Données projet'!$E$12+1,1))-AVERAGE(OFFSET($H$3,0,0,'Données projet'!$E$12+1,1))</f>
        <v>432.59662347701629</v>
      </c>
      <c r="CE177" s="62">
        <f t="shared" si="148"/>
        <v>348.67401091099748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9.7730843813821338</v>
      </c>
      <c r="CL177" s="23">
        <f>EXP(-LN(2)/25)*CL176+(1-EXP(-LN(2)/25))/(LN(2)/25)*Calculateur!CG177*Calculateur!CI177*VLOOKUP('Données projet'!$B$12,Paramètres!$A$1:$I$88,3,0)*0.475*44/12</f>
        <v>5.1322504392282546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14.905334820610388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1099.9999999999998</v>
      </c>
      <c r="CU177" s="18">
        <f>CT177*VLOOKUP('Données projet'!$B$13,Paramètres!$A$1:$I$88,3,0)*VLOOKUP('Données projet'!$B$13,Paramètres!$A$1:$I$88,5,0)</f>
        <v>486.19999999999993</v>
      </c>
      <c r="CV177" s="14">
        <f t="shared" si="173"/>
        <v>109.0490179035375</v>
      </c>
      <c r="CW177" s="22">
        <f t="shared" si="174"/>
        <v>1036.725372848661</v>
      </c>
      <c r="CX177" s="62">
        <f t="shared" si="122"/>
        <v>1325.6957109164707</v>
      </c>
      <c r="CY177" s="62">
        <f ca="1">AVERAGE(OFFSET($CX$3,0,0,'Données projet'!$E$13+1,1))-AVERAGE(OFFSET($H$3,0,0,'Données projet'!$E$13+1,1))</f>
        <v>582.26951914082088</v>
      </c>
      <c r="CZ177" s="62">
        <f t="shared" si="150"/>
        <v>434.80429932654715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9.8477371114423189</v>
      </c>
      <c r="DG177" s="23">
        <f>EXP(-LN(2)/25)*DG176+(1-EXP(-LN(2)/25))/(LN(2)/25)*Calculateur!DB177*Calculateur!DD177*VLOOKUP('Données projet'!$B$13,Paramètres!$A$1:$I$88,3,0)*0.475*44/12</f>
        <v>4.6117265067530235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14.459463618195343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498.99999999999955</v>
      </c>
      <c r="DP177" s="18">
        <f>DO177*VLOOKUP('Données projet'!$B$14,Paramètres!$A$1:$I$88,3,0)*VLOOKUP('Données projet'!$B$14,Paramètres!$A$1:$I$88,5,0)</f>
        <v>240.01899999999978</v>
      </c>
      <c r="DQ177" s="14">
        <f t="shared" si="176"/>
        <v>58.443618405936313</v>
      </c>
      <c r="DR177" s="22">
        <f t="shared" si="177"/>
        <v>519.82239372367201</v>
      </c>
      <c r="DS177" s="62">
        <f t="shared" si="125"/>
        <v>808.79273179148174</v>
      </c>
      <c r="DT177" s="62">
        <f ca="1">AVERAGE(OFFSET($DS$3,0,0,'Données projet'!$E$14+1,1))-AVERAGE(OFFSET($H$3,0,0,'Données projet'!$E$14+1,1))</f>
        <v>273.24375559399846</v>
      </c>
      <c r="DU177" s="62">
        <f t="shared" si="152"/>
        <v>270.77718895097848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projet'!$B$14,Paramètres!$A$1:$I$88,3,0)*0.475*44/12</f>
        <v>5.0287941888453771</v>
      </c>
      <c r="EB177" s="23">
        <f>EXP(-LN(2)/25)*EB176+(1-EXP(-LN(2)/25))/(LN(2)/25)*Calculateur!DW177*Calculateur!DY177*VLOOKUP('Données projet'!$B$14,Paramètres!$A$1:$I$88,3,0)*0.475*44/12</f>
        <v>2.2492927843060655</v>
      </c>
      <c r="EC177" s="23">
        <f>EXP(-LN(2)/2)*EC176+(1-EXP(-LN(2)/2))/(LN(2)/2)*DW177*DZ177*VLOOKUP('Données projet'!$B$14,Paramètres!$A$1:$I$88,3,0)*0.475*44/12</f>
        <v>0</v>
      </c>
      <c r="ED177" s="24">
        <f t="shared" si="178"/>
        <v>7.2780869731514422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498.99999999999955</v>
      </c>
      <c r="EK177" s="18">
        <f>EJ177*VLOOKUP('Données projet'!$B$15,Paramètres!$A$1:$I$88,3,0)*VLOOKUP('Données projet'!$B$15,Paramètres!$A$1:$I$88,5,0)</f>
        <v>233.53199999999975</v>
      </c>
      <c r="EL177" s="14">
        <f t="shared" si="179"/>
        <v>57.04570382109803</v>
      </c>
      <c r="EM177" s="22">
        <f t="shared" si="180"/>
        <v>506.08950082174533</v>
      </c>
      <c r="EN177" s="62">
        <f t="shared" si="128"/>
        <v>795.05983888955507</v>
      </c>
      <c r="EO177" s="62">
        <f ca="1">AVERAGE(OFFSET($EN$3,0,0,'Données projet'!$E$15+1,1))-AVERAGE(OFFSET($H$3,0,0,'Données projet'!$E$15+1,1))</f>
        <v>267.26203506406682</v>
      </c>
      <c r="EP177" s="62">
        <f t="shared" si="154"/>
        <v>265.10857635664843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projet'!$B$15,Paramètres!$A$1:$I$88,3,0)*0.475*44/12</f>
        <v>4.8928808323900945</v>
      </c>
      <c r="EW177" s="23">
        <f>EXP(-LN(2)/25)*EW176+(1-EXP(-LN(2)/25))/(LN(2)/25)*Calculateur!ER177*Calculateur!ET177*VLOOKUP('Données projet'!$B$15,Paramètres!$A$1:$I$88,3,0)*0.475*44/12</f>
        <v>2.1885010874329272</v>
      </c>
      <c r="EX177" s="23">
        <f>EXP(-LN(2)/2)*EX176+(1-EXP(-LN(2)/2))/(LN(2)/2)*ER177*EU177*VLOOKUP('Données projet'!$B$15,Paramètres!$A$1:$I$88,3,0)*0.475*44/12</f>
        <v>0</v>
      </c>
      <c r="EY177" s="24">
        <f t="shared" si="181"/>
        <v>7.0813819198230217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231</v>
      </c>
      <c r="FF177" s="18">
        <f>FE177*VLOOKUP('Données projet'!$B$16,Paramètres!$A$1:$I$88,3,0)*VLOOKUP('Données projet'!$B$16,Paramètres!$A$1:$I$88,5,0)</f>
        <v>169.36920000000001</v>
      </c>
      <c r="FG177" s="14">
        <f t="shared" si="182"/>
        <v>42.948714817158674</v>
      </c>
      <c r="FH177" s="22">
        <f t="shared" si="183"/>
        <v>369.787034973218</v>
      </c>
      <c r="FI177" s="62">
        <f t="shared" si="131"/>
        <v>658.75737304102768</v>
      </c>
      <c r="FJ177" s="62">
        <f ca="1">AVERAGE(OFFSET($FI$3,0,0,'Données projet'!$E$16+1,1))-AVERAGE(OFFSET($H$3,0,0,'Données projet'!$E$16+1,1))</f>
        <v>207.66160354686221</v>
      </c>
      <c r="FK177" s="62">
        <f t="shared" si="156"/>
        <v>260.45879589483525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projet'!$B$16,Paramètres!$A$1:$I$88,3,0)*0.475*44/12</f>
        <v>0.29891944998690728</v>
      </c>
      <c r="FR177" s="23">
        <f>EXP(-LN(2)/25)*FR176+(1-EXP(-LN(2)/25))/(LN(2)/25)*Calculateur!FM177*Calculateur!FO177*VLOOKUP('Données projet'!$B$16,Paramètres!$A$1:$I$88,3,0)*0.475*44/12</f>
        <v>0</v>
      </c>
      <c r="FS177" s="23">
        <f>EXP(-LN(2)/2)*FS176+(1-EXP(-LN(2)/2))/(LN(2)/2)*FM177*FP177*VLOOKUP('Données projet'!$B$16,Paramètres!$A$1:$I$88,3,0)*0.475*44/12</f>
        <v>0</v>
      </c>
      <c r="FT177" s="24">
        <f t="shared" si="184"/>
        <v>0.29891944998690728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projet'!$B$9,Paramètres!$A$1:$I$88,3,0)*VLOOKUP('Données projet'!$B$9,Paramètres!$A$1:$I$88,5,0)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378.13552372917843</v>
      </c>
      <c r="T178" s="62">
        <f t="shared" si="142"/>
        <v>528.97123645404952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22.615997464116795</v>
      </c>
      <c r="AA178" s="23">
        <f>EXP(-LN(2)/25)*AA177+(1-EXP(-LN(2)/25))/(LN(2)/25)*Calculateur!V178*Calculateur!X178*VLOOKUP('Données projet'!$B$9,Paramètres!$A$1:$I$88,3,0)*0.475*44/12</f>
        <v>4.5215042960275422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27.137501760144339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projet'!$B$10,Paramètres!$A$1:$I$88,3,0)*VLOOKUP('Données projet'!$B$10,Paramètres!$A$1:$I$88,5,0)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289.04602628147325</v>
      </c>
      <c r="AN178" s="62">
        <f ca="1">AVERAGE(OFFSET($AM$3,0,0,'Données projet'!$E$10+1,1))-AVERAGE(OFFSET($H$3,0,0,'Données projet'!$E$10+1,1))</f>
        <v>536.3707066106856</v>
      </c>
      <c r="AO178" s="62">
        <f t="shared" si="144"/>
        <v>217.6280015974086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165.84577408541907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165.84577408541907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302.3</v>
      </c>
      <c r="BE178" s="14">
        <f>BD178*VLOOKUP('Données projet'!$B$11,Paramètres!$A$1:$I$88,3,0)*VLOOKUP('Données projet'!$B$11,Paramètres!$A$1:$I$88,5,0)</f>
        <v>180.77540000000005</v>
      </c>
      <c r="BF178" s="14">
        <f t="shared" si="167"/>
        <v>45.494655198846154</v>
      </c>
      <c r="BG178" s="22">
        <f t="shared" si="168"/>
        <v>394.08701280465715</v>
      </c>
      <c r="BH178" s="62">
        <f t="shared" si="116"/>
        <v>683.13303908612761</v>
      </c>
      <c r="BI178" s="62">
        <f ca="1">AVERAGE(OFFSET($BH$3,0,0,'Données projet'!$E$11+1,1))-AVERAGE(OFFSET($H$3,0,0,'Données projet'!$E$11+1,1))</f>
        <v>248.66193174773525</v>
      </c>
      <c r="BJ178" s="62">
        <f t="shared" si="146"/>
        <v>249.61655682981151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2.1270052807679716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2.0368873402855791E-17</v>
      </c>
      <c r="BS178" s="24">
        <f t="shared" si="169"/>
        <v>2.1270052807679716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860.00000000000023</v>
      </c>
      <c r="BZ178" s="14">
        <f>BY178*VLOOKUP('Données projet'!$B$12,Paramètres!$A$1:$I$88,3,0)*VLOOKUP('Données projet'!$B$12,Paramètres!$A$1:$I$88,5,0)</f>
        <v>346.5800000000001</v>
      </c>
      <c r="CA178" s="14">
        <f t="shared" si="170"/>
        <v>80.857895771535127</v>
      </c>
      <c r="CB178" s="22">
        <f t="shared" si="171"/>
        <v>744.45433513542378</v>
      </c>
      <c r="CC178" s="62">
        <f t="shared" si="119"/>
        <v>1033.5003614168941</v>
      </c>
      <c r="CD178" s="62">
        <f ca="1">AVERAGE(OFFSET($CC$3,0,0,'Données projet'!$E$12+1,1))-AVERAGE(OFFSET($H$3,0,0,'Données projet'!$E$12+1,1))</f>
        <v>432.59662347701629</v>
      </c>
      <c r="CE178" s="62">
        <f t="shared" si="148"/>
        <v>348.67401091099748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9.5814401576561039</v>
      </c>
      <c r="CL178" s="23">
        <f>EXP(-LN(2)/25)*CL177+(1-EXP(-LN(2)/25))/(LN(2)/25)*Calculateur!CG178*Calculateur!CI178*VLOOKUP('Données projet'!$B$12,Paramètres!$A$1:$I$88,3,0)*0.475*44/12</f>
        <v>4.9919087810742377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14.573348938730341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1099.9999999999998</v>
      </c>
      <c r="CU178" s="18">
        <f>CT178*VLOOKUP('Données projet'!$B$13,Paramètres!$A$1:$I$88,3,0)*VLOOKUP('Données projet'!$B$13,Paramètres!$A$1:$I$88,5,0)</f>
        <v>486.19999999999993</v>
      </c>
      <c r="CV178" s="14">
        <f t="shared" si="173"/>
        <v>109.0490179035375</v>
      </c>
      <c r="CW178" s="22">
        <f t="shared" si="174"/>
        <v>1036.725372848661</v>
      </c>
      <c r="CX178" s="62">
        <f t="shared" si="122"/>
        <v>1325.7713991301314</v>
      </c>
      <c r="CY178" s="62">
        <f ca="1">AVERAGE(OFFSET($CX$3,0,0,'Données projet'!$E$13+1,1))-AVERAGE(OFFSET($H$3,0,0,'Données projet'!$E$13+1,1))</f>
        <v>582.26951914082088</v>
      </c>
      <c r="CZ178" s="62">
        <f t="shared" si="150"/>
        <v>434.80429932654715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9.6546289932134783</v>
      </c>
      <c r="DG178" s="23">
        <f>EXP(-LN(2)/25)*DG177+(1-EXP(-LN(2)/25))/(LN(2)/25)*Calculateur!DB178*Calculateur!DD178*VLOOKUP('Données projet'!$B$13,Paramètres!$A$1:$I$88,3,0)*0.475*44/12</f>
        <v>4.4856186029057055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14.140247596119185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498.99999999999955</v>
      </c>
      <c r="DP178" s="18">
        <f>DO178*VLOOKUP('Données projet'!$B$14,Paramètres!$A$1:$I$88,3,0)*VLOOKUP('Données projet'!$B$14,Paramètres!$A$1:$I$88,5,0)</f>
        <v>240.01899999999978</v>
      </c>
      <c r="DQ178" s="14">
        <f t="shared" si="176"/>
        <v>58.443618405936313</v>
      </c>
      <c r="DR178" s="22">
        <f t="shared" si="177"/>
        <v>519.82239372367201</v>
      </c>
      <c r="DS178" s="62">
        <f t="shared" si="125"/>
        <v>808.86842000514241</v>
      </c>
      <c r="DT178" s="62">
        <f ca="1">AVERAGE(OFFSET($DS$3,0,0,'Données projet'!$E$14+1,1))-AVERAGE(OFFSET($H$3,0,0,'Données projet'!$E$14+1,1))</f>
        <v>273.24375559399846</v>
      </c>
      <c r="DU178" s="62">
        <f t="shared" si="152"/>
        <v>270.77718895097848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projet'!$B$14,Paramètres!$A$1:$I$88,3,0)*0.475*44/12</f>
        <v>4.9301826020637076</v>
      </c>
      <c r="EB178" s="23">
        <f>EXP(-LN(2)/25)*EB177+(1-EXP(-LN(2)/25))/(LN(2)/25)*Calculateur!DW178*Calculateur!DY178*VLOOKUP('Données projet'!$B$14,Paramètres!$A$1:$I$88,3,0)*0.475*44/12</f>
        <v>2.1877857548340494</v>
      </c>
      <c r="EC178" s="23">
        <f>EXP(-LN(2)/2)*EC177+(1-EXP(-LN(2)/2))/(LN(2)/2)*DW178*DZ178*VLOOKUP('Données projet'!$B$14,Paramètres!$A$1:$I$88,3,0)*0.475*44/12</f>
        <v>0</v>
      </c>
      <c r="ED178" s="24">
        <f t="shared" si="178"/>
        <v>7.117968356897757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498.99999999999955</v>
      </c>
      <c r="EK178" s="18">
        <f>EJ178*VLOOKUP('Données projet'!$B$15,Paramètres!$A$1:$I$88,3,0)*VLOOKUP('Données projet'!$B$15,Paramètres!$A$1:$I$88,5,0)</f>
        <v>233.53199999999975</v>
      </c>
      <c r="EL178" s="14">
        <f t="shared" si="179"/>
        <v>57.04570382109803</v>
      </c>
      <c r="EM178" s="22">
        <f t="shared" si="180"/>
        <v>506.08950082174533</v>
      </c>
      <c r="EN178" s="62">
        <f t="shared" si="128"/>
        <v>795.13552710321574</v>
      </c>
      <c r="EO178" s="62">
        <f ca="1">AVERAGE(OFFSET($EN$3,0,0,'Données projet'!$E$15+1,1))-AVERAGE(OFFSET($H$3,0,0,'Données projet'!$E$15+1,1))</f>
        <v>267.26203506406682</v>
      </c>
      <c r="EP178" s="62">
        <f t="shared" si="154"/>
        <v>265.10857635664843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projet'!$B$15,Paramètres!$A$1:$I$88,3,0)*0.475*44/12</f>
        <v>4.7969344236295512</v>
      </c>
      <c r="EW178" s="23">
        <f>EXP(-LN(2)/25)*EW177+(1-EXP(-LN(2)/25))/(LN(2)/25)*Calculateur!ER178*Calculateur!ET178*VLOOKUP('Données projet'!$B$15,Paramètres!$A$1:$I$88,3,0)*0.475*44/12</f>
        <v>2.1286564101088032</v>
      </c>
      <c r="EX178" s="23">
        <f>EXP(-LN(2)/2)*EX177+(1-EXP(-LN(2)/2))/(LN(2)/2)*ER178*EU178*VLOOKUP('Données projet'!$B$15,Paramètres!$A$1:$I$88,3,0)*0.475*44/12</f>
        <v>0</v>
      </c>
      <c r="EY178" s="24">
        <f t="shared" si="181"/>
        <v>6.9255908337383545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231</v>
      </c>
      <c r="FF178" s="18">
        <f>FE178*VLOOKUP('Données projet'!$B$16,Paramètres!$A$1:$I$88,3,0)*VLOOKUP('Données projet'!$B$16,Paramètres!$A$1:$I$88,5,0)</f>
        <v>169.36920000000001</v>
      </c>
      <c r="FG178" s="14">
        <f t="shared" si="182"/>
        <v>42.948714817158674</v>
      </c>
      <c r="FH178" s="22">
        <f t="shared" si="183"/>
        <v>369.787034973218</v>
      </c>
      <c r="FI178" s="62">
        <f t="shared" si="131"/>
        <v>658.83306125468835</v>
      </c>
      <c r="FJ178" s="62">
        <f ca="1">AVERAGE(OFFSET($FI$3,0,0,'Données projet'!$E$16+1,1))-AVERAGE(OFFSET($H$3,0,0,'Données projet'!$E$16+1,1))</f>
        <v>207.66160354686221</v>
      </c>
      <c r="FK178" s="62">
        <f t="shared" si="156"/>
        <v>260.45879589483525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projet'!$B$16,Paramètres!$A$1:$I$88,3,0)*0.475*44/12</f>
        <v>0.29305782189552565</v>
      </c>
      <c r="FR178" s="23">
        <f>EXP(-LN(2)/25)*FR177+(1-EXP(-LN(2)/25))/(LN(2)/25)*Calculateur!FM178*Calculateur!FO178*VLOOKUP('Données projet'!$B$16,Paramètres!$A$1:$I$88,3,0)*0.475*44/12</f>
        <v>0</v>
      </c>
      <c r="FS178" s="23">
        <f>EXP(-LN(2)/2)*FS177+(1-EXP(-LN(2)/2))/(LN(2)/2)*FM178*FP178*VLOOKUP('Données projet'!$B$16,Paramètres!$A$1:$I$88,3,0)*0.475*44/12</f>
        <v>0</v>
      </c>
      <c r="FT178" s="24">
        <f t="shared" si="184"/>
        <v>0.29305782189552565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projet'!$B$9,Paramètres!$A$1:$I$88,3,0)*VLOOKUP('Données projet'!$B$9,Paramètres!$A$1:$I$88,5,0)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378.13552372917843</v>
      </c>
      <c r="T179" s="62">
        <f t="shared" si="142"/>
        <v>528.97123645404952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22.172511548241832</v>
      </c>
      <c r="AA179" s="23">
        <f>EXP(-LN(2)/25)*AA178+(1-EXP(-LN(2)/25))/(LN(2)/25)*Calculateur!V179*Calculateur!X179*VLOOKUP('Données projet'!$B$9,Paramètres!$A$1:$I$88,3,0)*0.475*44/12</f>
        <v>4.397863523277092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26.570375071518924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projet'!$B$10,Paramètres!$A$1:$I$88,3,0)*VLOOKUP('Données projet'!$B$10,Paramètres!$A$1:$I$88,5,0)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289.12040147384045</v>
      </c>
      <c r="AN179" s="62">
        <f ca="1">AVERAGE(OFFSET($AM$3,0,0,'Données projet'!$E$10+1,1))-AVERAGE(OFFSET($H$3,0,0,'Données projet'!$E$10+1,1))</f>
        <v>536.3707066106856</v>
      </c>
      <c r="AO179" s="62">
        <f t="shared" si="144"/>
        <v>217.6280015974086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162.59363961153787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162.59363961153787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302.3</v>
      </c>
      <c r="BE179" s="14">
        <f>BD179*VLOOKUP('Données projet'!$B$11,Paramètres!$A$1:$I$88,3,0)*VLOOKUP('Données projet'!$B$11,Paramètres!$A$1:$I$88,5,0)</f>
        <v>180.77540000000005</v>
      </c>
      <c r="BF179" s="14">
        <f t="shared" si="167"/>
        <v>45.494655198846154</v>
      </c>
      <c r="BG179" s="22">
        <f t="shared" si="168"/>
        <v>394.08701280465715</v>
      </c>
      <c r="BH179" s="62">
        <f t="shared" si="116"/>
        <v>683.20741427849475</v>
      </c>
      <c r="BI179" s="62">
        <f ca="1">AVERAGE(OFFSET($BH$3,0,0,'Données projet'!$E$11+1,1))-AVERAGE(OFFSET($H$3,0,0,'Données projet'!$E$11+1,1))</f>
        <v>248.66193174773525</v>
      </c>
      <c r="BJ179" s="62">
        <f t="shared" si="146"/>
        <v>249.61655682981151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2.0852960045572306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1.4402968508289637E-17</v>
      </c>
      <c r="BS179" s="24">
        <f t="shared" si="169"/>
        <v>2.0852960045572306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860.00000000000023</v>
      </c>
      <c r="BZ179" s="14">
        <f>BY179*VLOOKUP('Données projet'!$B$12,Paramètres!$A$1:$I$88,3,0)*VLOOKUP('Données projet'!$B$12,Paramètres!$A$1:$I$88,5,0)</f>
        <v>346.5800000000001</v>
      </c>
      <c r="CA179" s="14">
        <f t="shared" si="170"/>
        <v>80.857895771535127</v>
      </c>
      <c r="CB179" s="22">
        <f t="shared" si="171"/>
        <v>744.45433513542378</v>
      </c>
      <c r="CC179" s="62">
        <f t="shared" si="119"/>
        <v>1033.5747366092614</v>
      </c>
      <c r="CD179" s="62">
        <f ca="1">AVERAGE(OFFSET($CC$3,0,0,'Données projet'!$E$12+1,1))-AVERAGE(OFFSET($H$3,0,0,'Données projet'!$E$12+1,1))</f>
        <v>432.59662347701629</v>
      </c>
      <c r="CE179" s="62">
        <f t="shared" si="148"/>
        <v>348.67401091099748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9.3935539602659066</v>
      </c>
      <c r="CL179" s="23">
        <f>EXP(-LN(2)/25)*CL178+(1-EXP(-LN(2)/25))/(LN(2)/25)*Calculateur!CG179*Calculateur!CI179*VLOOKUP('Données projet'!$B$12,Paramètres!$A$1:$I$88,3,0)*0.475*44/12</f>
        <v>4.8554047729426895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14.248958733208596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1099.9999999999998</v>
      </c>
      <c r="CU179" s="18">
        <f>CT179*VLOOKUP('Données projet'!$B$13,Paramètres!$A$1:$I$88,3,0)*VLOOKUP('Données projet'!$B$13,Paramètres!$A$1:$I$88,5,0)</f>
        <v>486.19999999999993</v>
      </c>
      <c r="CV179" s="14">
        <f t="shared" si="173"/>
        <v>109.0490179035375</v>
      </c>
      <c r="CW179" s="22">
        <f t="shared" si="174"/>
        <v>1036.725372848661</v>
      </c>
      <c r="CX179" s="62">
        <f t="shared" si="122"/>
        <v>1325.8457743224985</v>
      </c>
      <c r="CY179" s="62">
        <f ca="1">AVERAGE(OFFSET($CX$3,0,0,'Données projet'!$E$13+1,1))-AVERAGE(OFFSET($H$3,0,0,'Données projet'!$E$13+1,1))</f>
        <v>582.26951914082088</v>
      </c>
      <c r="CZ179" s="62">
        <f t="shared" si="150"/>
        <v>434.80429932654715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9.465307607398783</v>
      </c>
      <c r="DG179" s="23">
        <f>EXP(-LN(2)/25)*DG178+(1-EXP(-LN(2)/25))/(LN(2)/25)*Calculateur!DB179*Calculateur!DD179*VLOOKUP('Données projet'!$B$13,Paramètres!$A$1:$I$88,3,0)*0.475*44/12</f>
        <v>4.3629591263208187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13.828266733719602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498.99999999999955</v>
      </c>
      <c r="DP179" s="18">
        <f>DO179*VLOOKUP('Données projet'!$B$14,Paramètres!$A$1:$I$88,3,0)*VLOOKUP('Données projet'!$B$14,Paramètres!$A$1:$I$88,5,0)</f>
        <v>240.01899999999978</v>
      </c>
      <c r="DQ179" s="14">
        <f t="shared" si="176"/>
        <v>58.443618405936313</v>
      </c>
      <c r="DR179" s="22">
        <f t="shared" si="177"/>
        <v>519.82239372367201</v>
      </c>
      <c r="DS179" s="62">
        <f t="shared" si="125"/>
        <v>808.94279519750967</v>
      </c>
      <c r="DT179" s="62">
        <f ca="1">AVERAGE(OFFSET($DS$3,0,0,'Données projet'!$E$14+1,1))-AVERAGE(OFFSET($H$3,0,0,'Données projet'!$E$14+1,1))</f>
        <v>273.24375559399846</v>
      </c>
      <c r="DU179" s="62">
        <f t="shared" si="152"/>
        <v>270.77718895097848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projet'!$B$14,Paramètres!$A$1:$I$88,3,0)*0.475*44/12</f>
        <v>4.8335047283516976</v>
      </c>
      <c r="EB179" s="23">
        <f>EXP(-LN(2)/25)*EB178+(1-EXP(-LN(2)/25))/(LN(2)/25)*Calculateur!DW179*Calculateur!DY179*VLOOKUP('Données projet'!$B$14,Paramètres!$A$1:$I$88,3,0)*0.475*44/12</f>
        <v>2.1279606383174596</v>
      </c>
      <c r="EC179" s="23">
        <f>EXP(-LN(2)/2)*EC178+(1-EXP(-LN(2)/2))/(LN(2)/2)*DW179*DZ179*VLOOKUP('Données projet'!$B$14,Paramètres!$A$1:$I$88,3,0)*0.475*44/12</f>
        <v>0</v>
      </c>
      <c r="ED179" s="24">
        <f t="shared" si="178"/>
        <v>6.9614653666691577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498.99999999999955</v>
      </c>
      <c r="EK179" s="18">
        <f>EJ179*VLOOKUP('Données projet'!$B$15,Paramètres!$A$1:$I$88,3,0)*VLOOKUP('Données projet'!$B$15,Paramètres!$A$1:$I$88,5,0)</f>
        <v>233.53199999999975</v>
      </c>
      <c r="EL179" s="14">
        <f t="shared" si="179"/>
        <v>57.04570382109803</v>
      </c>
      <c r="EM179" s="22">
        <f t="shared" si="180"/>
        <v>506.08950082174533</v>
      </c>
      <c r="EN179" s="62">
        <f t="shared" si="128"/>
        <v>795.20990229558288</v>
      </c>
      <c r="EO179" s="62">
        <f ca="1">AVERAGE(OFFSET($EN$3,0,0,'Données projet'!$E$15+1,1))-AVERAGE(OFFSET($H$3,0,0,'Données projet'!$E$15+1,1))</f>
        <v>267.26203506406682</v>
      </c>
      <c r="EP179" s="62">
        <f t="shared" si="154"/>
        <v>265.10857635664843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projet'!$B$15,Paramètres!$A$1:$I$88,3,0)*0.475*44/12</f>
        <v>4.7028694654232712</v>
      </c>
      <c r="EW179" s="23">
        <f>EXP(-LN(2)/25)*EW178+(1-EXP(-LN(2)/25))/(LN(2)/25)*Calculateur!ER179*Calculateur!ET179*VLOOKUP('Données projet'!$B$15,Paramètres!$A$1:$I$88,3,0)*0.475*44/12</f>
        <v>2.0704481886332027</v>
      </c>
      <c r="EX179" s="23">
        <f>EXP(-LN(2)/2)*EX178+(1-EXP(-LN(2)/2))/(LN(2)/2)*ER179*EU179*VLOOKUP('Données projet'!$B$15,Paramètres!$A$1:$I$88,3,0)*0.475*44/12</f>
        <v>0</v>
      </c>
      <c r="EY179" s="24">
        <f t="shared" si="181"/>
        <v>6.7733176540564735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231</v>
      </c>
      <c r="FF179" s="18">
        <f>FE179*VLOOKUP('Données projet'!$B$16,Paramètres!$A$1:$I$88,3,0)*VLOOKUP('Données projet'!$B$16,Paramètres!$A$1:$I$88,5,0)</f>
        <v>169.36920000000001</v>
      </c>
      <c r="FG179" s="14">
        <f t="shared" si="182"/>
        <v>42.948714817158674</v>
      </c>
      <c r="FH179" s="22">
        <f t="shared" si="183"/>
        <v>369.787034973218</v>
      </c>
      <c r="FI179" s="62">
        <f t="shared" si="131"/>
        <v>658.9074364470556</v>
      </c>
      <c r="FJ179" s="62">
        <f ca="1">AVERAGE(OFFSET($FI$3,0,0,'Données projet'!$E$16+1,1))-AVERAGE(OFFSET($H$3,0,0,'Données projet'!$E$16+1,1))</f>
        <v>207.66160354686221</v>
      </c>
      <c r="FK179" s="62">
        <f t="shared" si="156"/>
        <v>260.45879589483525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projet'!$B$16,Paramètres!$A$1:$I$88,3,0)*0.475*44/12</f>
        <v>0.28731113675577591</v>
      </c>
      <c r="FR179" s="23">
        <f>EXP(-LN(2)/25)*FR178+(1-EXP(-LN(2)/25))/(LN(2)/25)*Calculateur!FM179*Calculateur!FO179*VLOOKUP('Données projet'!$B$16,Paramètres!$A$1:$I$88,3,0)*0.475*44/12</f>
        <v>0</v>
      </c>
      <c r="FS179" s="23">
        <f>EXP(-LN(2)/2)*FS178+(1-EXP(-LN(2)/2))/(LN(2)/2)*FM179*FP179*VLOOKUP('Données projet'!$B$16,Paramètres!$A$1:$I$88,3,0)*0.475*44/12</f>
        <v>0</v>
      </c>
      <c r="FT179" s="24">
        <f t="shared" si="184"/>
        <v>0.28731113675577591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projet'!$B$9,Paramètres!$A$1:$I$88,3,0)*VLOOKUP('Données projet'!$B$9,Paramètres!$A$1:$I$88,5,0)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378.13552372917843</v>
      </c>
      <c r="T180" s="62">
        <f t="shared" si="142"/>
        <v>528.97123645404952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21.737722120677482</v>
      </c>
      <c r="AA180" s="23">
        <f>EXP(-LN(2)/25)*AA179+(1-EXP(-LN(2)/25))/(LN(2)/25)*Calculateur!V180*Calculateur!X180*VLOOKUP('Données projet'!$B$9,Paramètres!$A$1:$I$88,3,0)*0.475*44/12</f>
        <v>4.2776037139594889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26.015325834636972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projet'!$B$10,Paramètres!$A$1:$I$88,3,0)*VLOOKUP('Données projet'!$B$10,Paramètres!$A$1:$I$88,5,0)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289.1934864228981</v>
      </c>
      <c r="AN180" s="62">
        <f ca="1">AVERAGE(OFFSET($AM$3,0,0,'Données projet'!$E$10+1,1))-AVERAGE(OFFSET($H$3,0,0,'Données projet'!$E$10+1,1))</f>
        <v>536.3707066106856</v>
      </c>
      <c r="AO180" s="62">
        <f t="shared" si="144"/>
        <v>217.6280015974086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159.40527751108331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159.40527751108331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302.3</v>
      </c>
      <c r="BE180" s="14">
        <f>BD180*VLOOKUP('Données projet'!$B$11,Paramètres!$A$1:$I$88,3,0)*VLOOKUP('Données projet'!$B$11,Paramètres!$A$1:$I$88,5,0)</f>
        <v>180.77540000000005</v>
      </c>
      <c r="BF180" s="14">
        <f t="shared" si="167"/>
        <v>45.494655198846154</v>
      </c>
      <c r="BG180" s="22">
        <f t="shared" si="168"/>
        <v>394.08701280465715</v>
      </c>
      <c r="BH180" s="62">
        <f t="shared" si="116"/>
        <v>683.28049922755235</v>
      </c>
      <c r="BI180" s="62">
        <f ca="1">AVERAGE(OFFSET($BH$3,0,0,'Données projet'!$E$11+1,1))-AVERAGE(OFFSET($H$3,0,0,'Données projet'!$E$11+1,1))</f>
        <v>248.66193174773525</v>
      </c>
      <c r="BJ180" s="62">
        <f t="shared" si="146"/>
        <v>249.61655682981151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2.044404621812836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1.0184436701427895E-17</v>
      </c>
      <c r="BS180" s="24">
        <f t="shared" si="169"/>
        <v>2.044404621812836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860.00000000000023</v>
      </c>
      <c r="BZ180" s="14">
        <f>BY180*VLOOKUP('Données projet'!$B$12,Paramètres!$A$1:$I$88,3,0)*VLOOKUP('Données projet'!$B$12,Paramètres!$A$1:$I$88,5,0)</f>
        <v>346.5800000000001</v>
      </c>
      <c r="CA180" s="14">
        <f t="shared" si="170"/>
        <v>80.857895771535127</v>
      </c>
      <c r="CB180" s="22">
        <f t="shared" si="171"/>
        <v>744.45433513542378</v>
      </c>
      <c r="CC180" s="62">
        <f t="shared" si="119"/>
        <v>1033.647821558319</v>
      </c>
      <c r="CD180" s="62">
        <f ca="1">AVERAGE(OFFSET($CC$3,0,0,'Données projet'!$E$12+1,1))-AVERAGE(OFFSET($H$3,0,0,'Données projet'!$E$12+1,1))</f>
        <v>432.59662347701629</v>
      </c>
      <c r="CE180" s="62">
        <f t="shared" si="148"/>
        <v>348.67401091099748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9.2093520966072671</v>
      </c>
      <c r="CL180" s="23">
        <f>EXP(-LN(2)/25)*CL179+(1-EXP(-LN(2)/25))/(LN(2)/25)*Calculateur!CG180*Calculateur!CI180*VLOOKUP('Données projet'!$B$12,Paramètres!$A$1:$I$88,3,0)*0.475*44/12</f>
        <v>4.722633474091932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13.931985570699199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1099.9999999999998</v>
      </c>
      <c r="CU180" s="18">
        <f>CT180*VLOOKUP('Données projet'!$B$13,Paramètres!$A$1:$I$88,3,0)*VLOOKUP('Données projet'!$B$13,Paramètres!$A$1:$I$88,5,0)</f>
        <v>486.19999999999993</v>
      </c>
      <c r="CV180" s="14">
        <f t="shared" si="173"/>
        <v>109.0490179035375</v>
      </c>
      <c r="CW180" s="22">
        <f t="shared" si="174"/>
        <v>1036.725372848661</v>
      </c>
      <c r="CX180" s="62">
        <f t="shared" si="122"/>
        <v>1325.9188592715564</v>
      </c>
      <c r="CY180" s="62">
        <f ca="1">AVERAGE(OFFSET($CX$3,0,0,'Données projet'!$E$13+1,1))-AVERAGE(OFFSET($H$3,0,0,'Données projet'!$E$13+1,1))</f>
        <v>582.26951914082088</v>
      </c>
      <c r="CZ180" s="62">
        <f t="shared" si="150"/>
        <v>434.80429932654715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9.2796986984852712</v>
      </c>
      <c r="DG180" s="23">
        <f>EXP(-LN(2)/25)*DG179+(1-EXP(-LN(2)/25))/(LN(2)/25)*Calculateur!DB180*Calculateur!DD180*VLOOKUP('Données projet'!$B$13,Paramètres!$A$1:$I$88,3,0)*0.475*44/12</f>
        <v>4.2436537795735267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13.523352478058797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498.99999999999955</v>
      </c>
      <c r="DP180" s="18">
        <f>DO180*VLOOKUP('Données projet'!$B$14,Paramètres!$A$1:$I$88,3,0)*VLOOKUP('Données projet'!$B$14,Paramètres!$A$1:$I$88,5,0)</f>
        <v>240.01899999999978</v>
      </c>
      <c r="DQ180" s="14">
        <f t="shared" si="176"/>
        <v>58.443618405936313</v>
      </c>
      <c r="DR180" s="22">
        <f t="shared" si="177"/>
        <v>519.82239372367201</v>
      </c>
      <c r="DS180" s="62">
        <f t="shared" si="125"/>
        <v>809.01588014656727</v>
      </c>
      <c r="DT180" s="62">
        <f ca="1">AVERAGE(OFFSET($DS$3,0,0,'Données projet'!$E$14+1,1))-AVERAGE(OFFSET($H$3,0,0,'Données projet'!$E$14+1,1))</f>
        <v>273.24375559399846</v>
      </c>
      <c r="DU180" s="62">
        <f t="shared" si="152"/>
        <v>270.77718895097848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projet'!$B$14,Paramètres!$A$1:$I$88,3,0)*0.475*44/12</f>
        <v>4.7387226487755001</v>
      </c>
      <c r="EB180" s="23">
        <f>EXP(-LN(2)/25)*EB179+(1-EXP(-LN(2)/25))/(LN(2)/25)*Calculateur!DW180*Calculateur!DY180*VLOOKUP('Données projet'!$B$14,Paramètres!$A$1:$I$88,3,0)*0.475*44/12</f>
        <v>2.0697714427580824</v>
      </c>
      <c r="EC180" s="23">
        <f>EXP(-LN(2)/2)*EC179+(1-EXP(-LN(2)/2))/(LN(2)/2)*DW180*DZ180*VLOOKUP('Données projet'!$B$14,Paramètres!$A$1:$I$88,3,0)*0.475*44/12</f>
        <v>0</v>
      </c>
      <c r="ED180" s="24">
        <f t="shared" si="178"/>
        <v>6.8084940915335821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498.99999999999955</v>
      </c>
      <c r="EK180" s="18">
        <f>EJ180*VLOOKUP('Données projet'!$B$15,Paramètres!$A$1:$I$88,3,0)*VLOOKUP('Données projet'!$B$15,Paramètres!$A$1:$I$88,5,0)</f>
        <v>233.53199999999975</v>
      </c>
      <c r="EL180" s="14">
        <f t="shared" si="179"/>
        <v>57.04570382109803</v>
      </c>
      <c r="EM180" s="22">
        <f t="shared" si="180"/>
        <v>506.08950082174533</v>
      </c>
      <c r="EN180" s="62">
        <f t="shared" si="128"/>
        <v>795.28298724464059</v>
      </c>
      <c r="EO180" s="62">
        <f ca="1">AVERAGE(OFFSET($EN$3,0,0,'Données projet'!$E$15+1,1))-AVERAGE(OFFSET($H$3,0,0,'Données projet'!$E$15+1,1))</f>
        <v>267.26203506406682</v>
      </c>
      <c r="EP180" s="62">
        <f t="shared" si="154"/>
        <v>265.10857635664843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projet'!$B$15,Paramètres!$A$1:$I$88,3,0)*0.475*44/12</f>
        <v>4.6106490636734572</v>
      </c>
      <c r="EW180" s="23">
        <f>EXP(-LN(2)/25)*EW179+(1-EXP(-LN(2)/25))/(LN(2)/25)*Calculateur!ER180*Calculateur!ET180*VLOOKUP('Données projet'!$B$15,Paramètres!$A$1:$I$88,3,0)*0.475*44/12</f>
        <v>2.0138316740348894</v>
      </c>
      <c r="EX180" s="23">
        <f>EXP(-LN(2)/2)*EX179+(1-EXP(-LN(2)/2))/(LN(2)/2)*ER180*EU180*VLOOKUP('Données projet'!$B$15,Paramètres!$A$1:$I$88,3,0)*0.475*44/12</f>
        <v>0</v>
      </c>
      <c r="EY180" s="24">
        <f t="shared" si="181"/>
        <v>6.6244807377083461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231</v>
      </c>
      <c r="FF180" s="18">
        <f>FE180*VLOOKUP('Données projet'!$B$16,Paramètres!$A$1:$I$88,3,0)*VLOOKUP('Données projet'!$B$16,Paramètres!$A$1:$I$88,5,0)</f>
        <v>169.36920000000001</v>
      </c>
      <c r="FG180" s="14">
        <f t="shared" si="182"/>
        <v>42.948714817158674</v>
      </c>
      <c r="FH180" s="22">
        <f t="shared" si="183"/>
        <v>369.787034973218</v>
      </c>
      <c r="FI180" s="62">
        <f t="shared" si="131"/>
        <v>658.98052139611332</v>
      </c>
      <c r="FJ180" s="62">
        <f ca="1">AVERAGE(OFFSET($FI$3,0,0,'Données projet'!$E$16+1,1))-AVERAGE(OFFSET($H$3,0,0,'Données projet'!$E$16+1,1))</f>
        <v>207.66160354686221</v>
      </c>
      <c r="FK180" s="62">
        <f t="shared" si="156"/>
        <v>260.45879589483525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projet'!$B$16,Paramètres!$A$1:$I$88,3,0)*0.475*44/12</f>
        <v>0.2816771406064848</v>
      </c>
      <c r="FR180" s="23">
        <f>EXP(-LN(2)/25)*FR179+(1-EXP(-LN(2)/25))/(LN(2)/25)*Calculateur!FM180*Calculateur!FO180*VLOOKUP('Données projet'!$B$16,Paramètres!$A$1:$I$88,3,0)*0.475*44/12</f>
        <v>0</v>
      </c>
      <c r="FS180" s="23">
        <f>EXP(-LN(2)/2)*FS179+(1-EXP(-LN(2)/2))/(LN(2)/2)*FM180*FP180*VLOOKUP('Données projet'!$B$16,Paramètres!$A$1:$I$88,3,0)*0.475*44/12</f>
        <v>0</v>
      </c>
      <c r="FT180" s="24">
        <f t="shared" si="184"/>
        <v>0.2816771406064848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projet'!$B$9,Paramètres!$A$1:$I$88,3,0)*VLOOKUP('Données projet'!$B$9,Paramètres!$A$1:$I$88,5,0)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378.13552372917843</v>
      </c>
      <c r="T181" s="62">
        <f t="shared" si="142"/>
        <v>528.97123645404952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21.311458648592303</v>
      </c>
      <c r="AA181" s="23">
        <f>EXP(-LN(2)/25)*AA180+(1-EXP(-LN(2)/25))/(LN(2)/25)*Calculateur!V181*Calculateur!X181*VLOOKUP('Données projet'!$B$9,Paramètres!$A$1:$I$88,3,0)*0.475*44/12</f>
        <v>4.1606324154518637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25.472091064044168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projet'!$B$10,Paramètres!$A$1:$I$88,3,0)*VLOOKUP('Données projet'!$B$10,Paramètres!$A$1:$I$88,5,0)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289.26530351148301</v>
      </c>
      <c r="AN181" s="62">
        <f ca="1">AVERAGE(OFFSET($AM$3,0,0,'Données projet'!$E$10+1,1))-AVERAGE(OFFSET($H$3,0,0,'Données projet'!$E$10+1,1))</f>
        <v>536.3707066106856</v>
      </c>
      <c r="AO181" s="62">
        <f t="shared" si="144"/>
        <v>217.6280015974086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156.27943724670982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156.27943724670982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302.3</v>
      </c>
      <c r="BE181" s="14">
        <f>BD181*VLOOKUP('Données projet'!$B$11,Paramètres!$A$1:$I$88,3,0)*VLOOKUP('Données projet'!$B$11,Paramètres!$A$1:$I$88,5,0)</f>
        <v>180.77540000000005</v>
      </c>
      <c r="BF181" s="14">
        <f t="shared" si="167"/>
        <v>45.494655198846154</v>
      </c>
      <c r="BG181" s="22">
        <f t="shared" si="168"/>
        <v>394.08701280465715</v>
      </c>
      <c r="BH181" s="62">
        <f t="shared" si="116"/>
        <v>683.35231631613738</v>
      </c>
      <c r="BI181" s="62">
        <f ca="1">AVERAGE(OFFSET($BH$3,0,0,'Données projet'!$E$11+1,1))-AVERAGE(OFFSET($H$3,0,0,'Données projet'!$E$11+1,1))</f>
        <v>248.66193174773525</v>
      </c>
      <c r="BJ181" s="62">
        <f t="shared" si="146"/>
        <v>249.61655682981151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2.0043150941427781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7.2014842541448186E-18</v>
      </c>
      <c r="BS181" s="24">
        <f t="shared" si="169"/>
        <v>2.0043150941427781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860.00000000000023</v>
      </c>
      <c r="BZ181" s="14">
        <f>BY181*VLOOKUP('Données projet'!$B$12,Paramètres!$A$1:$I$88,3,0)*VLOOKUP('Données projet'!$B$12,Paramètres!$A$1:$I$88,5,0)</f>
        <v>346.5800000000001</v>
      </c>
      <c r="CA181" s="14">
        <f t="shared" si="170"/>
        <v>80.857895771535127</v>
      </c>
      <c r="CB181" s="22">
        <f t="shared" si="171"/>
        <v>744.45433513542378</v>
      </c>
      <c r="CC181" s="62">
        <f t="shared" si="119"/>
        <v>1033.7196386469041</v>
      </c>
      <c r="CD181" s="62">
        <f ca="1">AVERAGE(OFFSET($CC$3,0,0,'Données projet'!$E$12+1,1))-AVERAGE(OFFSET($H$3,0,0,'Données projet'!$E$12+1,1))</f>
        <v>432.59662347701629</v>
      </c>
      <c r="CE181" s="62">
        <f t="shared" si="148"/>
        <v>348.67401091099748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9.0287623191429294</v>
      </c>
      <c r="CL181" s="23">
        <f>EXP(-LN(2)/25)*CL180+(1-EXP(-LN(2)/25))/(LN(2)/25)*Calculateur!CG181*Calculateur!CI181*VLOOKUP('Données projet'!$B$12,Paramètres!$A$1:$I$88,3,0)*0.475*44/12</f>
        <v>4.5934928133903874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13.622255132533317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1099.9999999999998</v>
      </c>
      <c r="CU181" s="18">
        <f>CT181*VLOOKUP('Données projet'!$B$13,Paramètres!$A$1:$I$88,3,0)*VLOOKUP('Données projet'!$B$13,Paramètres!$A$1:$I$88,5,0)</f>
        <v>486.19999999999993</v>
      </c>
      <c r="CV181" s="14">
        <f t="shared" si="173"/>
        <v>109.0490179035375</v>
      </c>
      <c r="CW181" s="22">
        <f t="shared" si="174"/>
        <v>1036.725372848661</v>
      </c>
      <c r="CX181" s="62">
        <f t="shared" si="122"/>
        <v>1325.9906763601412</v>
      </c>
      <c r="CY181" s="62">
        <f ca="1">AVERAGE(OFFSET($CX$3,0,0,'Données projet'!$E$13+1,1))-AVERAGE(OFFSET($H$3,0,0,'Données projet'!$E$13+1,1))</f>
        <v>582.26951914082088</v>
      </c>
      <c r="CZ181" s="62">
        <f t="shared" si="150"/>
        <v>434.80429932654715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9.0977294670652977</v>
      </c>
      <c r="DG181" s="23">
        <f>EXP(-LN(2)/25)*DG180+(1-EXP(-LN(2)/25))/(LN(2)/25)*Calculateur!DB181*Calculateur!DD181*VLOOKUP('Données projet'!$B$13,Paramètres!$A$1:$I$88,3,0)*0.475*44/12</f>
        <v>4.1276108438070356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13.225340310872333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498.99999999999955</v>
      </c>
      <c r="DP181" s="18">
        <f>DO181*VLOOKUP('Données projet'!$B$14,Paramètres!$A$1:$I$88,3,0)*VLOOKUP('Données projet'!$B$14,Paramètres!$A$1:$I$88,5,0)</f>
        <v>240.01899999999978</v>
      </c>
      <c r="DQ181" s="14">
        <f t="shared" si="176"/>
        <v>58.443618405936313</v>
      </c>
      <c r="DR181" s="22">
        <f t="shared" si="177"/>
        <v>519.82239372367201</v>
      </c>
      <c r="DS181" s="62">
        <f t="shared" si="125"/>
        <v>809.08769723515218</v>
      </c>
      <c r="DT181" s="62">
        <f ca="1">AVERAGE(OFFSET($DS$3,0,0,'Données projet'!$E$14+1,1))-AVERAGE(OFFSET($H$3,0,0,'Données projet'!$E$14+1,1))</f>
        <v>273.24375559399846</v>
      </c>
      <c r="DU181" s="62">
        <f t="shared" si="152"/>
        <v>270.77718895097848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projet'!$B$14,Paramètres!$A$1:$I$88,3,0)*0.475*44/12</f>
        <v>4.6457991879684313</v>
      </c>
      <c r="EB181" s="23">
        <f>EXP(-LN(2)/25)*EB180+(1-EXP(-LN(2)/25))/(LN(2)/25)*Calculateur!DW181*Calculateur!DY181*VLOOKUP('Données projet'!$B$14,Paramètres!$A$1:$I$88,3,0)*0.475*44/12</f>
        <v>2.0131734338113132</v>
      </c>
      <c r="EC181" s="23">
        <f>EXP(-LN(2)/2)*EC180+(1-EXP(-LN(2)/2))/(LN(2)/2)*DW181*DZ181*VLOOKUP('Données projet'!$B$14,Paramètres!$A$1:$I$88,3,0)*0.475*44/12</f>
        <v>0</v>
      </c>
      <c r="ED181" s="24">
        <f t="shared" si="178"/>
        <v>6.6589726217797445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498.99999999999955</v>
      </c>
      <c r="EK181" s="18">
        <f>EJ181*VLOOKUP('Données projet'!$B$15,Paramètres!$A$1:$I$88,3,0)*VLOOKUP('Données projet'!$B$15,Paramètres!$A$1:$I$88,5,0)</f>
        <v>233.53199999999975</v>
      </c>
      <c r="EL181" s="14">
        <f t="shared" si="179"/>
        <v>57.04570382109803</v>
      </c>
      <c r="EM181" s="22">
        <f t="shared" si="180"/>
        <v>506.08950082174533</v>
      </c>
      <c r="EN181" s="62">
        <f t="shared" si="128"/>
        <v>795.3548043332255</v>
      </c>
      <c r="EO181" s="62">
        <f ca="1">AVERAGE(OFFSET($EN$3,0,0,'Données projet'!$E$15+1,1))-AVERAGE(OFFSET($H$3,0,0,'Données projet'!$E$15+1,1))</f>
        <v>267.26203506406682</v>
      </c>
      <c r="EP181" s="62">
        <f t="shared" si="154"/>
        <v>265.10857635664843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projet'!$B$15,Paramètres!$A$1:$I$88,3,0)*0.475*44/12</f>
        <v>4.5202370477530662</v>
      </c>
      <c r="EW181" s="23">
        <f>EXP(-LN(2)/25)*EW180+(1-EXP(-LN(2)/25))/(LN(2)/25)*Calculateur!ER181*Calculateur!ET181*VLOOKUP('Données projet'!$B$15,Paramètres!$A$1:$I$88,3,0)*0.475*44/12</f>
        <v>1.9587633410056002</v>
      </c>
      <c r="EX181" s="23">
        <f>EXP(-LN(2)/2)*EX180+(1-EXP(-LN(2)/2))/(LN(2)/2)*ER181*EU181*VLOOKUP('Données projet'!$B$15,Paramètres!$A$1:$I$88,3,0)*0.475*44/12</f>
        <v>0</v>
      </c>
      <c r="EY181" s="24">
        <f t="shared" si="181"/>
        <v>6.4790003887586662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231</v>
      </c>
      <c r="FF181" s="18">
        <f>FE181*VLOOKUP('Données projet'!$B$16,Paramètres!$A$1:$I$88,3,0)*VLOOKUP('Données projet'!$B$16,Paramètres!$A$1:$I$88,5,0)</f>
        <v>169.36920000000001</v>
      </c>
      <c r="FG181" s="14">
        <f t="shared" si="182"/>
        <v>42.948714817158674</v>
      </c>
      <c r="FH181" s="22">
        <f t="shared" si="183"/>
        <v>369.787034973218</v>
      </c>
      <c r="FI181" s="62">
        <f t="shared" si="131"/>
        <v>659.05233848469811</v>
      </c>
      <c r="FJ181" s="62">
        <f ca="1">AVERAGE(OFFSET($FI$3,0,0,'Données projet'!$E$16+1,1))-AVERAGE(OFFSET($H$3,0,0,'Données projet'!$E$16+1,1))</f>
        <v>207.66160354686221</v>
      </c>
      <c r="FK181" s="62">
        <f t="shared" si="156"/>
        <v>260.45879589483525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projet'!$B$16,Paramètres!$A$1:$I$88,3,0)*0.475*44/12</f>
        <v>0.27615362368528296</v>
      </c>
      <c r="FR181" s="23">
        <f>EXP(-LN(2)/25)*FR180+(1-EXP(-LN(2)/25))/(LN(2)/25)*Calculateur!FM181*Calculateur!FO181*VLOOKUP('Données projet'!$B$16,Paramètres!$A$1:$I$88,3,0)*0.475*44/12</f>
        <v>0</v>
      </c>
      <c r="FS181" s="23">
        <f>EXP(-LN(2)/2)*FS180+(1-EXP(-LN(2)/2))/(LN(2)/2)*FM181*FP181*VLOOKUP('Données projet'!$B$16,Paramètres!$A$1:$I$88,3,0)*0.475*44/12</f>
        <v>0</v>
      </c>
      <c r="FT181" s="24">
        <f t="shared" si="184"/>
        <v>0.27615362368528296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projet'!$B$9,Paramètres!$A$1:$I$88,3,0)*VLOOKUP('Données projet'!$B$9,Paramètres!$A$1:$I$88,5,0)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378.13552372917843</v>
      </c>
      <c r="T182" s="62">
        <f t="shared" si="142"/>
        <v>528.97123645404952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20.893553943199667</v>
      </c>
      <c r="AA182" s="23">
        <f>EXP(-LN(2)/25)*AA181+(1-EXP(-LN(2)/25))/(LN(2)/25)*Calculateur!V182*Calculateur!X182*VLOOKUP('Données projet'!$B$9,Paramètres!$A$1:$I$88,3,0)*0.475*44/12</f>
        <v>4.0468597032531832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24.94041364645285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projet'!$B$10,Paramètres!$A$1:$I$88,3,0)*VLOOKUP('Données projet'!$B$10,Paramètres!$A$1:$I$88,5,0)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289.33587473413996</v>
      </c>
      <c r="AN182" s="62">
        <f ca="1">AVERAGE(OFFSET($AM$3,0,0,'Données projet'!$E$10+1,1))-AVERAGE(OFFSET($H$3,0,0,'Données projet'!$E$10+1,1))</f>
        <v>536.3707066106856</v>
      </c>
      <c r="AO182" s="62">
        <f t="shared" si="144"/>
        <v>217.6280015974086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153.2148928033464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153.2148928033464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302.3</v>
      </c>
      <c r="BE182" s="14">
        <f>BD182*VLOOKUP('Données projet'!$B$11,Paramètres!$A$1:$I$88,3,0)*VLOOKUP('Données projet'!$B$11,Paramètres!$A$1:$I$88,5,0)</f>
        <v>180.77540000000005</v>
      </c>
      <c r="BF182" s="14">
        <f t="shared" si="167"/>
        <v>45.494655198846154</v>
      </c>
      <c r="BG182" s="22">
        <f t="shared" si="168"/>
        <v>394.08701280465715</v>
      </c>
      <c r="BH182" s="62">
        <f t="shared" si="116"/>
        <v>683.42288753879427</v>
      </c>
      <c r="BI182" s="62">
        <f ca="1">AVERAGE(OFFSET($BH$3,0,0,'Données projet'!$E$11+1,1))-AVERAGE(OFFSET($H$3,0,0,'Données projet'!$E$11+1,1))</f>
        <v>248.66193174773525</v>
      </c>
      <c r="BJ182" s="62">
        <f t="shared" si="146"/>
        <v>249.61655682981151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1.9650116976581327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5.0922183507139477E-18</v>
      </c>
      <c r="BS182" s="24">
        <f t="shared" si="169"/>
        <v>1.9650116976581327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860.00000000000023</v>
      </c>
      <c r="BZ182" s="14">
        <f>BY182*VLOOKUP('Données projet'!$B$12,Paramètres!$A$1:$I$88,3,0)*VLOOKUP('Données projet'!$B$12,Paramètres!$A$1:$I$88,5,0)</f>
        <v>346.5800000000001</v>
      </c>
      <c r="CA182" s="14">
        <f t="shared" si="170"/>
        <v>80.857895771535127</v>
      </c>
      <c r="CB182" s="22">
        <f t="shared" si="171"/>
        <v>744.45433513542378</v>
      </c>
      <c r="CC182" s="62">
        <f t="shared" si="119"/>
        <v>1033.7902098695608</v>
      </c>
      <c r="CD182" s="62">
        <f ca="1">AVERAGE(OFFSET($CC$3,0,0,'Données projet'!$E$12+1,1))-AVERAGE(OFFSET($H$3,0,0,'Données projet'!$E$12+1,1))</f>
        <v>432.59662347701629</v>
      </c>
      <c r="CE182" s="62">
        <f t="shared" si="148"/>
        <v>348.67401091099748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8.8517137970657807</v>
      </c>
      <c r="CL182" s="23">
        <f>EXP(-LN(2)/25)*CL181+(1-EXP(-LN(2)/25))/(LN(2)/25)*Calculateur!CG182*Calculateur!CI182*VLOOKUP('Données projet'!$B$12,Paramètres!$A$1:$I$88,3,0)*0.475*44/12</f>
        <v>4.4678835108469386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13.319597307912719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1099.9999999999998</v>
      </c>
      <c r="CU182" s="18">
        <f>CT182*VLOOKUP('Données projet'!$B$13,Paramètres!$A$1:$I$88,3,0)*VLOOKUP('Données projet'!$B$13,Paramètres!$A$1:$I$88,5,0)</f>
        <v>486.19999999999993</v>
      </c>
      <c r="CV182" s="14">
        <f t="shared" si="173"/>
        <v>109.0490179035375</v>
      </c>
      <c r="CW182" s="22">
        <f t="shared" si="174"/>
        <v>1036.725372848661</v>
      </c>
      <c r="CX182" s="62">
        <f t="shared" si="122"/>
        <v>1326.0612475827982</v>
      </c>
      <c r="CY182" s="62">
        <f ca="1">AVERAGE(OFFSET($CX$3,0,0,'Données projet'!$E$13+1,1))-AVERAGE(OFFSET($H$3,0,0,'Données projet'!$E$13+1,1))</f>
        <v>582.26951914082088</v>
      </c>
      <c r="CZ182" s="62">
        <f t="shared" si="150"/>
        <v>434.80429932654715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8.919328541283198</v>
      </c>
      <c r="DG182" s="23">
        <f>EXP(-LN(2)/25)*DG181+(1-EXP(-LN(2)/25))/(LN(2)/25)*Calculateur!DB182*Calculateur!DD182*VLOOKUP('Données projet'!$B$13,Paramètres!$A$1:$I$88,3,0)*0.475*44/12</f>
        <v>4.0147411082215116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12.93406964950471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498.99999999999955</v>
      </c>
      <c r="DP182" s="18">
        <f>DO182*VLOOKUP('Données projet'!$B$14,Paramètres!$A$1:$I$88,3,0)*VLOOKUP('Données projet'!$B$14,Paramètres!$A$1:$I$88,5,0)</f>
        <v>240.01899999999978</v>
      </c>
      <c r="DQ182" s="14">
        <f t="shared" si="176"/>
        <v>58.443618405936313</v>
      </c>
      <c r="DR182" s="22">
        <f t="shared" si="177"/>
        <v>519.82239372367201</v>
      </c>
      <c r="DS182" s="62">
        <f t="shared" si="125"/>
        <v>809.15826845780907</v>
      </c>
      <c r="DT182" s="62">
        <f ca="1">AVERAGE(OFFSET($DS$3,0,0,'Données projet'!$E$14+1,1))-AVERAGE(OFFSET($H$3,0,0,'Données projet'!$E$14+1,1))</f>
        <v>273.24375559399846</v>
      </c>
      <c r="DU182" s="62">
        <f t="shared" si="152"/>
        <v>270.77718895097848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projet'!$B$14,Paramètres!$A$1:$I$88,3,0)*0.475*44/12</f>
        <v>4.5546978995500744</v>
      </c>
      <c r="EB182" s="23">
        <f>EXP(-LN(2)/25)*EB181+(1-EXP(-LN(2)/25))/(LN(2)/25)*Calculateur!DW182*Calculateur!DY182*VLOOKUP('Données projet'!$B$14,Paramètres!$A$1:$I$88,3,0)*0.475*44/12</f>
        <v>1.958123100395553</v>
      </c>
      <c r="EC182" s="23">
        <f>EXP(-LN(2)/2)*EC181+(1-EXP(-LN(2)/2))/(LN(2)/2)*DW182*DZ182*VLOOKUP('Données projet'!$B$14,Paramètres!$A$1:$I$88,3,0)*0.475*44/12</f>
        <v>0</v>
      </c>
      <c r="ED182" s="24">
        <f t="shared" si="178"/>
        <v>6.5128209999456272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498.99999999999955</v>
      </c>
      <c r="EK182" s="18">
        <f>EJ182*VLOOKUP('Données projet'!$B$15,Paramètres!$A$1:$I$88,3,0)*VLOOKUP('Données projet'!$B$15,Paramètres!$A$1:$I$88,5,0)</f>
        <v>233.53199999999975</v>
      </c>
      <c r="EL182" s="14">
        <f t="shared" si="179"/>
        <v>57.04570382109803</v>
      </c>
      <c r="EM182" s="22">
        <f t="shared" si="180"/>
        <v>506.08950082174533</v>
      </c>
      <c r="EN182" s="62">
        <f t="shared" si="128"/>
        <v>795.42537555588251</v>
      </c>
      <c r="EO182" s="62">
        <f ca="1">AVERAGE(OFFSET($EN$3,0,0,'Données projet'!$E$15+1,1))-AVERAGE(OFFSET($H$3,0,0,'Données projet'!$E$15+1,1))</f>
        <v>267.26203506406682</v>
      </c>
      <c r="EP182" s="62">
        <f t="shared" si="154"/>
        <v>265.10857635664843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projet'!$B$15,Paramètres!$A$1:$I$88,3,0)*0.475*44/12</f>
        <v>4.4315979563189893</v>
      </c>
      <c r="EW182" s="23">
        <f>EXP(-LN(2)/25)*EW181+(1-EXP(-LN(2)/25))/(LN(2)/25)*Calculateur!ER182*Calculateur!ET182*VLOOKUP('Données projet'!$B$15,Paramètres!$A$1:$I$88,3,0)*0.475*44/12</f>
        <v>1.9052008544389147</v>
      </c>
      <c r="EX182" s="23">
        <f>EXP(-LN(2)/2)*EX181+(1-EXP(-LN(2)/2))/(LN(2)/2)*ER182*EU182*VLOOKUP('Données projet'!$B$15,Paramètres!$A$1:$I$88,3,0)*0.475*44/12</f>
        <v>0</v>
      </c>
      <c r="EY182" s="24">
        <f t="shared" si="181"/>
        <v>6.3367988107579043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231</v>
      </c>
      <c r="FF182" s="18">
        <f>FE182*VLOOKUP('Données projet'!$B$16,Paramètres!$A$1:$I$88,3,0)*VLOOKUP('Données projet'!$B$16,Paramètres!$A$1:$I$88,5,0)</f>
        <v>169.36920000000001</v>
      </c>
      <c r="FG182" s="14">
        <f t="shared" si="182"/>
        <v>42.948714817158674</v>
      </c>
      <c r="FH182" s="22">
        <f t="shared" si="183"/>
        <v>369.787034973218</v>
      </c>
      <c r="FI182" s="62">
        <f t="shared" si="131"/>
        <v>659.12290970735512</v>
      </c>
      <c r="FJ182" s="62">
        <f ca="1">AVERAGE(OFFSET($FI$3,0,0,'Données projet'!$E$16+1,1))-AVERAGE(OFFSET($H$3,0,0,'Données projet'!$E$16+1,1))</f>
        <v>207.66160354686221</v>
      </c>
      <c r="FK182" s="62">
        <f t="shared" si="156"/>
        <v>260.45879589483525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projet'!$B$16,Paramètres!$A$1:$I$88,3,0)*0.475*44/12</f>
        <v>0.27073841956189321</v>
      </c>
      <c r="FR182" s="23">
        <f>EXP(-LN(2)/25)*FR181+(1-EXP(-LN(2)/25))/(LN(2)/25)*Calculateur!FM182*Calculateur!FO182*VLOOKUP('Données projet'!$B$16,Paramètres!$A$1:$I$88,3,0)*0.475*44/12</f>
        <v>0</v>
      </c>
      <c r="FS182" s="23">
        <f>EXP(-LN(2)/2)*FS181+(1-EXP(-LN(2)/2))/(LN(2)/2)*FM182*FP182*VLOOKUP('Données projet'!$B$16,Paramètres!$A$1:$I$88,3,0)*0.475*44/12</f>
        <v>0</v>
      </c>
      <c r="FT182" s="24">
        <f t="shared" si="184"/>
        <v>0.27073841956189321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projet'!$B$9,Paramètres!$A$1:$I$88,3,0)*VLOOKUP('Données projet'!$B$9,Paramètres!$A$1:$I$88,5,0)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378.13552372917843</v>
      </c>
      <c r="T183" s="62">
        <f t="shared" si="142"/>
        <v>528.97123645404952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20.48384409418308</v>
      </c>
      <c r="AA183" s="23">
        <f>EXP(-LN(2)/25)*AA182+(1-EXP(-LN(2)/25))/(LN(2)/25)*Calculateur!V183*Calculateur!X183*VLOOKUP('Données projet'!$B$9,Paramètres!$A$1:$I$88,3,0)*0.475*44/12</f>
        <v>3.9361981118526224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24.420042206035703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projet'!$B$10,Paramètres!$A$1:$I$88,3,0)*VLOOKUP('Données projet'!$B$10,Paramètres!$A$1:$I$88,5,0)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289.40522170385748</v>
      </c>
      <c r="AN183" s="62">
        <f ca="1">AVERAGE(OFFSET($AM$3,0,0,'Données projet'!$E$10+1,1))-AVERAGE(OFFSET($H$3,0,0,'Données projet'!$E$10+1,1))</f>
        <v>536.3707066106856</v>
      </c>
      <c r="AO183" s="62">
        <f t="shared" si="144"/>
        <v>217.6280015974086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150.21044220732978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150.21044220732978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302.3</v>
      </c>
      <c r="BE183" s="14">
        <f>BD183*VLOOKUP('Données projet'!$B$11,Paramètres!$A$1:$I$88,3,0)*VLOOKUP('Données projet'!$B$11,Paramètres!$A$1:$I$88,5,0)</f>
        <v>180.77540000000005</v>
      </c>
      <c r="BF183" s="14">
        <f t="shared" si="167"/>
        <v>45.494655198846154</v>
      </c>
      <c r="BG183" s="22">
        <f t="shared" si="168"/>
        <v>394.08701280465715</v>
      </c>
      <c r="BH183" s="62">
        <f t="shared" si="116"/>
        <v>683.49223450851173</v>
      </c>
      <c r="BI183" s="62">
        <f ca="1">AVERAGE(OFFSET($BH$3,0,0,'Données projet'!$E$11+1,1))-AVERAGE(OFFSET($H$3,0,0,'Données projet'!$E$11+1,1))</f>
        <v>248.66193174773525</v>
      </c>
      <c r="BJ183" s="62">
        <f t="shared" si="146"/>
        <v>249.61655682981151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1.9264790168058463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3.6007421270724093E-18</v>
      </c>
      <c r="BS183" s="24">
        <f t="shared" si="169"/>
        <v>1.9264790168058463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860.00000000000023</v>
      </c>
      <c r="BZ183" s="14">
        <f>BY183*VLOOKUP('Données projet'!$B$12,Paramètres!$A$1:$I$88,3,0)*VLOOKUP('Données projet'!$B$12,Paramètres!$A$1:$I$88,5,0)</f>
        <v>346.5800000000001</v>
      </c>
      <c r="CA183" s="14">
        <f t="shared" si="170"/>
        <v>80.857895771535127</v>
      </c>
      <c r="CB183" s="22">
        <f t="shared" si="171"/>
        <v>744.45433513542378</v>
      </c>
      <c r="CC183" s="62">
        <f t="shared" si="119"/>
        <v>1033.8595568392784</v>
      </c>
      <c r="CD183" s="62">
        <f ca="1">AVERAGE(OFFSET($CC$3,0,0,'Données projet'!$E$12+1,1))-AVERAGE(OFFSET($H$3,0,0,'Données projet'!$E$12+1,1))</f>
        <v>432.59662347701629</v>
      </c>
      <c r="CE183" s="62">
        <f t="shared" si="148"/>
        <v>348.67401091099748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8.6781370885176283</v>
      </c>
      <c r="CL183" s="23">
        <f>EXP(-LN(2)/25)*CL182+(1-EXP(-LN(2)/25))/(LN(2)/25)*Calculateur!CG183*Calculateur!CI183*VLOOKUP('Données projet'!$B$12,Paramètres!$A$1:$I$88,3,0)*0.475*44/12</f>
        <v>4.3457090012870463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13.023846089804675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1099.9999999999998</v>
      </c>
      <c r="CU183" s="18">
        <f>CT183*VLOOKUP('Données projet'!$B$13,Paramètres!$A$1:$I$88,3,0)*VLOOKUP('Données projet'!$B$13,Paramètres!$A$1:$I$88,5,0)</f>
        <v>486.19999999999993</v>
      </c>
      <c r="CV183" s="14">
        <f t="shared" si="173"/>
        <v>109.0490179035375</v>
      </c>
      <c r="CW183" s="22">
        <f t="shared" si="174"/>
        <v>1036.725372848661</v>
      </c>
      <c r="CX183" s="62">
        <f t="shared" si="122"/>
        <v>1326.1305945525155</v>
      </c>
      <c r="CY183" s="62">
        <f ca="1">AVERAGE(OFFSET($CX$3,0,0,'Données projet'!$E$13+1,1))-AVERAGE(OFFSET($H$3,0,0,'Données projet'!$E$13+1,1))</f>
        <v>582.26951914082088</v>
      </c>
      <c r="CZ183" s="62">
        <f t="shared" si="150"/>
        <v>434.80429932654715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8.7444259488418634</v>
      </c>
      <c r="DG183" s="23">
        <f>EXP(-LN(2)/25)*DG182+(1-EXP(-LN(2)/25))/(LN(2)/25)*Calculateur!DB183*Calculateur!DD183*VLOOKUP('Données projet'!$B$13,Paramètres!$A$1:$I$88,3,0)*0.475*44/12</f>
        <v>3.9049578014911352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12.649383750332998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498.99999999999955</v>
      </c>
      <c r="DP183" s="18">
        <f>DO183*VLOOKUP('Données projet'!$B$14,Paramètres!$A$1:$I$88,3,0)*VLOOKUP('Données projet'!$B$14,Paramètres!$A$1:$I$88,5,0)</f>
        <v>240.01899999999978</v>
      </c>
      <c r="DQ183" s="14">
        <f t="shared" si="176"/>
        <v>58.443618405936313</v>
      </c>
      <c r="DR183" s="22">
        <f t="shared" si="177"/>
        <v>519.82239372367201</v>
      </c>
      <c r="DS183" s="62">
        <f t="shared" si="125"/>
        <v>809.22761542752664</v>
      </c>
      <c r="DT183" s="62">
        <f ca="1">AVERAGE(OFFSET($DS$3,0,0,'Données projet'!$E$14+1,1))-AVERAGE(OFFSET($H$3,0,0,'Données projet'!$E$14+1,1))</f>
        <v>273.24375559399846</v>
      </c>
      <c r="DU183" s="62">
        <f t="shared" si="152"/>
        <v>270.77718895097848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projet'!$B$14,Paramètres!$A$1:$I$88,3,0)*0.475*44/12</f>
        <v>4.465383051831302</v>
      </c>
      <c r="EB183" s="23">
        <f>EXP(-LN(2)/25)*EB182+(1-EXP(-LN(2)/25))/(LN(2)/25)*Calculateur!DW183*Calculateur!DY183*VLOOKUP('Données projet'!$B$14,Paramètres!$A$1:$I$88,3,0)*0.475*44/12</f>
        <v>1.9045781212420181</v>
      </c>
      <c r="EC183" s="23">
        <f>EXP(-LN(2)/2)*EC182+(1-EXP(-LN(2)/2))/(LN(2)/2)*DW183*DZ183*VLOOKUP('Données projet'!$B$14,Paramètres!$A$1:$I$88,3,0)*0.475*44/12</f>
        <v>0</v>
      </c>
      <c r="ED183" s="24">
        <f t="shared" si="178"/>
        <v>6.3699611730733201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498.99999999999955</v>
      </c>
      <c r="EK183" s="18">
        <f>EJ183*VLOOKUP('Données projet'!$B$15,Paramètres!$A$1:$I$88,3,0)*VLOOKUP('Données projet'!$B$15,Paramètres!$A$1:$I$88,5,0)</f>
        <v>233.53199999999975</v>
      </c>
      <c r="EL183" s="14">
        <f t="shared" si="179"/>
        <v>57.04570382109803</v>
      </c>
      <c r="EM183" s="22">
        <f t="shared" si="180"/>
        <v>506.08950082174533</v>
      </c>
      <c r="EN183" s="62">
        <f t="shared" si="128"/>
        <v>795.49472252559997</v>
      </c>
      <c r="EO183" s="62">
        <f ca="1">AVERAGE(OFFSET($EN$3,0,0,'Données projet'!$E$15+1,1))-AVERAGE(OFFSET($H$3,0,0,'Données projet'!$E$15+1,1))</f>
        <v>267.26203506406682</v>
      </c>
      <c r="EP183" s="62">
        <f t="shared" si="154"/>
        <v>265.10857635664843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projet'!$B$15,Paramètres!$A$1:$I$88,3,0)*0.475*44/12</f>
        <v>4.3446970234034277</v>
      </c>
      <c r="EW183" s="23">
        <f>EXP(-LN(2)/25)*EW182+(1-EXP(-LN(2)/25))/(LN(2)/25)*Calculateur!ER183*Calculateur!ET183*VLOOKUP('Données projet'!$B$15,Paramètres!$A$1:$I$88,3,0)*0.475*44/12</f>
        <v>1.8531030368841241</v>
      </c>
      <c r="EX183" s="23">
        <f>EXP(-LN(2)/2)*EX182+(1-EXP(-LN(2)/2))/(LN(2)/2)*ER183*EU183*VLOOKUP('Données projet'!$B$15,Paramètres!$A$1:$I$88,3,0)*0.475*44/12</f>
        <v>0</v>
      </c>
      <c r="EY183" s="24">
        <f t="shared" si="181"/>
        <v>6.1978000602875518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231</v>
      </c>
      <c r="FF183" s="18">
        <f>FE183*VLOOKUP('Données projet'!$B$16,Paramètres!$A$1:$I$88,3,0)*VLOOKUP('Données projet'!$B$16,Paramètres!$A$1:$I$88,5,0)</f>
        <v>169.36920000000001</v>
      </c>
      <c r="FG183" s="14">
        <f t="shared" si="182"/>
        <v>42.948714817158674</v>
      </c>
      <c r="FH183" s="22">
        <f t="shared" si="183"/>
        <v>369.787034973218</v>
      </c>
      <c r="FI183" s="62">
        <f t="shared" si="131"/>
        <v>659.19225667707269</v>
      </c>
      <c r="FJ183" s="62">
        <f ca="1">AVERAGE(OFFSET($FI$3,0,0,'Données projet'!$E$16+1,1))-AVERAGE(OFFSET($H$3,0,0,'Données projet'!$E$16+1,1))</f>
        <v>207.66160354686221</v>
      </c>
      <c r="FK183" s="62">
        <f t="shared" si="156"/>
        <v>260.45879589483525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projet'!$B$16,Paramètres!$A$1:$I$88,3,0)*0.475*44/12</f>
        <v>0.26542940428841477</v>
      </c>
      <c r="FR183" s="23">
        <f>EXP(-LN(2)/25)*FR182+(1-EXP(-LN(2)/25))/(LN(2)/25)*Calculateur!FM183*Calculateur!FO183*VLOOKUP('Données projet'!$B$16,Paramètres!$A$1:$I$88,3,0)*0.475*44/12</f>
        <v>0</v>
      </c>
      <c r="FS183" s="23">
        <f>EXP(-LN(2)/2)*FS182+(1-EXP(-LN(2)/2))/(LN(2)/2)*FM183*FP183*VLOOKUP('Données projet'!$B$16,Paramètres!$A$1:$I$88,3,0)*0.475*44/12</f>
        <v>0</v>
      </c>
      <c r="FT183" s="24">
        <f t="shared" si="184"/>
        <v>0.26542940428841477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projet'!$B$9,Paramètres!$A$1:$I$88,3,0)*VLOOKUP('Données projet'!$B$9,Paramètres!$A$1:$I$88,5,0)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378.13552372917843</v>
      </c>
      <c r="T184" s="62">
        <f t="shared" si="142"/>
        <v>528.97123645404952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20.082168405407376</v>
      </c>
      <c r="AA184" s="23">
        <f>EXP(-LN(2)/25)*AA183+(1-EXP(-LN(2)/25))/(LN(2)/25)*Calculateur!V184*Calculateur!X184*VLOOKUP('Données projet'!$B$9,Paramètres!$A$1:$I$88,3,0)*0.475*44/12</f>
        <v>3.8285625674883499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23.910730972895728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projet'!$B$10,Paramètres!$A$1:$I$88,3,0)*VLOOKUP('Données projet'!$B$10,Paramètres!$A$1:$I$88,5,0)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289.47336565868693</v>
      </c>
      <c r="AN184" s="62">
        <f ca="1">AVERAGE(OFFSET($AM$3,0,0,'Données projet'!$E$10+1,1))-AVERAGE(OFFSET($H$3,0,0,'Données projet'!$E$10+1,1))</f>
        <v>536.3707066106856</v>
      </c>
      <c r="AO184" s="62">
        <f t="shared" si="144"/>
        <v>217.6280015974086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147.26490705496713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147.26490705496713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302.3</v>
      </c>
      <c r="BE184" s="14">
        <f>BD184*VLOOKUP('Données projet'!$B$11,Paramètres!$A$1:$I$88,3,0)*VLOOKUP('Données projet'!$B$11,Paramètres!$A$1:$I$88,5,0)</f>
        <v>180.77540000000005</v>
      </c>
      <c r="BF184" s="14">
        <f t="shared" si="167"/>
        <v>45.494655198846154</v>
      </c>
      <c r="BG184" s="22">
        <f t="shared" si="168"/>
        <v>394.08701280465715</v>
      </c>
      <c r="BH184" s="62">
        <f t="shared" si="116"/>
        <v>683.56037846334129</v>
      </c>
      <c r="BI184" s="62">
        <f ca="1">AVERAGE(OFFSET($BH$3,0,0,'Données projet'!$E$11+1,1))-AVERAGE(OFFSET($H$3,0,0,'Données projet'!$E$11+1,1))</f>
        <v>248.66193174773525</v>
      </c>
      <c r="BJ184" s="62">
        <f t="shared" si="146"/>
        <v>249.61655682981151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1.8887019383224588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2.5461091753569739E-18</v>
      </c>
      <c r="BS184" s="24">
        <f t="shared" si="169"/>
        <v>1.8887019383224588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860.00000000000023</v>
      </c>
      <c r="BZ184" s="14">
        <f>BY184*VLOOKUP('Données projet'!$B$12,Paramètres!$A$1:$I$88,3,0)*VLOOKUP('Données projet'!$B$12,Paramètres!$A$1:$I$88,5,0)</f>
        <v>346.5800000000001</v>
      </c>
      <c r="CA184" s="14">
        <f t="shared" si="170"/>
        <v>80.857895771535127</v>
      </c>
      <c r="CB184" s="22">
        <f t="shared" si="171"/>
        <v>744.45433513542378</v>
      </c>
      <c r="CC184" s="62">
        <f t="shared" si="119"/>
        <v>1033.9277007941077</v>
      </c>
      <c r="CD184" s="62">
        <f ca="1">AVERAGE(OFFSET($CC$3,0,0,'Données projet'!$E$12+1,1))-AVERAGE(OFFSET($H$3,0,0,'Données projet'!$E$12+1,1))</f>
        <v>432.59662347701629</v>
      </c>
      <c r="CE184" s="62">
        <f t="shared" si="148"/>
        <v>348.67401091099748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8.5079641133527666</v>
      </c>
      <c r="CL184" s="23">
        <f>EXP(-LN(2)/25)*CL183+(1-EXP(-LN(2)/25))/(LN(2)/25)*Calculateur!CG184*Calculateur!CI184*VLOOKUP('Données projet'!$B$12,Paramètres!$A$1:$I$88,3,0)*0.475*44/12</f>
        <v>4.2268753601159474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12.734839473468714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1099.9999999999998</v>
      </c>
      <c r="CU184" s="18">
        <f>CT184*VLOOKUP('Données projet'!$B$13,Paramètres!$A$1:$I$88,3,0)*VLOOKUP('Données projet'!$B$13,Paramètres!$A$1:$I$88,5,0)</f>
        <v>486.19999999999993</v>
      </c>
      <c r="CV184" s="14">
        <f t="shared" si="173"/>
        <v>109.0490179035375</v>
      </c>
      <c r="CW184" s="22">
        <f t="shared" si="174"/>
        <v>1036.725372848661</v>
      </c>
      <c r="CX184" s="62">
        <f t="shared" si="122"/>
        <v>1326.1987385073451</v>
      </c>
      <c r="CY184" s="62">
        <f ca="1">AVERAGE(OFFSET($CX$3,0,0,'Données projet'!$E$13+1,1))-AVERAGE(OFFSET($H$3,0,0,'Données projet'!$E$13+1,1))</f>
        <v>582.26951914082088</v>
      </c>
      <c r="CZ184" s="62">
        <f t="shared" si="150"/>
        <v>434.80429932654715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8.572953089558256</v>
      </c>
      <c r="DG184" s="23">
        <f>EXP(-LN(2)/25)*DG183+(1-EXP(-LN(2)/25))/(LN(2)/25)*Calculateur!DB184*Calculateur!DD184*VLOOKUP('Données projet'!$B$13,Paramètres!$A$1:$I$88,3,0)*0.475*44/12</f>
        <v>3.7981765250565545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12.37112961461481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498.99999999999955</v>
      </c>
      <c r="DP184" s="18">
        <f>DO184*VLOOKUP('Données projet'!$B$14,Paramètres!$A$1:$I$88,3,0)*VLOOKUP('Données projet'!$B$14,Paramètres!$A$1:$I$88,5,0)</f>
        <v>240.01899999999978</v>
      </c>
      <c r="DQ184" s="14">
        <f t="shared" si="176"/>
        <v>58.443618405936313</v>
      </c>
      <c r="DR184" s="22">
        <f t="shared" si="177"/>
        <v>519.82239372367201</v>
      </c>
      <c r="DS184" s="62">
        <f t="shared" si="125"/>
        <v>809.2957593823561</v>
      </c>
      <c r="DT184" s="62">
        <f ca="1">AVERAGE(OFFSET($DS$3,0,0,'Données projet'!$E$14+1,1))-AVERAGE(OFFSET($H$3,0,0,'Données projet'!$E$14+1,1))</f>
        <v>273.24375559399846</v>
      </c>
      <c r="DU184" s="62">
        <f t="shared" si="152"/>
        <v>270.77718895097848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projet'!$B$14,Paramètres!$A$1:$I$88,3,0)*0.475*44/12</f>
        <v>4.377819613799617</v>
      </c>
      <c r="EB184" s="23">
        <f>EXP(-LN(2)/25)*EB183+(1-EXP(-LN(2)/25))/(LN(2)/25)*Calculateur!DW184*Calculateur!DY184*VLOOKUP('Données projet'!$B$14,Paramètres!$A$1:$I$88,3,0)*0.475*44/12</f>
        <v>1.8524973323592446</v>
      </c>
      <c r="EC184" s="23">
        <f>EXP(-LN(2)/2)*EC183+(1-EXP(-LN(2)/2))/(LN(2)/2)*DW184*DZ184*VLOOKUP('Données projet'!$B$14,Paramètres!$A$1:$I$88,3,0)*0.475*44/12</f>
        <v>0</v>
      </c>
      <c r="ED184" s="24">
        <f t="shared" si="178"/>
        <v>6.2303169461588617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498.99999999999955</v>
      </c>
      <c r="EK184" s="18">
        <f>EJ184*VLOOKUP('Données projet'!$B$15,Paramètres!$A$1:$I$88,3,0)*VLOOKUP('Données projet'!$B$15,Paramètres!$A$1:$I$88,5,0)</f>
        <v>233.53199999999975</v>
      </c>
      <c r="EL184" s="14">
        <f t="shared" si="179"/>
        <v>57.04570382109803</v>
      </c>
      <c r="EM184" s="22">
        <f t="shared" si="180"/>
        <v>506.08950082174533</v>
      </c>
      <c r="EN184" s="62">
        <f t="shared" si="128"/>
        <v>795.56286648042942</v>
      </c>
      <c r="EO184" s="62">
        <f ca="1">AVERAGE(OFFSET($EN$3,0,0,'Données projet'!$E$15+1,1))-AVERAGE(OFFSET($H$3,0,0,'Données projet'!$E$15+1,1))</f>
        <v>267.26203506406682</v>
      </c>
      <c r="EP184" s="62">
        <f t="shared" si="154"/>
        <v>265.10857635664843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projet'!$B$15,Paramètres!$A$1:$I$88,3,0)*0.475*44/12</f>
        <v>4.2595001647780046</v>
      </c>
      <c r="EW184" s="23">
        <f>EXP(-LN(2)/25)*EW183+(1-EXP(-LN(2)/25))/(LN(2)/25)*Calculateur!ER184*Calculateur!ET184*VLOOKUP('Données projet'!$B$15,Paramètres!$A$1:$I$88,3,0)*0.475*44/12</f>
        <v>1.8024298368900744</v>
      </c>
      <c r="EX184" s="23">
        <f>EXP(-LN(2)/2)*EX183+(1-EXP(-LN(2)/2))/(LN(2)/2)*ER184*EU184*VLOOKUP('Données projet'!$B$15,Paramètres!$A$1:$I$88,3,0)*0.475*44/12</f>
        <v>0</v>
      </c>
      <c r="EY184" s="24">
        <f t="shared" si="181"/>
        <v>6.0619300016680793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231</v>
      </c>
      <c r="FF184" s="18">
        <f>FE184*VLOOKUP('Données projet'!$B$16,Paramètres!$A$1:$I$88,3,0)*VLOOKUP('Données projet'!$B$16,Paramètres!$A$1:$I$88,5,0)</f>
        <v>169.36920000000001</v>
      </c>
      <c r="FG184" s="14">
        <f t="shared" si="182"/>
        <v>42.948714817158674</v>
      </c>
      <c r="FH184" s="22">
        <f t="shared" si="183"/>
        <v>369.787034973218</v>
      </c>
      <c r="FI184" s="62">
        <f t="shared" si="131"/>
        <v>659.26040063190203</v>
      </c>
      <c r="FJ184" s="62">
        <f ca="1">AVERAGE(OFFSET($FI$3,0,0,'Données projet'!$E$16+1,1))-AVERAGE(OFFSET($H$3,0,0,'Données projet'!$E$16+1,1))</f>
        <v>207.66160354686221</v>
      </c>
      <c r="FK184" s="62">
        <f t="shared" si="156"/>
        <v>260.45879589483525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projet'!$B$16,Paramètres!$A$1:$I$88,3,0)*0.475*44/12</f>
        <v>0.2602244955662697</v>
      </c>
      <c r="FR184" s="23">
        <f>EXP(-LN(2)/25)*FR183+(1-EXP(-LN(2)/25))/(LN(2)/25)*Calculateur!FM184*Calculateur!FO184*VLOOKUP('Données projet'!$B$16,Paramètres!$A$1:$I$88,3,0)*0.475*44/12</f>
        <v>0</v>
      </c>
      <c r="FS184" s="23">
        <f>EXP(-LN(2)/2)*FS183+(1-EXP(-LN(2)/2))/(LN(2)/2)*FM184*FP184*VLOOKUP('Données projet'!$B$16,Paramètres!$A$1:$I$88,3,0)*0.475*44/12</f>
        <v>0</v>
      </c>
      <c r="FT184" s="24">
        <f t="shared" si="184"/>
        <v>0.2602244955662697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projet'!$B$9,Paramètres!$A$1:$I$88,3,0)*VLOOKUP('Données projet'!$B$9,Paramètres!$A$1:$I$88,5,0)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378.13552372917843</v>
      </c>
      <c r="T185" s="62">
        <f t="shared" si="142"/>
        <v>528.97123645404952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19.688369331890584</v>
      </c>
      <c r="AA185" s="23">
        <f>EXP(-LN(2)/25)*AA184+(1-EXP(-LN(2)/25))/(LN(2)/25)*Calculateur!V185*Calculateur!X185*VLOOKUP('Données projet'!$B$9,Paramètres!$A$1:$I$88,3,0)*0.475*44/12</f>
        <v>3.7238703227450261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23.412239654635609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projet'!$B$10,Paramètres!$A$1:$I$88,3,0)*VLOOKUP('Données projet'!$B$10,Paramètres!$A$1:$I$88,5,0)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289.54032746824726</v>
      </c>
      <c r="AN185" s="62">
        <f ca="1">AVERAGE(OFFSET($AM$3,0,0,'Données projet'!$E$10+1,1))-AVERAGE(OFFSET($H$3,0,0,'Données projet'!$E$10+1,1))</f>
        <v>536.3707066106856</v>
      </c>
      <c r="AO185" s="62">
        <f t="shared" si="144"/>
        <v>217.6280015974086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144.37713205034328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144.37713205034328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302.3</v>
      </c>
      <c r="BE185" s="14">
        <f>BD185*VLOOKUP('Données projet'!$B$11,Paramètres!$A$1:$I$88,3,0)*VLOOKUP('Données projet'!$B$11,Paramètres!$A$1:$I$88,5,0)</f>
        <v>180.77540000000005</v>
      </c>
      <c r="BF185" s="14">
        <f t="shared" si="167"/>
        <v>45.494655198846154</v>
      </c>
      <c r="BG185" s="22">
        <f t="shared" si="168"/>
        <v>394.08701280465715</v>
      </c>
      <c r="BH185" s="62">
        <f t="shared" si="116"/>
        <v>683.62734027290162</v>
      </c>
      <c r="BI185" s="62">
        <f ca="1">AVERAGE(OFFSET($BH$3,0,0,'Données projet'!$E$11+1,1))-AVERAGE(OFFSET($H$3,0,0,'Données projet'!$E$11+1,1))</f>
        <v>248.66193174773525</v>
      </c>
      <c r="BJ185" s="62">
        <f t="shared" si="146"/>
        <v>249.61655682981151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1.8516656453063878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1.8003710635362047E-18</v>
      </c>
      <c r="BS185" s="24">
        <f t="shared" si="169"/>
        <v>1.8516656453063878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860.00000000000023</v>
      </c>
      <c r="BZ185" s="14">
        <f>BY185*VLOOKUP('Données projet'!$B$12,Paramètres!$A$1:$I$88,3,0)*VLOOKUP('Données projet'!$B$12,Paramètres!$A$1:$I$88,5,0)</f>
        <v>346.5800000000001</v>
      </c>
      <c r="CA185" s="14">
        <f t="shared" si="170"/>
        <v>80.857895771535127</v>
      </c>
      <c r="CB185" s="22">
        <f t="shared" si="171"/>
        <v>744.45433513542378</v>
      </c>
      <c r="CC185" s="62">
        <f t="shared" si="119"/>
        <v>1033.9946626036681</v>
      </c>
      <c r="CD185" s="62">
        <f ca="1">AVERAGE(OFFSET($CC$3,0,0,'Données projet'!$E$12+1,1))-AVERAGE(OFFSET($H$3,0,0,'Données projet'!$E$12+1,1))</f>
        <v>432.59662347701629</v>
      </c>
      <c r="CE185" s="62">
        <f t="shared" si="148"/>
        <v>348.67401091099748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8.3411281264356223</v>
      </c>
      <c r="CL185" s="23">
        <f>EXP(-LN(2)/25)*CL184+(1-EXP(-LN(2)/25))/(LN(2)/25)*Calculateur!CG185*Calculateur!CI185*VLOOKUP('Données projet'!$B$12,Paramètres!$A$1:$I$88,3,0)*0.475*44/12</f>
        <v>4.1112912311118626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12.452419357547484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1099.9999999999998</v>
      </c>
      <c r="CU185" s="18">
        <f>CT185*VLOOKUP('Données projet'!$B$13,Paramètres!$A$1:$I$88,3,0)*VLOOKUP('Données projet'!$B$13,Paramètres!$A$1:$I$88,5,0)</f>
        <v>486.19999999999993</v>
      </c>
      <c r="CV185" s="14">
        <f t="shared" si="173"/>
        <v>109.0490179035375</v>
      </c>
      <c r="CW185" s="22">
        <f t="shared" si="174"/>
        <v>1036.725372848661</v>
      </c>
      <c r="CX185" s="62">
        <f t="shared" si="122"/>
        <v>1326.2657003169054</v>
      </c>
      <c r="CY185" s="62">
        <f ca="1">AVERAGE(OFFSET($CX$3,0,0,'Données projet'!$E$13+1,1))-AVERAGE(OFFSET($H$3,0,0,'Données projet'!$E$13+1,1))</f>
        <v>582.26951914082088</v>
      </c>
      <c r="CZ185" s="62">
        <f t="shared" si="150"/>
        <v>434.80429932654715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8.4048427084570836</v>
      </c>
      <c r="DG185" s="23">
        <f>EXP(-LN(2)/25)*DG184+(1-EXP(-LN(2)/25))/(LN(2)/25)*Calculateur!DB185*Calculateur!DD185*VLOOKUP('Données projet'!$B$13,Paramètres!$A$1:$I$88,3,0)*0.475*44/12</f>
        <v>3.6943151882414602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12.099157896698543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498.99999999999955</v>
      </c>
      <c r="DP185" s="18">
        <f>DO185*VLOOKUP('Données projet'!$B$14,Paramètres!$A$1:$I$88,3,0)*VLOOKUP('Données projet'!$B$14,Paramètres!$A$1:$I$88,5,0)</f>
        <v>240.01899999999978</v>
      </c>
      <c r="DQ185" s="14">
        <f t="shared" si="176"/>
        <v>58.443618405936313</v>
      </c>
      <c r="DR185" s="22">
        <f t="shared" si="177"/>
        <v>519.82239372367201</v>
      </c>
      <c r="DS185" s="62">
        <f t="shared" si="125"/>
        <v>809.36272119191642</v>
      </c>
      <c r="DT185" s="62">
        <f ca="1">AVERAGE(OFFSET($DS$3,0,0,'Données projet'!$E$14+1,1))-AVERAGE(OFFSET($H$3,0,0,'Données projet'!$E$14+1,1))</f>
        <v>273.24375559399846</v>
      </c>
      <c r="DU185" s="62">
        <f t="shared" si="152"/>
        <v>270.77718895097848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projet'!$B$14,Paramètres!$A$1:$I$88,3,0)*0.475*44/12</f>
        <v>4.2919732413793099</v>
      </c>
      <c r="EB185" s="23">
        <f>EXP(-LN(2)/25)*EB184+(1-EXP(-LN(2)/25))/(LN(2)/25)*Calculateur!DW185*Calculateur!DY185*VLOOKUP('Données projet'!$B$14,Paramètres!$A$1:$I$88,3,0)*0.475*44/12</f>
        <v>1.8018406953872803</v>
      </c>
      <c r="EC185" s="23">
        <f>EXP(-LN(2)/2)*EC184+(1-EXP(-LN(2)/2))/(LN(2)/2)*DW185*DZ185*VLOOKUP('Données projet'!$B$14,Paramètres!$A$1:$I$88,3,0)*0.475*44/12</f>
        <v>0</v>
      </c>
      <c r="ED185" s="24">
        <f t="shared" si="178"/>
        <v>6.0938139367665904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498.99999999999955</v>
      </c>
      <c r="EK185" s="18">
        <f>EJ185*VLOOKUP('Données projet'!$B$15,Paramètres!$A$1:$I$88,3,0)*VLOOKUP('Données projet'!$B$15,Paramètres!$A$1:$I$88,5,0)</f>
        <v>233.53199999999975</v>
      </c>
      <c r="EL185" s="14">
        <f t="shared" si="179"/>
        <v>57.04570382109803</v>
      </c>
      <c r="EM185" s="22">
        <f t="shared" si="180"/>
        <v>506.08950082174533</v>
      </c>
      <c r="EN185" s="62">
        <f t="shared" si="128"/>
        <v>795.62982828998975</v>
      </c>
      <c r="EO185" s="62">
        <f ca="1">AVERAGE(OFFSET($EN$3,0,0,'Données projet'!$E$15+1,1))-AVERAGE(OFFSET($H$3,0,0,'Données projet'!$E$15+1,1))</f>
        <v>267.26203506406682</v>
      </c>
      <c r="EP185" s="62">
        <f t="shared" si="154"/>
        <v>265.10857635664843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projet'!$B$15,Paramètres!$A$1:$I$88,3,0)*0.475*44/12</f>
        <v>4.1759739645852738</v>
      </c>
      <c r="EW185" s="23">
        <f>EXP(-LN(2)/25)*EW184+(1-EXP(-LN(2)/25))/(LN(2)/25)*Calculateur!ER185*Calculateur!ET185*VLOOKUP('Données projet'!$B$15,Paramètres!$A$1:$I$88,3,0)*0.475*44/12</f>
        <v>1.7531422982146496</v>
      </c>
      <c r="EX185" s="23">
        <f>EXP(-LN(2)/2)*EX184+(1-EXP(-LN(2)/2))/(LN(2)/2)*ER185*EU185*VLOOKUP('Données projet'!$B$15,Paramètres!$A$1:$I$88,3,0)*0.475*44/12</f>
        <v>0</v>
      </c>
      <c r="EY185" s="24">
        <f t="shared" si="181"/>
        <v>5.9291162627999237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231</v>
      </c>
      <c r="FF185" s="18">
        <f>FE185*VLOOKUP('Données projet'!$B$16,Paramètres!$A$1:$I$88,3,0)*VLOOKUP('Données projet'!$B$16,Paramètres!$A$1:$I$88,5,0)</f>
        <v>169.36920000000001</v>
      </c>
      <c r="FG185" s="14">
        <f t="shared" si="182"/>
        <v>42.948714817158674</v>
      </c>
      <c r="FH185" s="22">
        <f t="shared" si="183"/>
        <v>369.787034973218</v>
      </c>
      <c r="FI185" s="62">
        <f t="shared" si="131"/>
        <v>659.32736244146236</v>
      </c>
      <c r="FJ185" s="62">
        <f ca="1">AVERAGE(OFFSET($FI$3,0,0,'Données projet'!$E$16+1,1))-AVERAGE(OFFSET($H$3,0,0,'Données projet'!$E$16+1,1))</f>
        <v>207.66160354686221</v>
      </c>
      <c r="FK185" s="62">
        <f t="shared" si="156"/>
        <v>260.45879589483525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projet'!$B$16,Paramètres!$A$1:$I$88,3,0)*0.475*44/12</f>
        <v>0.25512165192948499</v>
      </c>
      <c r="FR185" s="23">
        <f>EXP(-LN(2)/25)*FR184+(1-EXP(-LN(2)/25))/(LN(2)/25)*Calculateur!FM185*Calculateur!FO185*VLOOKUP('Données projet'!$B$16,Paramètres!$A$1:$I$88,3,0)*0.475*44/12</f>
        <v>0</v>
      </c>
      <c r="FS185" s="23">
        <f>EXP(-LN(2)/2)*FS184+(1-EXP(-LN(2)/2))/(LN(2)/2)*FM185*FP185*VLOOKUP('Données projet'!$B$16,Paramètres!$A$1:$I$88,3,0)*0.475*44/12</f>
        <v>0</v>
      </c>
      <c r="FT185" s="24">
        <f t="shared" si="184"/>
        <v>0.25512165192948499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projet'!$B$9,Paramètres!$A$1:$I$88,3,0)*VLOOKUP('Données projet'!$B$9,Paramètres!$A$1:$I$88,5,0)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378.13552372917843</v>
      </c>
      <c r="T186" s="62">
        <f t="shared" si="142"/>
        <v>528.97123645404952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19.302292418011739</v>
      </c>
      <c r="AA186" s="23">
        <f>EXP(-LN(2)/25)*AA185+(1-EXP(-LN(2)/25))/(LN(2)/25)*Calculateur!V186*Calculateur!X186*VLOOKUP('Données projet'!$B$9,Paramètres!$A$1:$I$88,3,0)*0.475*44/12</f>
        <v>3.6220408929397339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22.924333310951472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projet'!$B$10,Paramètres!$A$1:$I$88,3,0)*VLOOKUP('Données projet'!$B$10,Paramètres!$A$1:$I$88,5,0)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289.6061276401158</v>
      </c>
      <c r="AN186" s="62">
        <f ca="1">AVERAGE(OFFSET($AM$3,0,0,'Données projet'!$E$10+1,1))-AVERAGE(OFFSET($H$3,0,0,'Données projet'!$E$10+1,1))</f>
        <v>536.3707066106856</v>
      </c>
      <c r="AO186" s="62">
        <f t="shared" si="144"/>
        <v>217.6280015974086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141.54598455219127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141.54598455219127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302.3</v>
      </c>
      <c r="BE186" s="14">
        <f>BD186*VLOOKUP('Données projet'!$B$11,Paramètres!$A$1:$I$88,3,0)*VLOOKUP('Données projet'!$B$11,Paramètres!$A$1:$I$88,5,0)</f>
        <v>180.77540000000005</v>
      </c>
      <c r="BF186" s="14">
        <f t="shared" si="167"/>
        <v>45.494655198846154</v>
      </c>
      <c r="BG186" s="22">
        <f t="shared" si="168"/>
        <v>394.08701280465715</v>
      </c>
      <c r="BH186" s="62">
        <f t="shared" si="116"/>
        <v>683.69314044477005</v>
      </c>
      <c r="BI186" s="62">
        <f ca="1">AVERAGE(OFFSET($BH$3,0,0,'Données projet'!$E$11+1,1))-AVERAGE(OFFSET($H$3,0,0,'Données projet'!$E$11+1,1))</f>
        <v>248.66193174773525</v>
      </c>
      <c r="BJ186" s="62">
        <f t="shared" si="146"/>
        <v>249.61655682981151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1.8153556114064537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1.2730545876784869E-18</v>
      </c>
      <c r="BS186" s="24">
        <f t="shared" si="169"/>
        <v>1.8153556114064537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860.00000000000023</v>
      </c>
      <c r="BZ186" s="14">
        <f>BY186*VLOOKUP('Données projet'!$B$12,Paramètres!$A$1:$I$88,3,0)*VLOOKUP('Données projet'!$B$12,Paramètres!$A$1:$I$88,5,0)</f>
        <v>346.5800000000001</v>
      </c>
      <c r="CA186" s="14">
        <f t="shared" si="170"/>
        <v>80.857895771535127</v>
      </c>
      <c r="CB186" s="22">
        <f t="shared" si="171"/>
        <v>744.45433513542378</v>
      </c>
      <c r="CC186" s="62">
        <f t="shared" si="119"/>
        <v>1034.0604627755367</v>
      </c>
      <c r="CD186" s="62">
        <f ca="1">AVERAGE(OFFSET($CC$3,0,0,'Données projet'!$E$12+1,1))-AVERAGE(OFFSET($H$3,0,0,'Données projet'!$E$12+1,1))</f>
        <v>432.59662347701629</v>
      </c>
      <c r="CE186" s="62">
        <f t="shared" si="148"/>
        <v>348.67401091099748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8.1775636914620193</v>
      </c>
      <c r="CL186" s="23">
        <f>EXP(-LN(2)/25)*CL185+(1-EXP(-LN(2)/25))/(LN(2)/25)*Calculateur!CG186*Calculateur!CI186*VLOOKUP('Données projet'!$B$12,Paramètres!$A$1:$I$88,3,0)*0.475*44/12</f>
        <v>3.9988677561936994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12.17643144765572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1099.9999999999998</v>
      </c>
      <c r="CU186" s="18">
        <f>CT186*VLOOKUP('Données projet'!$B$13,Paramètres!$A$1:$I$88,3,0)*VLOOKUP('Données projet'!$B$13,Paramètres!$A$1:$I$88,5,0)</f>
        <v>486.19999999999993</v>
      </c>
      <c r="CV186" s="14">
        <f t="shared" si="173"/>
        <v>109.0490179035375</v>
      </c>
      <c r="CW186" s="22">
        <f t="shared" si="174"/>
        <v>1036.725372848661</v>
      </c>
      <c r="CX186" s="62">
        <f t="shared" si="122"/>
        <v>1326.3315004887741</v>
      </c>
      <c r="CY186" s="62">
        <f ca="1">AVERAGE(OFFSET($CX$3,0,0,'Données projet'!$E$13+1,1))-AVERAGE(OFFSET($H$3,0,0,'Données projet'!$E$13+1,1))</f>
        <v>582.26951914082088</v>
      </c>
      <c r="CZ186" s="62">
        <f t="shared" si="150"/>
        <v>434.80429932654715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8.2400288693920984</v>
      </c>
      <c r="DG186" s="23">
        <f>EXP(-LN(2)/25)*DG185+(1-EXP(-LN(2)/25))/(LN(2)/25)*Calculateur!DB186*Calculateur!DD186*VLOOKUP('Données projet'!$B$13,Paramètres!$A$1:$I$88,3,0)*0.475*44/12</f>
        <v>3.5932939451434054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11.833322814535503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498.99999999999955</v>
      </c>
      <c r="DP186" s="18">
        <f>DO186*VLOOKUP('Données projet'!$B$14,Paramètres!$A$1:$I$88,3,0)*VLOOKUP('Données projet'!$B$14,Paramètres!$A$1:$I$88,5,0)</f>
        <v>240.01899999999978</v>
      </c>
      <c r="DQ186" s="14">
        <f t="shared" si="176"/>
        <v>58.443618405936313</v>
      </c>
      <c r="DR186" s="22">
        <f t="shared" si="177"/>
        <v>519.82239372367201</v>
      </c>
      <c r="DS186" s="62">
        <f t="shared" si="125"/>
        <v>809.42852136378497</v>
      </c>
      <c r="DT186" s="62">
        <f ca="1">AVERAGE(OFFSET($DS$3,0,0,'Données projet'!$E$14+1,1))-AVERAGE(OFFSET($H$3,0,0,'Données projet'!$E$14+1,1))</f>
        <v>273.24375559399846</v>
      </c>
      <c r="DU186" s="62">
        <f t="shared" si="152"/>
        <v>270.77718895097848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projet'!$B$14,Paramètres!$A$1:$I$88,3,0)*0.475*44/12</f>
        <v>4.207810263961048</v>
      </c>
      <c r="EB186" s="23">
        <f>EXP(-LN(2)/25)*EB185+(1-EXP(-LN(2)/25))/(LN(2)/25)*Calculateur!DW186*Calculateur!DY186*VLOOKUP('Données projet'!$B$14,Paramètres!$A$1:$I$88,3,0)*0.475*44/12</f>
        <v>1.752569266817231</v>
      </c>
      <c r="EC186" s="23">
        <f>EXP(-LN(2)/2)*EC185+(1-EXP(-LN(2)/2))/(LN(2)/2)*DW186*DZ186*VLOOKUP('Données projet'!$B$14,Paramètres!$A$1:$I$88,3,0)*0.475*44/12</f>
        <v>0</v>
      </c>
      <c r="ED186" s="24">
        <f t="shared" si="178"/>
        <v>5.9603795307782788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498.99999999999955</v>
      </c>
      <c r="EK186" s="18">
        <f>EJ186*VLOOKUP('Données projet'!$B$15,Paramètres!$A$1:$I$88,3,0)*VLOOKUP('Données projet'!$B$15,Paramètres!$A$1:$I$88,5,0)</f>
        <v>233.53199999999975</v>
      </c>
      <c r="EL186" s="14">
        <f t="shared" si="179"/>
        <v>57.04570382109803</v>
      </c>
      <c r="EM186" s="22">
        <f t="shared" si="180"/>
        <v>506.08950082174533</v>
      </c>
      <c r="EN186" s="62">
        <f t="shared" si="128"/>
        <v>795.69562846185829</v>
      </c>
      <c r="EO186" s="62">
        <f ca="1">AVERAGE(OFFSET($EN$3,0,0,'Données projet'!$E$15+1,1))-AVERAGE(OFFSET($H$3,0,0,'Données projet'!$E$15+1,1))</f>
        <v>267.26203506406682</v>
      </c>
      <c r="EP186" s="62">
        <f t="shared" si="154"/>
        <v>265.10857635664843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projet'!$B$15,Paramètres!$A$1:$I$88,3,0)*0.475*44/12</f>
        <v>4.0940856622323709</v>
      </c>
      <c r="EW186" s="23">
        <f>EXP(-LN(2)/25)*EW185+(1-EXP(-LN(2)/25))/(LN(2)/25)*Calculateur!ER186*Calculateur!ET186*VLOOKUP('Données projet'!$B$15,Paramètres!$A$1:$I$88,3,0)*0.475*44/12</f>
        <v>1.7052025298762234</v>
      </c>
      <c r="EX186" s="23">
        <f>EXP(-LN(2)/2)*EX185+(1-EXP(-LN(2)/2))/(LN(2)/2)*ER186*EU186*VLOOKUP('Données projet'!$B$15,Paramètres!$A$1:$I$88,3,0)*0.475*44/12</f>
        <v>0</v>
      </c>
      <c r="EY186" s="24">
        <f t="shared" si="181"/>
        <v>5.7992881921085946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231</v>
      </c>
      <c r="FF186" s="18">
        <f>FE186*VLOOKUP('Données projet'!$B$16,Paramètres!$A$1:$I$88,3,0)*VLOOKUP('Données projet'!$B$16,Paramètres!$A$1:$I$88,5,0)</f>
        <v>169.36920000000001</v>
      </c>
      <c r="FG186" s="14">
        <f t="shared" si="182"/>
        <v>42.948714817158674</v>
      </c>
      <c r="FH186" s="22">
        <f t="shared" si="183"/>
        <v>369.787034973218</v>
      </c>
      <c r="FI186" s="62">
        <f t="shared" si="131"/>
        <v>659.39316261333101</v>
      </c>
      <c r="FJ186" s="62">
        <f ca="1">AVERAGE(OFFSET($FI$3,0,0,'Données projet'!$E$16+1,1))-AVERAGE(OFFSET($H$3,0,0,'Données projet'!$E$16+1,1))</f>
        <v>207.66160354686221</v>
      </c>
      <c r="FK186" s="62">
        <f t="shared" si="156"/>
        <v>260.45879589483525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projet'!$B$16,Paramètres!$A$1:$I$88,3,0)*0.475*44/12</f>
        <v>0.25011887194399035</v>
      </c>
      <c r="FR186" s="23">
        <f>EXP(-LN(2)/25)*FR185+(1-EXP(-LN(2)/25))/(LN(2)/25)*Calculateur!FM186*Calculateur!FO186*VLOOKUP('Données projet'!$B$16,Paramètres!$A$1:$I$88,3,0)*0.475*44/12</f>
        <v>0</v>
      </c>
      <c r="FS186" s="23">
        <f>EXP(-LN(2)/2)*FS185+(1-EXP(-LN(2)/2))/(LN(2)/2)*FM186*FP186*VLOOKUP('Données projet'!$B$16,Paramètres!$A$1:$I$88,3,0)*0.475*44/12</f>
        <v>0</v>
      </c>
      <c r="FT186" s="24">
        <f t="shared" si="184"/>
        <v>0.25011887194399035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projet'!$B$9,Paramètres!$A$1:$I$88,3,0)*VLOOKUP('Données projet'!$B$9,Paramètres!$A$1:$I$88,5,0)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378.13552372917843</v>
      </c>
      <c r="T187" s="62">
        <f t="shared" si="142"/>
        <v>528.97123645404952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18.923786236930393</v>
      </c>
      <c r="AA187" s="23">
        <f>EXP(-LN(2)/25)*AA186+(1-EXP(-LN(2)/25))/(LN(2)/25)*Calculateur!V187*Calculateur!X187*VLOOKUP('Données projet'!$B$9,Paramètres!$A$1:$I$88,3,0)*0.475*44/12</f>
        <v>3.5229959942474447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22.446782231177838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projet'!$B$10,Paramètres!$A$1:$I$88,3,0)*VLOOKUP('Données projet'!$B$10,Paramètres!$A$1:$I$88,5,0)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289.67078632610958</v>
      </c>
      <c r="AN187" s="62">
        <f ca="1">AVERAGE(OFFSET($AM$3,0,0,'Données projet'!$E$10+1,1))-AVERAGE(OFFSET($H$3,0,0,'Données projet'!$E$10+1,1))</f>
        <v>536.3707066106856</v>
      </c>
      <c r="AO187" s="62">
        <f t="shared" si="144"/>
        <v>217.6280015974086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138.77035412964855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138.77035412964855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302.3</v>
      </c>
      <c r="BE187" s="14">
        <f>BD187*VLOOKUP('Données projet'!$B$11,Paramètres!$A$1:$I$88,3,0)*VLOOKUP('Données projet'!$B$11,Paramètres!$A$1:$I$88,5,0)</f>
        <v>180.77540000000005</v>
      </c>
      <c r="BF187" s="14">
        <f t="shared" si="167"/>
        <v>45.494655198846154</v>
      </c>
      <c r="BG187" s="22">
        <f t="shared" si="168"/>
        <v>394.08701280465715</v>
      </c>
      <c r="BH187" s="62">
        <f t="shared" si="116"/>
        <v>683.75779913076394</v>
      </c>
      <c r="BI187" s="62">
        <f ca="1">AVERAGE(OFFSET($BH$3,0,0,'Données projet'!$E$11+1,1))-AVERAGE(OFFSET($H$3,0,0,'Données projet'!$E$11+1,1))</f>
        <v>248.66193174773525</v>
      </c>
      <c r="BJ187" s="62">
        <f t="shared" si="146"/>
        <v>249.61655682981151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1.7797575951243636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9.0018553176810233E-19</v>
      </c>
      <c r="BS187" s="24">
        <f t="shared" si="169"/>
        <v>1.7797575951243636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860.00000000000023</v>
      </c>
      <c r="BZ187" s="14">
        <f>BY187*VLOOKUP('Données projet'!$B$12,Paramètres!$A$1:$I$88,3,0)*VLOOKUP('Données projet'!$B$12,Paramètres!$A$1:$I$88,5,0)</f>
        <v>346.5800000000001</v>
      </c>
      <c r="CA187" s="14">
        <f t="shared" si="170"/>
        <v>80.857895771535127</v>
      </c>
      <c r="CB187" s="22">
        <f t="shared" si="171"/>
        <v>744.45433513542378</v>
      </c>
      <c r="CC187" s="62">
        <f t="shared" si="119"/>
        <v>1034.1251214615304</v>
      </c>
      <c r="CD187" s="62">
        <f ca="1">AVERAGE(OFFSET($CC$3,0,0,'Données projet'!$E$12+1,1))-AVERAGE(OFFSET($H$3,0,0,'Données projet'!$E$12+1,1))</f>
        <v>432.59662347701629</v>
      </c>
      <c r="CE187" s="62">
        <f t="shared" si="148"/>
        <v>348.67401091099748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8.0172066552937942</v>
      </c>
      <c r="CL187" s="23">
        <f>EXP(-LN(2)/25)*CL186+(1-EXP(-LN(2)/25))/(LN(2)/25)*Calculateur!CG187*Calculateur!CI187*VLOOKUP('Données projet'!$B$12,Paramètres!$A$1:$I$88,3,0)*0.475*44/12</f>
        <v>3.8895185071092668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11.906725162403061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1099.9999999999998</v>
      </c>
      <c r="CU187" s="18">
        <f>CT187*VLOOKUP('Données projet'!$B$13,Paramètres!$A$1:$I$88,3,0)*VLOOKUP('Données projet'!$B$13,Paramètres!$A$1:$I$88,5,0)</f>
        <v>486.19999999999993</v>
      </c>
      <c r="CV187" s="14">
        <f t="shared" si="173"/>
        <v>109.0490179035375</v>
      </c>
      <c r="CW187" s="22">
        <f t="shared" si="174"/>
        <v>1036.725372848661</v>
      </c>
      <c r="CX187" s="62">
        <f t="shared" si="122"/>
        <v>1326.3961591747677</v>
      </c>
      <c r="CY187" s="62">
        <f ca="1">AVERAGE(OFFSET($CX$3,0,0,'Données projet'!$E$13+1,1))-AVERAGE(OFFSET($H$3,0,0,'Données projet'!$E$13+1,1))</f>
        <v>582.26951914082088</v>
      </c>
      <c r="CZ187" s="62">
        <f t="shared" si="150"/>
        <v>434.80429932654715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8.0784469291846612</v>
      </c>
      <c r="DG187" s="23">
        <f>EXP(-LN(2)/25)*DG186+(1-EXP(-LN(2)/25))/(LN(2)/25)*Calculateur!DB187*Calculateur!DD187*VLOOKUP('Données projet'!$B$13,Paramètres!$A$1:$I$88,3,0)*0.475*44/12</f>
        <v>3.4950351332503429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11.573482062435005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498.99999999999955</v>
      </c>
      <c r="DP187" s="18">
        <f>DO187*VLOOKUP('Données projet'!$B$14,Paramètres!$A$1:$I$88,3,0)*VLOOKUP('Données projet'!$B$14,Paramètres!$A$1:$I$88,5,0)</f>
        <v>240.01899999999978</v>
      </c>
      <c r="DQ187" s="14">
        <f t="shared" si="176"/>
        <v>58.443618405936313</v>
      </c>
      <c r="DR187" s="22">
        <f t="shared" si="177"/>
        <v>519.82239372367201</v>
      </c>
      <c r="DS187" s="62">
        <f t="shared" si="125"/>
        <v>809.49318004977874</v>
      </c>
      <c r="DT187" s="62">
        <f ca="1">AVERAGE(OFFSET($DS$3,0,0,'Données projet'!$E$14+1,1))-AVERAGE(OFFSET($H$3,0,0,'Données projet'!$E$14+1,1))</f>
        <v>273.24375559399846</v>
      </c>
      <c r="DU187" s="62">
        <f t="shared" si="152"/>
        <v>270.77718895097848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projet'!$B$14,Paramètres!$A$1:$I$88,3,0)*0.475*44/12</f>
        <v>4.1252976711956109</v>
      </c>
      <c r="EB187" s="23">
        <f>EXP(-LN(2)/25)*EB186+(1-EXP(-LN(2)/25))/(LN(2)/25)*Calculateur!DW187*Calculateur!DY187*VLOOKUP('Données projet'!$B$14,Paramètres!$A$1:$I$88,3,0)*0.475*44/12</f>
        <v>1.7046451680525017</v>
      </c>
      <c r="EC187" s="23">
        <f>EXP(-LN(2)/2)*EC186+(1-EXP(-LN(2)/2))/(LN(2)/2)*DW187*DZ187*VLOOKUP('Données projet'!$B$14,Paramètres!$A$1:$I$88,3,0)*0.475*44/12</f>
        <v>0</v>
      </c>
      <c r="ED187" s="24">
        <f t="shared" si="178"/>
        <v>5.8299428392481127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498.99999999999955</v>
      </c>
      <c r="EK187" s="18">
        <f>EJ187*VLOOKUP('Données projet'!$B$15,Paramètres!$A$1:$I$88,3,0)*VLOOKUP('Données projet'!$B$15,Paramètres!$A$1:$I$88,5,0)</f>
        <v>233.53199999999975</v>
      </c>
      <c r="EL187" s="14">
        <f t="shared" si="179"/>
        <v>57.04570382109803</v>
      </c>
      <c r="EM187" s="22">
        <f t="shared" si="180"/>
        <v>506.08950082174533</v>
      </c>
      <c r="EN187" s="62">
        <f t="shared" si="128"/>
        <v>795.76028714785207</v>
      </c>
      <c r="EO187" s="62">
        <f ca="1">AVERAGE(OFFSET($EN$3,0,0,'Données projet'!$E$15+1,1))-AVERAGE(OFFSET($H$3,0,0,'Données projet'!$E$15+1,1))</f>
        <v>267.26203506406682</v>
      </c>
      <c r="EP187" s="62">
        <f t="shared" si="154"/>
        <v>265.10857635664843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projet'!$B$15,Paramètres!$A$1:$I$88,3,0)*0.475*44/12</f>
        <v>4.0138031395416753</v>
      </c>
      <c r="EW187" s="23">
        <f>EXP(-LN(2)/25)*EW186+(1-EXP(-LN(2)/25))/(LN(2)/25)*Calculateur!ER187*Calculateur!ET187*VLOOKUP('Données projet'!$B$15,Paramètres!$A$1:$I$88,3,0)*0.475*44/12</f>
        <v>1.6585736770240544</v>
      </c>
      <c r="EX187" s="23">
        <f>EXP(-LN(2)/2)*EX186+(1-EXP(-LN(2)/2))/(LN(2)/2)*ER187*EU187*VLOOKUP('Données projet'!$B$15,Paramètres!$A$1:$I$88,3,0)*0.475*44/12</f>
        <v>0</v>
      </c>
      <c r="EY187" s="24">
        <f t="shared" si="181"/>
        <v>5.6723768165657296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231</v>
      </c>
      <c r="FF187" s="18">
        <f>FE187*VLOOKUP('Données projet'!$B$16,Paramètres!$A$1:$I$88,3,0)*VLOOKUP('Données projet'!$B$16,Paramètres!$A$1:$I$88,5,0)</f>
        <v>169.36920000000001</v>
      </c>
      <c r="FG187" s="14">
        <f t="shared" si="182"/>
        <v>42.948714817158674</v>
      </c>
      <c r="FH187" s="22">
        <f t="shared" si="183"/>
        <v>369.787034973218</v>
      </c>
      <c r="FI187" s="62">
        <f t="shared" si="131"/>
        <v>659.45782129932468</v>
      </c>
      <c r="FJ187" s="62">
        <f ca="1">AVERAGE(OFFSET($FI$3,0,0,'Données projet'!$E$16+1,1))-AVERAGE(OFFSET($H$3,0,0,'Données projet'!$E$16+1,1))</f>
        <v>207.66160354686221</v>
      </c>
      <c r="FK187" s="62">
        <f t="shared" si="156"/>
        <v>260.45879589483525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projet'!$B$16,Paramètres!$A$1:$I$88,3,0)*0.475*44/12</f>
        <v>0.2452141934226168</v>
      </c>
      <c r="FR187" s="23">
        <f>EXP(-LN(2)/25)*FR186+(1-EXP(-LN(2)/25))/(LN(2)/25)*Calculateur!FM187*Calculateur!FO187*VLOOKUP('Données projet'!$B$16,Paramètres!$A$1:$I$88,3,0)*0.475*44/12</f>
        <v>0</v>
      </c>
      <c r="FS187" s="23">
        <f>EXP(-LN(2)/2)*FS186+(1-EXP(-LN(2)/2))/(LN(2)/2)*FM187*FP187*VLOOKUP('Données projet'!$B$16,Paramètres!$A$1:$I$88,3,0)*0.475*44/12</f>
        <v>0</v>
      </c>
      <c r="FT187" s="24">
        <f t="shared" si="184"/>
        <v>0.2452141934226168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projet'!$B$9,Paramètres!$A$1:$I$88,3,0)*VLOOKUP('Données projet'!$B$9,Paramètres!$A$1:$I$88,5,0)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378.13552372917843</v>
      </c>
      <c r="T188" s="62">
        <f t="shared" si="142"/>
        <v>528.97123645404952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18.55270233119408</v>
      </c>
      <c r="AA188" s="23">
        <f>EXP(-LN(2)/25)*AA187+(1-EXP(-LN(2)/25))/(LN(2)/25)*Calculateur!V188*Calculateur!X188*VLOOKUP('Données projet'!$B$9,Paramètres!$A$1:$I$88,3,0)*0.475*44/12</f>
        <v>3.4266594835184407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21.979361814712522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projet'!$B$10,Paramètres!$A$1:$I$88,3,0)*VLOOKUP('Données projet'!$B$10,Paramètres!$A$1:$I$88,5,0)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289.73432332845658</v>
      </c>
      <c r="AN188" s="62">
        <f ca="1">AVERAGE(OFFSET($AM$3,0,0,'Données projet'!$E$10+1,1))-AVERAGE(OFFSET($H$3,0,0,'Données projet'!$E$10+1,1))</f>
        <v>536.3707066106856</v>
      </c>
      <c r="AO188" s="62">
        <f t="shared" si="144"/>
        <v>217.6280015974086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136.04915212672449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136.04915212672449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302.3</v>
      </c>
      <c r="BE188" s="14">
        <f>BD188*VLOOKUP('Données projet'!$B$11,Paramètres!$A$1:$I$88,3,0)*VLOOKUP('Données projet'!$B$11,Paramètres!$A$1:$I$88,5,0)</f>
        <v>180.77540000000005</v>
      </c>
      <c r="BF188" s="14">
        <f t="shared" si="167"/>
        <v>45.494655198846154</v>
      </c>
      <c r="BG188" s="22">
        <f t="shared" si="168"/>
        <v>394.08701280465715</v>
      </c>
      <c r="BH188" s="62">
        <f t="shared" si="116"/>
        <v>683.82133613311089</v>
      </c>
      <c r="BI188" s="62">
        <f ca="1">AVERAGE(OFFSET($BH$3,0,0,'Données projet'!$E$11+1,1))-AVERAGE(OFFSET($H$3,0,0,'Données projet'!$E$11+1,1))</f>
        <v>248.66193174773525</v>
      </c>
      <c r="BJ188" s="62">
        <f t="shared" si="146"/>
        <v>249.61655682981151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1.7448576342289193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6.3652729383924347E-19</v>
      </c>
      <c r="BS188" s="24">
        <f t="shared" si="169"/>
        <v>1.7448576342289193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860.00000000000023</v>
      </c>
      <c r="BZ188" s="14">
        <f>BY188*VLOOKUP('Données projet'!$B$12,Paramètres!$A$1:$I$88,3,0)*VLOOKUP('Données projet'!$B$12,Paramètres!$A$1:$I$88,5,0)</f>
        <v>346.5800000000001</v>
      </c>
      <c r="CA188" s="14">
        <f t="shared" si="170"/>
        <v>80.857895771535127</v>
      </c>
      <c r="CB188" s="22">
        <f t="shared" si="171"/>
        <v>744.45433513542378</v>
      </c>
      <c r="CC188" s="62">
        <f t="shared" si="119"/>
        <v>1034.1886584638776</v>
      </c>
      <c r="CD188" s="62">
        <f ca="1">AVERAGE(OFFSET($CC$3,0,0,'Données projet'!$E$12+1,1))-AVERAGE(OFFSET($H$3,0,0,'Données projet'!$E$12+1,1))</f>
        <v>432.59662347701629</v>
      </c>
      <c r="CE188" s="62">
        <f t="shared" si="148"/>
        <v>348.67401091099748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7.8599941227966941</v>
      </c>
      <c r="CL188" s="23">
        <f>EXP(-LN(2)/25)*CL187+(1-EXP(-LN(2)/25))/(LN(2)/25)*Calculateur!CG188*Calculateur!CI188*VLOOKUP('Données projet'!$B$12,Paramètres!$A$1:$I$88,3,0)*0.475*44/12</f>
        <v>3.7831594189914752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11.64315354178817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1099.9999999999998</v>
      </c>
      <c r="CU188" s="18">
        <f>CT188*VLOOKUP('Données projet'!$B$13,Paramètres!$A$1:$I$88,3,0)*VLOOKUP('Données projet'!$B$13,Paramètres!$A$1:$I$88,5,0)</f>
        <v>486.19999999999993</v>
      </c>
      <c r="CV188" s="14">
        <f t="shared" si="173"/>
        <v>109.0490179035375</v>
      </c>
      <c r="CW188" s="22">
        <f t="shared" si="174"/>
        <v>1036.725372848661</v>
      </c>
      <c r="CX188" s="62">
        <f t="shared" si="122"/>
        <v>1326.4596961771147</v>
      </c>
      <c r="CY188" s="62">
        <f ca="1">AVERAGE(OFFSET($CX$3,0,0,'Données projet'!$E$13+1,1))-AVERAGE(OFFSET($H$3,0,0,'Données projet'!$E$13+1,1))</f>
        <v>582.26951914082088</v>
      </c>
      <c r="CZ188" s="62">
        <f t="shared" si="150"/>
        <v>434.80429932654715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7.9200335122694394</v>
      </c>
      <c r="DG188" s="23">
        <f>EXP(-LN(2)/25)*DG187+(1-EXP(-LN(2)/25))/(LN(2)/25)*Calculateur!DB188*Calculateur!DD188*VLOOKUP('Données projet'!$B$13,Paramètres!$A$1:$I$88,3,0)*0.475*44/12</f>
        <v>3.3994632137357028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11.319496726005141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498.99999999999955</v>
      </c>
      <c r="DP188" s="18">
        <f>DO188*VLOOKUP('Données projet'!$B$14,Paramètres!$A$1:$I$88,3,0)*VLOOKUP('Données projet'!$B$14,Paramètres!$A$1:$I$88,5,0)</f>
        <v>240.01899999999978</v>
      </c>
      <c r="DQ188" s="14">
        <f t="shared" si="176"/>
        <v>58.443618405936313</v>
      </c>
      <c r="DR188" s="22">
        <f t="shared" si="177"/>
        <v>519.82239372367201</v>
      </c>
      <c r="DS188" s="62">
        <f t="shared" si="125"/>
        <v>809.5567170521258</v>
      </c>
      <c r="DT188" s="62">
        <f ca="1">AVERAGE(OFFSET($DS$3,0,0,'Données projet'!$E$14+1,1))-AVERAGE(OFFSET($H$3,0,0,'Données projet'!$E$14+1,1))</f>
        <v>273.24375559399846</v>
      </c>
      <c r="DU188" s="62">
        <f t="shared" si="152"/>
        <v>270.77718895097848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projet'!$B$14,Paramètres!$A$1:$I$88,3,0)*0.475*44/12</f>
        <v>4.0444031000465923</v>
      </c>
      <c r="EB188" s="23">
        <f>EXP(-LN(2)/25)*EB187+(1-EXP(-LN(2)/25))/(LN(2)/25)*Calculateur!DW188*Calculateur!DY188*VLOOKUP('Données projet'!$B$14,Paramètres!$A$1:$I$88,3,0)*0.475*44/12</f>
        <v>1.6580315562887127</v>
      </c>
      <c r="EC188" s="23">
        <f>EXP(-LN(2)/2)*EC187+(1-EXP(-LN(2)/2))/(LN(2)/2)*DW188*DZ188*VLOOKUP('Données projet'!$B$14,Paramètres!$A$1:$I$88,3,0)*0.475*44/12</f>
        <v>0</v>
      </c>
      <c r="ED188" s="24">
        <f t="shared" si="178"/>
        <v>5.7024346563353046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498.99999999999955</v>
      </c>
      <c r="EK188" s="18">
        <f>EJ188*VLOOKUP('Données projet'!$B$15,Paramètres!$A$1:$I$88,3,0)*VLOOKUP('Données projet'!$B$15,Paramètres!$A$1:$I$88,5,0)</f>
        <v>233.53199999999975</v>
      </c>
      <c r="EL188" s="14">
        <f t="shared" si="179"/>
        <v>57.04570382109803</v>
      </c>
      <c r="EM188" s="22">
        <f t="shared" si="180"/>
        <v>506.08950082174533</v>
      </c>
      <c r="EN188" s="62">
        <f t="shared" si="128"/>
        <v>795.82382415019902</v>
      </c>
      <c r="EO188" s="62">
        <f ca="1">AVERAGE(OFFSET($EN$3,0,0,'Données projet'!$E$15+1,1))-AVERAGE(OFFSET($H$3,0,0,'Données projet'!$E$15+1,1))</f>
        <v>267.26203506406682</v>
      </c>
      <c r="EP188" s="62">
        <f t="shared" si="154"/>
        <v>265.10857635664843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projet'!$B$15,Paramètres!$A$1:$I$88,3,0)*0.475*44/12</f>
        <v>3.9350949081534408</v>
      </c>
      <c r="EW188" s="23">
        <f>EXP(-LN(2)/25)*EW187+(1-EXP(-LN(2)/25))/(LN(2)/25)*Calculateur!ER188*Calculateur!ET188*VLOOKUP('Données projet'!$B$15,Paramètres!$A$1:$I$88,3,0)*0.475*44/12</f>
        <v>1.6132198926052328</v>
      </c>
      <c r="EX188" s="23">
        <f>EXP(-LN(2)/2)*EX187+(1-EXP(-LN(2)/2))/(LN(2)/2)*ER188*EU188*VLOOKUP('Données projet'!$B$15,Paramètres!$A$1:$I$88,3,0)*0.475*44/12</f>
        <v>0</v>
      </c>
      <c r="EY188" s="24">
        <f t="shared" si="181"/>
        <v>5.5483148007586731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231</v>
      </c>
      <c r="FF188" s="18">
        <f>FE188*VLOOKUP('Données projet'!$B$16,Paramètres!$A$1:$I$88,3,0)*VLOOKUP('Données projet'!$B$16,Paramètres!$A$1:$I$88,5,0)</f>
        <v>169.36920000000001</v>
      </c>
      <c r="FG188" s="14">
        <f t="shared" si="182"/>
        <v>42.948714817158674</v>
      </c>
      <c r="FH188" s="22">
        <f t="shared" si="183"/>
        <v>369.787034973218</v>
      </c>
      <c r="FI188" s="62">
        <f t="shared" si="131"/>
        <v>659.52135830167174</v>
      </c>
      <c r="FJ188" s="62">
        <f ca="1">AVERAGE(OFFSET($FI$3,0,0,'Données projet'!$E$16+1,1))-AVERAGE(OFFSET($H$3,0,0,'Données projet'!$E$16+1,1))</f>
        <v>207.66160354686221</v>
      </c>
      <c r="FK188" s="62">
        <f t="shared" si="156"/>
        <v>260.45879589483525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projet'!$B$16,Paramètres!$A$1:$I$88,3,0)*0.475*44/12</f>
        <v>0.24040569265548886</v>
      </c>
      <c r="FR188" s="23">
        <f>EXP(-LN(2)/25)*FR187+(1-EXP(-LN(2)/25))/(LN(2)/25)*Calculateur!FM188*Calculateur!FO188*VLOOKUP('Données projet'!$B$16,Paramètres!$A$1:$I$88,3,0)*0.475*44/12</f>
        <v>0</v>
      </c>
      <c r="FS188" s="23">
        <f>EXP(-LN(2)/2)*FS187+(1-EXP(-LN(2)/2))/(LN(2)/2)*FM188*FP188*VLOOKUP('Données projet'!$B$16,Paramètres!$A$1:$I$88,3,0)*0.475*44/12</f>
        <v>0</v>
      </c>
      <c r="FT188" s="24">
        <f t="shared" si="184"/>
        <v>0.24040569265548886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projet'!$B$9,Paramètres!$A$1:$I$88,3,0)*VLOOKUP('Données projet'!$B$9,Paramètres!$A$1:$I$88,5,0)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378.13552372917843</v>
      </c>
      <c r="T189" s="62">
        <f t="shared" si="142"/>
        <v>528.97123645404952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18.188895154510423</v>
      </c>
      <c r="AA189" s="23">
        <f>EXP(-LN(2)/25)*AA188+(1-EXP(-LN(2)/25))/(LN(2)/25)*Calculateur!V189*Calculateur!X189*VLOOKUP('Données projet'!$B$9,Paramètres!$A$1:$I$88,3,0)*0.475*44/12</f>
        <v>3.3329572997414383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21.52185245425186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projet'!$B$10,Paramètres!$A$1:$I$88,3,0)*VLOOKUP('Données projet'!$B$10,Paramètres!$A$1:$I$88,5,0)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289.79675810586025</v>
      </c>
      <c r="AN189" s="62">
        <f ca="1">AVERAGE(OFFSET($AM$3,0,0,'Données projet'!$E$10+1,1))-AVERAGE(OFFSET($H$3,0,0,'Données projet'!$E$10+1,1))</f>
        <v>536.3707066106856</v>
      </c>
      <c r="AO189" s="62">
        <f t="shared" si="144"/>
        <v>217.6280015974086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133.38131123530846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133.38131123530846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302.3</v>
      </c>
      <c r="BE189" s="14">
        <f>BD189*VLOOKUP('Données projet'!$B$11,Paramètres!$A$1:$I$88,3,0)*VLOOKUP('Données projet'!$B$11,Paramètres!$A$1:$I$88,5,0)</f>
        <v>180.77540000000005</v>
      </c>
      <c r="BF189" s="14">
        <f t="shared" si="167"/>
        <v>45.494655198846154</v>
      </c>
      <c r="BG189" s="22">
        <f t="shared" si="168"/>
        <v>394.08701280465715</v>
      </c>
      <c r="BH189" s="62">
        <f t="shared" si="116"/>
        <v>683.88377091051461</v>
      </c>
      <c r="BI189" s="62">
        <f ca="1">AVERAGE(OFFSET($BH$3,0,0,'Données projet'!$E$11+1,1))-AVERAGE(OFFSET($H$3,0,0,'Données projet'!$E$11+1,1))</f>
        <v>248.66193174773525</v>
      </c>
      <c r="BJ189" s="62">
        <f t="shared" si="146"/>
        <v>249.61655682981151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1.7106420402797602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4.5009276588405116E-19</v>
      </c>
      <c r="BS189" s="24">
        <f t="shared" si="169"/>
        <v>1.7106420402797602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860.00000000000023</v>
      </c>
      <c r="BZ189" s="14">
        <f>BY189*VLOOKUP('Données projet'!$B$12,Paramètres!$A$1:$I$88,3,0)*VLOOKUP('Données projet'!$B$12,Paramètres!$A$1:$I$88,5,0)</f>
        <v>346.5800000000001</v>
      </c>
      <c r="CA189" s="14">
        <f t="shared" si="170"/>
        <v>80.857895771535127</v>
      </c>
      <c r="CB189" s="22">
        <f t="shared" si="171"/>
        <v>744.45433513542378</v>
      </c>
      <c r="CC189" s="62">
        <f t="shared" si="119"/>
        <v>1034.2510932412811</v>
      </c>
      <c r="CD189" s="62">
        <f ca="1">AVERAGE(OFFSET($CC$3,0,0,'Données projet'!$E$12+1,1))-AVERAGE(OFFSET($H$3,0,0,'Données projet'!$E$12+1,1))</f>
        <v>432.59662347701629</v>
      </c>
      <c r="CE189" s="62">
        <f t="shared" si="148"/>
        <v>348.67401091099748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7.7058644321716852</v>
      </c>
      <c r="CL189" s="23">
        <f>EXP(-LN(2)/25)*CL188+(1-EXP(-LN(2)/25))/(LN(2)/25)*Calculateur!CG189*Calculateur!CI189*VLOOKUP('Données projet'!$B$12,Paramètres!$A$1:$I$88,3,0)*0.475*44/12</f>
        <v>3.6797087257314458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11.385573157903131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1099.9999999999998</v>
      </c>
      <c r="CU189" s="18">
        <f>CT189*VLOOKUP('Données projet'!$B$13,Paramètres!$A$1:$I$88,3,0)*VLOOKUP('Données projet'!$B$13,Paramètres!$A$1:$I$88,5,0)</f>
        <v>486.19999999999993</v>
      </c>
      <c r="CV189" s="14">
        <f t="shared" si="173"/>
        <v>109.0490179035375</v>
      </c>
      <c r="CW189" s="22">
        <f t="shared" si="174"/>
        <v>1036.725372848661</v>
      </c>
      <c r="CX189" s="62">
        <f t="shared" si="122"/>
        <v>1326.5221309545184</v>
      </c>
      <c r="CY189" s="62">
        <f ca="1">AVERAGE(OFFSET($CX$3,0,0,'Données projet'!$E$13+1,1))-AVERAGE(OFFSET($H$3,0,0,'Données projet'!$E$13+1,1))</f>
        <v>582.26951914082088</v>
      </c>
      <c r="CZ189" s="62">
        <f t="shared" si="150"/>
        <v>434.80429932654715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7.764726485837282</v>
      </c>
      <c r="DG189" s="23">
        <f>EXP(-LN(2)/25)*DG188+(1-EXP(-LN(2)/25))/(LN(2)/25)*Calculateur!DB189*Calculateur!DD189*VLOOKUP('Données projet'!$B$13,Paramètres!$A$1:$I$88,3,0)*0.475*44/12</f>
        <v>3.306504713386099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11.07123119922338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498.99999999999955</v>
      </c>
      <c r="DP189" s="18">
        <f>DO189*VLOOKUP('Données projet'!$B$14,Paramètres!$A$1:$I$88,3,0)*VLOOKUP('Données projet'!$B$14,Paramètres!$A$1:$I$88,5,0)</f>
        <v>240.01899999999978</v>
      </c>
      <c r="DQ189" s="14">
        <f t="shared" si="176"/>
        <v>58.443618405936313</v>
      </c>
      <c r="DR189" s="22">
        <f t="shared" si="177"/>
        <v>519.82239372367201</v>
      </c>
      <c r="DS189" s="62">
        <f t="shared" si="125"/>
        <v>809.61915182952941</v>
      </c>
      <c r="DT189" s="62">
        <f ca="1">AVERAGE(OFFSET($DS$3,0,0,'Données projet'!$E$14+1,1))-AVERAGE(OFFSET($H$3,0,0,'Données projet'!$E$14+1,1))</f>
        <v>273.24375559399846</v>
      </c>
      <c r="DU189" s="62">
        <f t="shared" si="152"/>
        <v>270.77718895097848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projet'!$B$14,Paramètres!$A$1:$I$88,3,0)*0.475*44/12</f>
        <v>3.9650948220969893</v>
      </c>
      <c r="EB189" s="23">
        <f>EXP(-LN(2)/25)*EB188+(1-EXP(-LN(2)/25))/(LN(2)/25)*Calculateur!DW189*Calculateur!DY189*VLOOKUP('Données projet'!$B$14,Paramètres!$A$1:$I$88,3,0)*0.475*44/12</f>
        <v>1.6126925961899077</v>
      </c>
      <c r="EC189" s="23">
        <f>EXP(-LN(2)/2)*EC188+(1-EXP(-LN(2)/2))/(LN(2)/2)*DW189*DZ189*VLOOKUP('Données projet'!$B$14,Paramètres!$A$1:$I$88,3,0)*0.475*44/12</f>
        <v>0</v>
      </c>
      <c r="ED189" s="24">
        <f t="shared" si="178"/>
        <v>5.5777874182868974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498.99999999999955</v>
      </c>
      <c r="EK189" s="18">
        <f>EJ189*VLOOKUP('Données projet'!$B$15,Paramètres!$A$1:$I$88,3,0)*VLOOKUP('Données projet'!$B$15,Paramètres!$A$1:$I$88,5,0)</f>
        <v>233.53199999999975</v>
      </c>
      <c r="EL189" s="14">
        <f t="shared" si="179"/>
        <v>57.04570382109803</v>
      </c>
      <c r="EM189" s="22">
        <f t="shared" si="180"/>
        <v>506.08950082174533</v>
      </c>
      <c r="EN189" s="62">
        <f t="shared" si="128"/>
        <v>795.88625892760274</v>
      </c>
      <c r="EO189" s="62">
        <f ca="1">AVERAGE(OFFSET($EN$3,0,0,'Données projet'!$E$15+1,1))-AVERAGE(OFFSET($H$3,0,0,'Données projet'!$E$15+1,1))</f>
        <v>267.26203506406682</v>
      </c>
      <c r="EP189" s="62">
        <f t="shared" si="154"/>
        <v>265.10857635664843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projet'!$B$15,Paramètres!$A$1:$I$88,3,0)*0.475*44/12</f>
        <v>3.8579300971754487</v>
      </c>
      <c r="EW189" s="23">
        <f>EXP(-LN(2)/25)*EW188+(1-EXP(-LN(2)/25))/(LN(2)/25)*Calculateur!ER189*Calculateur!ET189*VLOOKUP('Données projet'!$B$15,Paramètres!$A$1:$I$88,3,0)*0.475*44/12</f>
        <v>1.5691063098063955</v>
      </c>
      <c r="EX189" s="23">
        <f>EXP(-LN(2)/2)*EX188+(1-EXP(-LN(2)/2))/(LN(2)/2)*ER189*EU189*VLOOKUP('Données projet'!$B$15,Paramètres!$A$1:$I$88,3,0)*0.475*44/12</f>
        <v>0</v>
      </c>
      <c r="EY189" s="24">
        <f t="shared" si="181"/>
        <v>5.427036406981844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231</v>
      </c>
      <c r="FF189" s="18">
        <f>FE189*VLOOKUP('Données projet'!$B$16,Paramètres!$A$1:$I$88,3,0)*VLOOKUP('Données projet'!$B$16,Paramètres!$A$1:$I$88,5,0)</f>
        <v>169.36920000000001</v>
      </c>
      <c r="FG189" s="14">
        <f t="shared" si="182"/>
        <v>42.948714817158674</v>
      </c>
      <c r="FH189" s="22">
        <f t="shared" si="183"/>
        <v>369.787034973218</v>
      </c>
      <c r="FI189" s="62">
        <f t="shared" si="131"/>
        <v>659.58379307907535</v>
      </c>
      <c r="FJ189" s="62">
        <f ca="1">AVERAGE(OFFSET($FI$3,0,0,'Données projet'!$E$16+1,1))-AVERAGE(OFFSET($H$3,0,0,'Données projet'!$E$16+1,1))</f>
        <v>207.66160354686221</v>
      </c>
      <c r="FK189" s="62">
        <f t="shared" si="156"/>
        <v>260.45879589483525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projet'!$B$16,Paramètres!$A$1:$I$88,3,0)*0.475*44/12</f>
        <v>0.23569148365550843</v>
      </c>
      <c r="FR189" s="23">
        <f>EXP(-LN(2)/25)*FR188+(1-EXP(-LN(2)/25))/(LN(2)/25)*Calculateur!FM189*Calculateur!FO189*VLOOKUP('Données projet'!$B$16,Paramètres!$A$1:$I$88,3,0)*0.475*44/12</f>
        <v>0</v>
      </c>
      <c r="FS189" s="23">
        <f>EXP(-LN(2)/2)*FS188+(1-EXP(-LN(2)/2))/(LN(2)/2)*FM189*FP189*VLOOKUP('Données projet'!$B$16,Paramètres!$A$1:$I$88,3,0)*0.475*44/12</f>
        <v>0</v>
      </c>
      <c r="FT189" s="24">
        <f t="shared" si="184"/>
        <v>0.23569148365550843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projet'!$B$9,Paramètres!$A$1:$I$88,3,0)*VLOOKUP('Données projet'!$B$9,Paramètres!$A$1:$I$88,5,0)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378.13552372917843</v>
      </c>
      <c r="T190" s="62">
        <f t="shared" si="142"/>
        <v>528.97123645404952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17.832222014661063</v>
      </c>
      <c r="AA190" s="23">
        <f>EXP(-LN(2)/25)*AA189+(1-EXP(-LN(2)/25))/(LN(2)/25)*Calculateur!V190*Calculateur!X190*VLOOKUP('Données projet'!$B$9,Paramètres!$A$1:$I$88,3,0)*0.475*44/12</f>
        <v>3.2418174071074017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21.074039421768465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projet'!$B$10,Paramètres!$A$1:$I$88,3,0)*VLOOKUP('Données projet'!$B$10,Paramètres!$A$1:$I$88,5,0)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289.85810977945926</v>
      </c>
      <c r="AN190" s="62">
        <f ca="1">AVERAGE(OFFSET($AM$3,0,0,'Données projet'!$E$10+1,1))-AVERAGE(OFFSET($H$3,0,0,'Données projet'!$E$10+1,1))</f>
        <v>536.3707066106856</v>
      </c>
      <c r="AO190" s="62">
        <f t="shared" si="144"/>
        <v>217.6280015974086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130.76578507655083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130.76578507655083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302.3</v>
      </c>
      <c r="BE190" s="14">
        <f>BD190*VLOOKUP('Données projet'!$B$11,Paramètres!$A$1:$I$88,3,0)*VLOOKUP('Données projet'!$B$11,Paramètres!$A$1:$I$88,5,0)</f>
        <v>180.77540000000005</v>
      </c>
      <c r="BF190" s="14">
        <f t="shared" si="167"/>
        <v>45.494655198846154</v>
      </c>
      <c r="BG190" s="22">
        <f t="shared" si="168"/>
        <v>394.08701280465715</v>
      </c>
      <c r="BH190" s="62">
        <f t="shared" si="116"/>
        <v>683.94512258411351</v>
      </c>
      <c r="BI190" s="62">
        <f ca="1">AVERAGE(OFFSET($BH$3,0,0,'Données projet'!$E$11+1,1))-AVERAGE(OFFSET($H$3,0,0,'Données projet'!$E$11+1,1))</f>
        <v>248.66193174773525</v>
      </c>
      <c r="BJ190" s="62">
        <f t="shared" si="146"/>
        <v>249.61655682981151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1.6770973932584925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3.1826364691962173E-19</v>
      </c>
      <c r="BS190" s="24">
        <f t="shared" si="169"/>
        <v>1.6770973932584925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860.00000000000023</v>
      </c>
      <c r="BZ190" s="14">
        <f>BY190*VLOOKUP('Données projet'!$B$12,Paramètres!$A$1:$I$88,3,0)*VLOOKUP('Données projet'!$B$12,Paramètres!$A$1:$I$88,5,0)</f>
        <v>346.5800000000001</v>
      </c>
      <c r="CA190" s="14">
        <f t="shared" si="170"/>
        <v>80.857895771535127</v>
      </c>
      <c r="CB190" s="22">
        <f t="shared" si="171"/>
        <v>744.45433513542378</v>
      </c>
      <c r="CC190" s="62">
        <f t="shared" si="119"/>
        <v>1034.3124449148802</v>
      </c>
      <c r="CD190" s="62">
        <f ca="1">AVERAGE(OFFSET($CC$3,0,0,'Données projet'!$E$12+1,1))-AVERAGE(OFFSET($H$3,0,0,'Données projet'!$E$12+1,1))</f>
        <v>432.59662347701629</v>
      </c>
      <c r="CE190" s="62">
        <f t="shared" si="148"/>
        <v>348.67401091099748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7.5547571307700041</v>
      </c>
      <c r="CL190" s="23">
        <f>EXP(-LN(2)/25)*CL189+(1-EXP(-LN(2)/25))/(LN(2)/25)*Calculateur!CG190*Calculateur!CI190*VLOOKUP('Données projet'!$B$12,Paramètres!$A$1:$I$88,3,0)*0.475*44/12</f>
        <v>3.5790868971188474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11.133844027888852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1099.9999999999998</v>
      </c>
      <c r="CU190" s="18">
        <f>CT190*VLOOKUP('Données projet'!$B$13,Paramètres!$A$1:$I$88,3,0)*VLOOKUP('Données projet'!$B$13,Paramètres!$A$1:$I$88,5,0)</f>
        <v>486.19999999999993</v>
      </c>
      <c r="CV190" s="14">
        <f t="shared" si="173"/>
        <v>109.0490179035375</v>
      </c>
      <c r="CW190" s="22">
        <f t="shared" si="174"/>
        <v>1036.725372848661</v>
      </c>
      <c r="CX190" s="62">
        <f t="shared" si="122"/>
        <v>1326.5834826281175</v>
      </c>
      <c r="CY190" s="62">
        <f ca="1">AVERAGE(OFFSET($CX$3,0,0,'Données projet'!$E$13+1,1))-AVERAGE(OFFSET($H$3,0,0,'Données projet'!$E$13+1,1))</f>
        <v>582.26951914082088</v>
      </c>
      <c r="CZ190" s="62">
        <f t="shared" si="150"/>
        <v>434.80429932654715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7.6124649354655265</v>
      </c>
      <c r="DG190" s="23">
        <f>EXP(-LN(2)/25)*DG189+(1-EXP(-LN(2)/25))/(LN(2)/25)*Calculateur!DB190*Calculateur!DD190*VLOOKUP('Données projet'!$B$13,Paramètres!$A$1:$I$88,3,0)*0.475*44/12</f>
        <v>3.2160881681170301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10.828553103582557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498.99999999999955</v>
      </c>
      <c r="DP190" s="18">
        <f>DO190*VLOOKUP('Données projet'!$B$14,Paramètres!$A$1:$I$88,3,0)*VLOOKUP('Données projet'!$B$14,Paramètres!$A$1:$I$88,5,0)</f>
        <v>240.01899999999978</v>
      </c>
      <c r="DQ190" s="14">
        <f t="shared" si="176"/>
        <v>58.443618405936313</v>
      </c>
      <c r="DR190" s="22">
        <f t="shared" si="177"/>
        <v>519.82239372367201</v>
      </c>
      <c r="DS190" s="62">
        <f t="shared" si="125"/>
        <v>809.68050350312842</v>
      </c>
      <c r="DT190" s="62">
        <f ca="1">AVERAGE(OFFSET($DS$3,0,0,'Données projet'!$E$14+1,1))-AVERAGE(OFFSET($H$3,0,0,'Données projet'!$E$14+1,1))</f>
        <v>273.24375559399846</v>
      </c>
      <c r="DU190" s="62">
        <f t="shared" si="152"/>
        <v>270.77718895097848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projet'!$B$14,Paramètres!$A$1:$I$88,3,0)*0.475*44/12</f>
        <v>3.8873417311047049</v>
      </c>
      <c r="EB190" s="23">
        <f>EXP(-LN(2)/25)*EB189+(1-EXP(-LN(2)/25))/(LN(2)/25)*Calculateur!DW190*Calculateur!DY190*VLOOKUP('Données projet'!$B$14,Paramètres!$A$1:$I$88,3,0)*0.475*44/12</f>
        <v>1.5685934323392769</v>
      </c>
      <c r="EC190" s="23">
        <f>EXP(-LN(2)/2)*EC189+(1-EXP(-LN(2)/2))/(LN(2)/2)*DW190*DZ190*VLOOKUP('Données projet'!$B$14,Paramètres!$A$1:$I$88,3,0)*0.475*44/12</f>
        <v>0</v>
      </c>
      <c r="ED190" s="24">
        <f t="shared" si="178"/>
        <v>5.4559351634439821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498.99999999999955</v>
      </c>
      <c r="EK190" s="18">
        <f>EJ190*VLOOKUP('Données projet'!$B$15,Paramètres!$A$1:$I$88,3,0)*VLOOKUP('Données projet'!$B$15,Paramètres!$A$1:$I$88,5,0)</f>
        <v>233.53199999999975</v>
      </c>
      <c r="EL190" s="14">
        <f t="shared" si="179"/>
        <v>57.04570382109803</v>
      </c>
      <c r="EM190" s="22">
        <f t="shared" si="180"/>
        <v>506.08950082174533</v>
      </c>
      <c r="EN190" s="62">
        <f t="shared" si="128"/>
        <v>795.94761060120175</v>
      </c>
      <c r="EO190" s="62">
        <f ca="1">AVERAGE(OFFSET($EN$3,0,0,'Données projet'!$E$15+1,1))-AVERAGE(OFFSET($H$3,0,0,'Données projet'!$E$15+1,1))</f>
        <v>267.26203506406682</v>
      </c>
      <c r="EP190" s="62">
        <f t="shared" si="154"/>
        <v>265.10857635664843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projet'!$B$15,Paramètres!$A$1:$I$88,3,0)*0.475*44/12</f>
        <v>3.7822784410748476</v>
      </c>
      <c r="EW190" s="23">
        <f>EXP(-LN(2)/25)*EW189+(1-EXP(-LN(2)/25))/(LN(2)/25)*Calculateur!ER190*Calculateur!ET190*VLOOKUP('Données projet'!$B$15,Paramètres!$A$1:$I$88,3,0)*0.475*44/12</f>
        <v>1.526199015249025</v>
      </c>
      <c r="EX190" s="23">
        <f>EXP(-LN(2)/2)*EX189+(1-EXP(-LN(2)/2))/(LN(2)/2)*ER190*EU190*VLOOKUP('Données projet'!$B$15,Paramètres!$A$1:$I$88,3,0)*0.475*44/12</f>
        <v>0</v>
      </c>
      <c r="EY190" s="24">
        <f t="shared" si="181"/>
        <v>5.3084774563238728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231</v>
      </c>
      <c r="FF190" s="18">
        <f>FE190*VLOOKUP('Données projet'!$B$16,Paramètres!$A$1:$I$88,3,0)*VLOOKUP('Données projet'!$B$16,Paramètres!$A$1:$I$88,5,0)</f>
        <v>169.36920000000001</v>
      </c>
      <c r="FG190" s="14">
        <f t="shared" si="182"/>
        <v>42.948714817158674</v>
      </c>
      <c r="FH190" s="22">
        <f t="shared" si="183"/>
        <v>369.787034973218</v>
      </c>
      <c r="FI190" s="62">
        <f t="shared" si="131"/>
        <v>659.64514475267447</v>
      </c>
      <c r="FJ190" s="62">
        <f ca="1">AVERAGE(OFFSET($FI$3,0,0,'Données projet'!$E$16+1,1))-AVERAGE(OFFSET($H$3,0,0,'Données projet'!$E$16+1,1))</f>
        <v>207.66160354686221</v>
      </c>
      <c r="FK190" s="62">
        <f t="shared" si="156"/>
        <v>260.45879589483525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projet'!$B$16,Paramètres!$A$1:$I$88,3,0)*0.475*44/12</f>
        <v>0.23106971741863405</v>
      </c>
      <c r="FR190" s="23">
        <f>EXP(-LN(2)/25)*FR189+(1-EXP(-LN(2)/25))/(LN(2)/25)*Calculateur!FM190*Calculateur!FO190*VLOOKUP('Données projet'!$B$16,Paramètres!$A$1:$I$88,3,0)*0.475*44/12</f>
        <v>0</v>
      </c>
      <c r="FS190" s="23">
        <f>EXP(-LN(2)/2)*FS189+(1-EXP(-LN(2)/2))/(LN(2)/2)*FM190*FP190*VLOOKUP('Données projet'!$B$16,Paramètres!$A$1:$I$88,3,0)*0.475*44/12</f>
        <v>0</v>
      </c>
      <c r="FT190" s="24">
        <f t="shared" si="184"/>
        <v>0.23106971741863405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projet'!$B$9,Paramètres!$A$1:$I$88,3,0)*VLOOKUP('Données projet'!$B$9,Paramètres!$A$1:$I$88,5,0)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378.13552372917843</v>
      </c>
      <c r="T191" s="62">
        <f t="shared" si="142"/>
        <v>528.97123645404952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17.482543017535015</v>
      </c>
      <c r="AA191" s="23">
        <f>EXP(-LN(2)/25)*AA190+(1-EXP(-LN(2)/25))/(LN(2)/25)*Calculateur!V191*Calculateur!X191*VLOOKUP('Données projet'!$B$9,Paramètres!$A$1:$I$88,3,0)*0.475*44/12</f>
        <v>3.1531697396302816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20.635712757165297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projet'!$B$10,Paramètres!$A$1:$I$88,3,0)*VLOOKUP('Données projet'!$B$10,Paramètres!$A$1:$I$88,5,0)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289.91839713868308</v>
      </c>
      <c r="AN191" s="62">
        <f ca="1">AVERAGE(OFFSET($AM$3,0,0,'Données projet'!$E$10+1,1))-AVERAGE(OFFSET($H$3,0,0,'Données projet'!$E$10+1,1))</f>
        <v>536.3707066106856</v>
      </c>
      <c r="AO191" s="62">
        <f t="shared" si="144"/>
        <v>217.6280015974086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128.20154779045299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128.20154779045299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302.3</v>
      </c>
      <c r="BE191" s="14">
        <f>BD191*VLOOKUP('Données projet'!$B$11,Paramètres!$A$1:$I$88,3,0)*VLOOKUP('Données projet'!$B$11,Paramètres!$A$1:$I$88,5,0)</f>
        <v>180.77540000000005</v>
      </c>
      <c r="BF191" s="14">
        <f t="shared" si="167"/>
        <v>45.494655198846154</v>
      </c>
      <c r="BG191" s="22">
        <f t="shared" si="168"/>
        <v>394.08701280465715</v>
      </c>
      <c r="BH191" s="62">
        <f t="shared" si="116"/>
        <v>684.00540994333733</v>
      </c>
      <c r="BI191" s="62">
        <f ca="1">AVERAGE(OFFSET($BH$3,0,0,'Données projet'!$E$11+1,1))-AVERAGE(OFFSET($H$3,0,0,'Données projet'!$E$11+1,1))</f>
        <v>248.66193174773525</v>
      </c>
      <c r="BJ191" s="62">
        <f t="shared" si="146"/>
        <v>249.61655682981151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1.6442105363050976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2.2504638294202558E-19</v>
      </c>
      <c r="BS191" s="24">
        <f t="shared" si="169"/>
        <v>1.6442105363050976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860.00000000000023</v>
      </c>
      <c r="BZ191" s="14">
        <f>BY191*VLOOKUP('Données projet'!$B$12,Paramètres!$A$1:$I$88,3,0)*VLOOKUP('Données projet'!$B$12,Paramètres!$A$1:$I$88,5,0)</f>
        <v>346.5800000000001</v>
      </c>
      <c r="CA191" s="14">
        <f t="shared" si="170"/>
        <v>80.857895771535127</v>
      </c>
      <c r="CB191" s="22">
        <f t="shared" si="171"/>
        <v>744.45433513542378</v>
      </c>
      <c r="CC191" s="62">
        <f t="shared" si="119"/>
        <v>1034.372732274104</v>
      </c>
      <c r="CD191" s="62">
        <f ca="1">AVERAGE(OFFSET($CC$3,0,0,'Données projet'!$E$12+1,1))-AVERAGE(OFFSET($H$3,0,0,'Données projet'!$E$12+1,1))</f>
        <v>432.59662347701629</v>
      </c>
      <c r="CE191" s="62">
        <f t="shared" si="148"/>
        <v>348.67401091099748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7.4066129513824572</v>
      </c>
      <c r="CL191" s="23">
        <f>EXP(-LN(2)/25)*CL190+(1-EXP(-LN(2)/25))/(LN(2)/25)*Calculateur!CG191*Calculateur!CI191*VLOOKUP('Données projet'!$B$12,Paramètres!$A$1:$I$88,3,0)*0.475*44/12</f>
        <v>3.4812165777011326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10.887829529083589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1099.9999999999998</v>
      </c>
      <c r="CU191" s="18">
        <f>CT191*VLOOKUP('Données projet'!$B$13,Paramètres!$A$1:$I$88,3,0)*VLOOKUP('Données projet'!$B$13,Paramètres!$A$1:$I$88,5,0)</f>
        <v>486.19999999999993</v>
      </c>
      <c r="CV191" s="14">
        <f t="shared" si="173"/>
        <v>109.0490179035375</v>
      </c>
      <c r="CW191" s="22">
        <f t="shared" si="174"/>
        <v>1036.725372848661</v>
      </c>
      <c r="CX191" s="62">
        <f t="shared" si="122"/>
        <v>1326.6437699873413</v>
      </c>
      <c r="CY191" s="62">
        <f ca="1">AVERAGE(OFFSET($CX$3,0,0,'Données projet'!$E$13+1,1))-AVERAGE(OFFSET($H$3,0,0,'Données projet'!$E$13+1,1))</f>
        <v>582.26951914082088</v>
      </c>
      <c r="CZ191" s="62">
        <f t="shared" si="150"/>
        <v>434.80429932654715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7.4631891412261853</v>
      </c>
      <c r="DG191" s="23">
        <f>EXP(-LN(2)/25)*DG190+(1-EXP(-LN(2)/25))/(LN(2)/25)*Calculateur!DB191*Calculateur!DD191*VLOOKUP('Données projet'!$B$13,Paramètres!$A$1:$I$88,3,0)*0.475*44/12</f>
        <v>3.1281440680331438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10.591333209259329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498.99999999999955</v>
      </c>
      <c r="DP191" s="18">
        <f>DO191*VLOOKUP('Données projet'!$B$14,Paramètres!$A$1:$I$88,3,0)*VLOOKUP('Données projet'!$B$14,Paramètres!$A$1:$I$88,5,0)</f>
        <v>240.01899999999978</v>
      </c>
      <c r="DQ191" s="14">
        <f t="shared" si="176"/>
        <v>58.443618405936313</v>
      </c>
      <c r="DR191" s="22">
        <f t="shared" si="177"/>
        <v>519.82239372367201</v>
      </c>
      <c r="DS191" s="62">
        <f t="shared" si="125"/>
        <v>809.74079086235224</v>
      </c>
      <c r="DT191" s="62">
        <f ca="1">AVERAGE(OFFSET($DS$3,0,0,'Données projet'!$E$14+1,1))-AVERAGE(OFFSET($H$3,0,0,'Données projet'!$E$14+1,1))</f>
        <v>273.24375559399846</v>
      </c>
      <c r="DU191" s="62">
        <f t="shared" si="152"/>
        <v>270.77718895097848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projet'!$B$14,Paramètres!$A$1:$I$88,3,0)*0.475*44/12</f>
        <v>3.8111133308020766</v>
      </c>
      <c r="EB191" s="23">
        <f>EXP(-LN(2)/25)*EB190+(1-EXP(-LN(2)/25))/(LN(2)/25)*Calculateur!DW191*Calculateur!DY191*VLOOKUP('Données projet'!$B$14,Paramètres!$A$1:$I$88,3,0)*0.475*44/12</f>
        <v>1.5257001624432158</v>
      </c>
      <c r="EC191" s="23">
        <f>EXP(-LN(2)/2)*EC190+(1-EXP(-LN(2)/2))/(LN(2)/2)*DW191*DZ191*VLOOKUP('Données projet'!$B$14,Paramètres!$A$1:$I$88,3,0)*0.475*44/12</f>
        <v>0</v>
      </c>
      <c r="ED191" s="24">
        <f t="shared" si="178"/>
        <v>5.3368134932452929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498.99999999999955</v>
      </c>
      <c r="EK191" s="18">
        <f>EJ191*VLOOKUP('Données projet'!$B$15,Paramètres!$A$1:$I$88,3,0)*VLOOKUP('Données projet'!$B$15,Paramètres!$A$1:$I$88,5,0)</f>
        <v>233.53199999999975</v>
      </c>
      <c r="EL191" s="14">
        <f t="shared" si="179"/>
        <v>57.04570382109803</v>
      </c>
      <c r="EM191" s="22">
        <f t="shared" si="180"/>
        <v>506.08950082174533</v>
      </c>
      <c r="EN191" s="62">
        <f t="shared" si="128"/>
        <v>796.00789796042557</v>
      </c>
      <c r="EO191" s="62">
        <f ca="1">AVERAGE(OFFSET($EN$3,0,0,'Données projet'!$E$15+1,1))-AVERAGE(OFFSET($H$3,0,0,'Données projet'!$E$15+1,1))</f>
        <v>267.26203506406682</v>
      </c>
      <c r="EP191" s="62">
        <f t="shared" si="154"/>
        <v>265.10857635664843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projet'!$B$15,Paramètres!$A$1:$I$88,3,0)*0.475*44/12</f>
        <v>3.7081102678074251</v>
      </c>
      <c r="EW191" s="23">
        <f>EXP(-LN(2)/25)*EW190+(1-EXP(-LN(2)/25))/(LN(2)/25)*Calculateur!ER191*Calculateur!ET191*VLOOKUP('Données projet'!$B$15,Paramètres!$A$1:$I$88,3,0)*0.475*44/12</f>
        <v>1.4844650229177223</v>
      </c>
      <c r="EX191" s="23">
        <f>EXP(-LN(2)/2)*EX190+(1-EXP(-LN(2)/2))/(LN(2)/2)*ER191*EU191*VLOOKUP('Données projet'!$B$15,Paramètres!$A$1:$I$88,3,0)*0.475*44/12</f>
        <v>0</v>
      </c>
      <c r="EY191" s="24">
        <f t="shared" si="181"/>
        <v>5.1925752907251477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231</v>
      </c>
      <c r="FF191" s="18">
        <f>FE191*VLOOKUP('Données projet'!$B$16,Paramètres!$A$1:$I$88,3,0)*VLOOKUP('Données projet'!$B$16,Paramètres!$A$1:$I$88,5,0)</f>
        <v>169.36920000000001</v>
      </c>
      <c r="FG191" s="14">
        <f t="shared" si="182"/>
        <v>42.948714817158674</v>
      </c>
      <c r="FH191" s="22">
        <f t="shared" si="183"/>
        <v>369.787034973218</v>
      </c>
      <c r="FI191" s="62">
        <f t="shared" si="131"/>
        <v>659.70543211189829</v>
      </c>
      <c r="FJ191" s="62">
        <f ca="1">AVERAGE(OFFSET($FI$3,0,0,'Données projet'!$E$16+1,1))-AVERAGE(OFFSET($H$3,0,0,'Données projet'!$E$16+1,1))</f>
        <v>207.66160354686221</v>
      </c>
      <c r="FK191" s="62">
        <f t="shared" si="156"/>
        <v>260.45879589483525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projet'!$B$16,Paramètres!$A$1:$I$88,3,0)*0.475*44/12</f>
        <v>0.22653858119866574</v>
      </c>
      <c r="FR191" s="23">
        <f>EXP(-LN(2)/25)*FR190+(1-EXP(-LN(2)/25))/(LN(2)/25)*Calculateur!FM191*Calculateur!FO191*VLOOKUP('Données projet'!$B$16,Paramètres!$A$1:$I$88,3,0)*0.475*44/12</f>
        <v>0</v>
      </c>
      <c r="FS191" s="23">
        <f>EXP(-LN(2)/2)*FS190+(1-EXP(-LN(2)/2))/(LN(2)/2)*FM191*FP191*VLOOKUP('Données projet'!$B$16,Paramètres!$A$1:$I$88,3,0)*0.475*44/12</f>
        <v>0</v>
      </c>
      <c r="FT191" s="24">
        <f t="shared" si="184"/>
        <v>0.22653858119866574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projet'!$B$9,Paramètres!$A$1:$I$88,3,0)*VLOOKUP('Données projet'!$B$9,Paramètres!$A$1:$I$88,5,0)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378.13552372917843</v>
      </c>
      <c r="T192" s="62">
        <f t="shared" si="142"/>
        <v>528.97123645404952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17.139721012259482</v>
      </c>
      <c r="AA192" s="23">
        <f>EXP(-LN(2)/25)*AA191+(1-EXP(-LN(2)/25))/(LN(2)/25)*Calculateur!V192*Calculateur!X192*VLOOKUP('Données projet'!$B$9,Paramètres!$A$1:$I$88,3,0)*0.475*44/12</f>
        <v>3.0669461472821018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20.206667159541585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projet'!$B$10,Paramètres!$A$1:$I$88,3,0)*VLOOKUP('Données projet'!$B$10,Paramètres!$A$1:$I$88,5,0)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289.9776386470067</v>
      </c>
      <c r="AN192" s="62">
        <f ca="1">AVERAGE(OFFSET($AM$3,0,0,'Données projet'!$E$10+1,1))-AVERAGE(OFFSET($H$3,0,0,'Données projet'!$E$10+1,1))</f>
        <v>536.3707066106856</v>
      </c>
      <c r="AO192" s="62">
        <f t="shared" si="144"/>
        <v>217.6280015974086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125.68759363350523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125.68759363350523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302.3</v>
      </c>
      <c r="BE192" s="14">
        <f>BD192*VLOOKUP('Données projet'!$B$11,Paramètres!$A$1:$I$88,3,0)*VLOOKUP('Données projet'!$B$11,Paramètres!$A$1:$I$88,5,0)</f>
        <v>180.77540000000005</v>
      </c>
      <c r="BF192" s="14">
        <f t="shared" si="167"/>
        <v>45.494655198846154</v>
      </c>
      <c r="BG192" s="22">
        <f t="shared" si="168"/>
        <v>394.08701280465715</v>
      </c>
      <c r="BH192" s="62">
        <f t="shared" si="116"/>
        <v>684.06465145166101</v>
      </c>
      <c r="BI192" s="62">
        <f ca="1">AVERAGE(OFFSET($BH$3,0,0,'Données projet'!$E$11+1,1))-AVERAGE(OFFSET($H$3,0,0,'Données projet'!$E$11+1,1))</f>
        <v>248.66193174773525</v>
      </c>
      <c r="BJ192" s="62">
        <f t="shared" si="146"/>
        <v>249.61655682981151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1.6119685705575566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1.5913182345981087E-19</v>
      </c>
      <c r="BS192" s="24">
        <f t="shared" si="169"/>
        <v>1.6119685705575566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860.00000000000023</v>
      </c>
      <c r="BZ192" s="14">
        <f>BY192*VLOOKUP('Données projet'!$B$12,Paramètres!$A$1:$I$88,3,0)*VLOOKUP('Données projet'!$B$12,Paramètres!$A$1:$I$88,5,0)</f>
        <v>346.5800000000001</v>
      </c>
      <c r="CA192" s="14">
        <f t="shared" si="170"/>
        <v>80.857895771535127</v>
      </c>
      <c r="CB192" s="22">
        <f t="shared" si="171"/>
        <v>744.45433513542378</v>
      </c>
      <c r="CC192" s="62">
        <f t="shared" si="119"/>
        <v>1034.4319737824276</v>
      </c>
      <c r="CD192" s="62">
        <f ca="1">AVERAGE(OFFSET($CC$3,0,0,'Données projet'!$E$12+1,1))-AVERAGE(OFFSET($H$3,0,0,'Données projet'!$E$12+1,1))</f>
        <v>432.59662347701629</v>
      </c>
      <c r="CE192" s="62">
        <f t="shared" si="148"/>
        <v>348.67401091099748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7.2613737889936729</v>
      </c>
      <c r="CL192" s="23">
        <f>EXP(-LN(2)/25)*CL191+(1-EXP(-LN(2)/25))/(LN(2)/25)*Calculateur!CG192*Calculateur!CI192*VLOOKUP('Données projet'!$B$12,Paramètres!$A$1:$I$88,3,0)*0.475*44/12</f>
        <v>3.3860225273146716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10.647396316308345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1099.9999999999998</v>
      </c>
      <c r="CU192" s="18">
        <f>CT192*VLOOKUP('Données projet'!$B$13,Paramètres!$A$1:$I$88,3,0)*VLOOKUP('Données projet'!$B$13,Paramètres!$A$1:$I$88,5,0)</f>
        <v>486.19999999999993</v>
      </c>
      <c r="CV192" s="14">
        <f t="shared" si="173"/>
        <v>109.0490179035375</v>
      </c>
      <c r="CW192" s="22">
        <f t="shared" si="174"/>
        <v>1036.725372848661</v>
      </c>
      <c r="CX192" s="62">
        <f t="shared" si="122"/>
        <v>1326.7030114956649</v>
      </c>
      <c r="CY192" s="62">
        <f ca="1">AVERAGE(OFFSET($CX$3,0,0,'Données projet'!$E$13+1,1))-AVERAGE(OFFSET($H$3,0,0,'Données projet'!$E$13+1,1))</f>
        <v>582.26951914082088</v>
      </c>
      <c r="CZ192" s="62">
        <f t="shared" si="150"/>
        <v>434.80429932654715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7.316840554262634</v>
      </c>
      <c r="DG192" s="23">
        <f>EXP(-LN(2)/25)*DG191+(1-EXP(-LN(2)/25))/(LN(2)/25)*Calculateur!DB192*Calculateur!DD192*VLOOKUP('Données projet'!$B$13,Paramètres!$A$1:$I$88,3,0)*0.475*44/12</f>
        <v>3.0426048039908302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10.359445358253463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498.99999999999955</v>
      </c>
      <c r="DP192" s="18">
        <f>DO192*VLOOKUP('Données projet'!$B$14,Paramètres!$A$1:$I$88,3,0)*VLOOKUP('Données projet'!$B$14,Paramètres!$A$1:$I$88,5,0)</f>
        <v>240.01899999999978</v>
      </c>
      <c r="DQ192" s="14">
        <f t="shared" si="176"/>
        <v>58.443618405936313</v>
      </c>
      <c r="DR192" s="22">
        <f t="shared" si="177"/>
        <v>519.82239372367201</v>
      </c>
      <c r="DS192" s="62">
        <f t="shared" si="125"/>
        <v>809.80003237067581</v>
      </c>
      <c r="DT192" s="62">
        <f ca="1">AVERAGE(OFFSET($DS$3,0,0,'Données projet'!$E$14+1,1))-AVERAGE(OFFSET($H$3,0,0,'Données projet'!$E$14+1,1))</f>
        <v>273.24375559399846</v>
      </c>
      <c r="DU192" s="62">
        <f t="shared" si="152"/>
        <v>270.77718895097848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projet'!$B$14,Paramètres!$A$1:$I$88,3,0)*0.475*44/12</f>
        <v>3.7363797229346494</v>
      </c>
      <c r="EB192" s="23">
        <f>EXP(-LN(2)/25)*EB191+(1-EXP(-LN(2)/25))/(LN(2)/25)*Calculateur!DW192*Calculateur!DY192*VLOOKUP('Données projet'!$B$14,Paramètres!$A$1:$I$88,3,0)*0.475*44/12</f>
        <v>1.4839798112681215</v>
      </c>
      <c r="EC192" s="23">
        <f>EXP(-LN(2)/2)*EC191+(1-EXP(-LN(2)/2))/(LN(2)/2)*DW192*DZ192*VLOOKUP('Données projet'!$B$14,Paramètres!$A$1:$I$88,3,0)*0.475*44/12</f>
        <v>0</v>
      </c>
      <c r="ED192" s="24">
        <f t="shared" si="178"/>
        <v>5.2203595342027711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498.99999999999955</v>
      </c>
      <c r="EK192" s="18">
        <f>EJ192*VLOOKUP('Données projet'!$B$15,Paramètres!$A$1:$I$88,3,0)*VLOOKUP('Données projet'!$B$15,Paramètres!$A$1:$I$88,5,0)</f>
        <v>233.53199999999975</v>
      </c>
      <c r="EL192" s="14">
        <f t="shared" si="179"/>
        <v>57.04570382109803</v>
      </c>
      <c r="EM192" s="22">
        <f t="shared" si="180"/>
        <v>506.08950082174533</v>
      </c>
      <c r="EN192" s="62">
        <f t="shared" si="128"/>
        <v>796.06713946874925</v>
      </c>
      <c r="EO192" s="62">
        <f ca="1">AVERAGE(OFFSET($EN$3,0,0,'Données projet'!$E$15+1,1))-AVERAGE(OFFSET($H$3,0,0,'Données projet'!$E$15+1,1))</f>
        <v>267.26203506406682</v>
      </c>
      <c r="EP192" s="62">
        <f t="shared" si="154"/>
        <v>265.10857635664843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projet'!$B$15,Paramètres!$A$1:$I$88,3,0)*0.475*44/12</f>
        <v>3.635396487179658</v>
      </c>
      <c r="EW192" s="23">
        <f>EXP(-LN(2)/25)*EW191+(1-EXP(-LN(2)/25))/(LN(2)/25)*Calculateur!ER192*Calculateur!ET192*VLOOKUP('Données projet'!$B$15,Paramètres!$A$1:$I$88,3,0)*0.475*44/12</f>
        <v>1.4438722488014144</v>
      </c>
      <c r="EX192" s="23">
        <f>EXP(-LN(2)/2)*EX191+(1-EXP(-LN(2)/2))/(LN(2)/2)*ER192*EU192*VLOOKUP('Données projet'!$B$15,Paramètres!$A$1:$I$88,3,0)*0.475*44/12</f>
        <v>0</v>
      </c>
      <c r="EY192" s="24">
        <f t="shared" si="181"/>
        <v>5.0792687359810724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231</v>
      </c>
      <c r="FF192" s="18">
        <f>FE192*VLOOKUP('Données projet'!$B$16,Paramètres!$A$1:$I$88,3,0)*VLOOKUP('Données projet'!$B$16,Paramètres!$A$1:$I$88,5,0)</f>
        <v>169.36920000000001</v>
      </c>
      <c r="FG192" s="14">
        <f t="shared" si="182"/>
        <v>42.948714817158674</v>
      </c>
      <c r="FH192" s="22">
        <f t="shared" si="183"/>
        <v>369.787034973218</v>
      </c>
      <c r="FI192" s="62">
        <f t="shared" si="131"/>
        <v>659.76467362022186</v>
      </c>
      <c r="FJ192" s="62">
        <f ca="1">AVERAGE(OFFSET($FI$3,0,0,'Données projet'!$E$16+1,1))-AVERAGE(OFFSET($H$3,0,0,'Données projet'!$E$16+1,1))</f>
        <v>207.66160354686221</v>
      </c>
      <c r="FK192" s="62">
        <f t="shared" si="156"/>
        <v>260.45879589483525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projet'!$B$16,Paramètres!$A$1:$I$88,3,0)*0.475*44/12</f>
        <v>0.22209629779625079</v>
      </c>
      <c r="FR192" s="23">
        <f>EXP(-LN(2)/25)*FR191+(1-EXP(-LN(2)/25))/(LN(2)/25)*Calculateur!FM192*Calculateur!FO192*VLOOKUP('Données projet'!$B$16,Paramètres!$A$1:$I$88,3,0)*0.475*44/12</f>
        <v>0</v>
      </c>
      <c r="FS192" s="23">
        <f>EXP(-LN(2)/2)*FS191+(1-EXP(-LN(2)/2))/(LN(2)/2)*FM192*FP192*VLOOKUP('Données projet'!$B$16,Paramètres!$A$1:$I$88,3,0)*0.475*44/12</f>
        <v>0</v>
      </c>
      <c r="FT192" s="24">
        <f t="shared" si="184"/>
        <v>0.22209629779625079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projet'!$B$9,Paramètres!$A$1:$I$88,3,0)*VLOOKUP('Données projet'!$B$9,Paramètres!$A$1:$I$88,5,0)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378.13552372917843</v>
      </c>
      <c r="T193" s="62">
        <f t="shared" si="142"/>
        <v>528.97123645404952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16.803621537406624</v>
      </c>
      <c r="AA193" s="23">
        <f>EXP(-LN(2)/25)*AA192+(1-EXP(-LN(2)/25))/(LN(2)/25)*Calculateur!V193*Calculateur!X193*VLOOKUP('Données projet'!$B$9,Paramètres!$A$1:$I$88,3,0)*0.475*44/12</f>
        <v>2.9830803436009843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19.786701881007609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projet'!$B$10,Paramètres!$A$1:$I$88,3,0)*VLOOKUP('Données projet'!$B$10,Paramètres!$A$1:$I$88,5,0)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290.03585244760512</v>
      </c>
      <c r="AN193" s="62">
        <f ca="1">AVERAGE(OFFSET($AM$3,0,0,'Données projet'!$E$10+1,1))-AVERAGE(OFFSET($H$3,0,0,'Données projet'!$E$10+1,1))</f>
        <v>536.3707066106856</v>
      </c>
      <c r="AO193" s="62">
        <f t="shared" si="144"/>
        <v>217.6280015974086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123.22293658421458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123.22293658421458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302.3</v>
      </c>
      <c r="BE193" s="14">
        <f>BD193*VLOOKUP('Données projet'!$B$11,Paramètres!$A$1:$I$88,3,0)*VLOOKUP('Données projet'!$B$11,Paramètres!$A$1:$I$88,5,0)</f>
        <v>180.77540000000005</v>
      </c>
      <c r="BF193" s="14">
        <f t="shared" si="167"/>
        <v>45.494655198846154</v>
      </c>
      <c r="BG193" s="22">
        <f t="shared" si="168"/>
        <v>394.08701280465715</v>
      </c>
      <c r="BH193" s="62">
        <f t="shared" si="116"/>
        <v>684.12286525225943</v>
      </c>
      <c r="BI193" s="62">
        <f ca="1">AVERAGE(OFFSET($BH$3,0,0,'Données projet'!$E$11+1,1))-AVERAGE(OFFSET($H$3,0,0,'Données projet'!$E$11+1,1))</f>
        <v>248.66193174773525</v>
      </c>
      <c r="BJ193" s="62">
        <f t="shared" si="146"/>
        <v>249.61655682981151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1.5803588500926677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1.1252319147101279E-19</v>
      </c>
      <c r="BS193" s="24">
        <f t="shared" si="169"/>
        <v>1.5803588500926677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860.00000000000023</v>
      </c>
      <c r="BZ193" s="14">
        <f>BY193*VLOOKUP('Données projet'!$B$12,Paramètres!$A$1:$I$88,3,0)*VLOOKUP('Données projet'!$B$12,Paramètres!$A$1:$I$88,5,0)</f>
        <v>346.5800000000001</v>
      </c>
      <c r="CA193" s="14">
        <f t="shared" si="170"/>
        <v>80.857895771535127</v>
      </c>
      <c r="CB193" s="22">
        <f t="shared" si="171"/>
        <v>744.45433513542378</v>
      </c>
      <c r="CC193" s="62">
        <f t="shared" si="119"/>
        <v>1034.490187583026</v>
      </c>
      <c r="CD193" s="62">
        <f ca="1">AVERAGE(OFFSET($CC$3,0,0,'Données projet'!$E$12+1,1))-AVERAGE(OFFSET($H$3,0,0,'Données projet'!$E$12+1,1))</f>
        <v>432.59662347701629</v>
      </c>
      <c r="CE193" s="62">
        <f t="shared" si="148"/>
        <v>348.67401091099748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7.1189826779921912</v>
      </c>
      <c r="CL193" s="23">
        <f>EXP(-LN(2)/25)*CL192+(1-EXP(-LN(2)/25))/(LN(2)/25)*Calculateur!CG193*Calculateur!CI193*VLOOKUP('Données projet'!$B$12,Paramètres!$A$1:$I$88,3,0)*0.475*44/12</f>
        <v>3.2934315632420659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10.412414241234258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1099.9999999999998</v>
      </c>
      <c r="CU193" s="18">
        <f>CT193*VLOOKUP('Données projet'!$B$13,Paramètres!$A$1:$I$88,3,0)*VLOOKUP('Données projet'!$B$13,Paramètres!$A$1:$I$88,5,0)</f>
        <v>486.19999999999993</v>
      </c>
      <c r="CV193" s="14">
        <f t="shared" si="173"/>
        <v>109.0490179035375</v>
      </c>
      <c r="CW193" s="22">
        <f t="shared" si="174"/>
        <v>1036.725372848661</v>
      </c>
      <c r="CX193" s="62">
        <f t="shared" si="122"/>
        <v>1326.7612252962633</v>
      </c>
      <c r="CY193" s="62">
        <f ca="1">AVERAGE(OFFSET($CX$3,0,0,'Données projet'!$E$13+1,1))-AVERAGE(OFFSET($H$3,0,0,'Données projet'!$E$13+1,1))</f>
        <v>582.26951914082088</v>
      </c>
      <c r="CZ193" s="62">
        <f t="shared" si="150"/>
        <v>434.80429932654715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7.1733617738256141</v>
      </c>
      <c r="DG193" s="23">
        <f>EXP(-LN(2)/25)*DG192+(1-EXP(-LN(2)/25))/(LN(2)/25)*Calculateur!DB193*Calculateur!DD193*VLOOKUP('Données projet'!$B$13,Paramètres!$A$1:$I$88,3,0)*0.475*44/12</f>
        <v>2.9594046156220681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10.132766389447681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498.99999999999955</v>
      </c>
      <c r="DP193" s="18">
        <f>DO193*VLOOKUP('Données projet'!$B$14,Paramètres!$A$1:$I$88,3,0)*VLOOKUP('Données projet'!$B$14,Paramètres!$A$1:$I$88,5,0)</f>
        <v>240.01899999999978</v>
      </c>
      <c r="DQ193" s="14">
        <f t="shared" si="176"/>
        <v>58.443618405936313</v>
      </c>
      <c r="DR193" s="22">
        <f t="shared" si="177"/>
        <v>519.82239372367201</v>
      </c>
      <c r="DS193" s="62">
        <f t="shared" si="125"/>
        <v>809.85824617127423</v>
      </c>
      <c r="DT193" s="62">
        <f ca="1">AVERAGE(OFFSET($DS$3,0,0,'Données projet'!$E$14+1,1))-AVERAGE(OFFSET($H$3,0,0,'Données projet'!$E$14+1,1))</f>
        <v>273.24375559399846</v>
      </c>
      <c r="DU193" s="62">
        <f t="shared" si="152"/>
        <v>270.77718895097848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projet'!$B$14,Paramètres!$A$1:$I$88,3,0)*0.475*44/12</f>
        <v>3.6631115955345028</v>
      </c>
      <c r="EB193" s="23">
        <f>EXP(-LN(2)/25)*EB192+(1-EXP(-LN(2)/25))/(LN(2)/25)*Calculateur!DW193*Calculateur!DY193*VLOOKUP('Données projet'!$B$14,Paramètres!$A$1:$I$88,3,0)*0.475*44/12</f>
        <v>1.4434003052898881</v>
      </c>
      <c r="EC193" s="23">
        <f>EXP(-LN(2)/2)*EC192+(1-EXP(-LN(2)/2))/(LN(2)/2)*DW193*DZ193*VLOOKUP('Données projet'!$B$14,Paramètres!$A$1:$I$88,3,0)*0.475*44/12</f>
        <v>0</v>
      </c>
      <c r="ED193" s="24">
        <f t="shared" si="178"/>
        <v>5.1065119008243904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498.99999999999955</v>
      </c>
      <c r="EK193" s="18">
        <f>EJ193*VLOOKUP('Données projet'!$B$15,Paramètres!$A$1:$I$88,3,0)*VLOOKUP('Données projet'!$B$15,Paramètres!$A$1:$I$88,5,0)</f>
        <v>233.53199999999975</v>
      </c>
      <c r="EL193" s="14">
        <f t="shared" si="179"/>
        <v>57.04570382109803</v>
      </c>
      <c r="EM193" s="22">
        <f t="shared" si="180"/>
        <v>506.08950082174533</v>
      </c>
      <c r="EN193" s="62">
        <f t="shared" si="128"/>
        <v>796.12535326934767</v>
      </c>
      <c r="EO193" s="62">
        <f ca="1">AVERAGE(OFFSET($EN$3,0,0,'Données projet'!$E$15+1,1))-AVERAGE(OFFSET($H$3,0,0,'Données projet'!$E$15+1,1))</f>
        <v>267.26203506406682</v>
      </c>
      <c r="EP193" s="62">
        <f t="shared" si="154"/>
        <v>265.10857635664843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projet'!$B$15,Paramètres!$A$1:$I$88,3,0)*0.475*44/12</f>
        <v>3.5641085794389746</v>
      </c>
      <c r="EW193" s="23">
        <f>EXP(-LN(2)/25)*EW192+(1-EXP(-LN(2)/25))/(LN(2)/25)*Calculateur!ER193*Calculateur!ET193*VLOOKUP('Données projet'!$B$15,Paramètres!$A$1:$I$88,3,0)*0.475*44/12</f>
        <v>1.4043894862279982</v>
      </c>
      <c r="EX193" s="23">
        <f>EXP(-LN(2)/2)*EX192+(1-EXP(-LN(2)/2))/(LN(2)/2)*ER193*EU193*VLOOKUP('Données projet'!$B$15,Paramètres!$A$1:$I$88,3,0)*0.475*44/12</f>
        <v>0</v>
      </c>
      <c r="EY193" s="24">
        <f t="shared" si="181"/>
        <v>4.9684980656669726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231</v>
      </c>
      <c r="FF193" s="18">
        <f>FE193*VLOOKUP('Données projet'!$B$16,Paramètres!$A$1:$I$88,3,0)*VLOOKUP('Données projet'!$B$16,Paramètres!$A$1:$I$88,5,0)</f>
        <v>169.36920000000001</v>
      </c>
      <c r="FG193" s="14">
        <f t="shared" si="182"/>
        <v>42.948714817158674</v>
      </c>
      <c r="FH193" s="22">
        <f t="shared" si="183"/>
        <v>369.787034973218</v>
      </c>
      <c r="FI193" s="62">
        <f t="shared" si="131"/>
        <v>659.82288742082028</v>
      </c>
      <c r="FJ193" s="62">
        <f ca="1">AVERAGE(OFFSET($FI$3,0,0,'Données projet'!$E$16+1,1))-AVERAGE(OFFSET($H$3,0,0,'Données projet'!$E$16+1,1))</f>
        <v>207.66160354686221</v>
      </c>
      <c r="FK193" s="62">
        <f t="shared" si="156"/>
        <v>260.45879589483525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projet'!$B$16,Paramètres!$A$1:$I$88,3,0)*0.475*44/12</f>
        <v>0.21774112486183186</v>
      </c>
      <c r="FR193" s="23">
        <f>EXP(-LN(2)/25)*FR192+(1-EXP(-LN(2)/25))/(LN(2)/25)*Calculateur!FM193*Calculateur!FO193*VLOOKUP('Données projet'!$B$16,Paramètres!$A$1:$I$88,3,0)*0.475*44/12</f>
        <v>0</v>
      </c>
      <c r="FS193" s="23">
        <f>EXP(-LN(2)/2)*FS192+(1-EXP(-LN(2)/2))/(LN(2)/2)*FM193*FP193*VLOOKUP('Données projet'!$B$16,Paramètres!$A$1:$I$88,3,0)*0.475*44/12</f>
        <v>0</v>
      </c>
      <c r="FT193" s="24">
        <f t="shared" si="184"/>
        <v>0.21774112486183186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projet'!$B$9,Paramètres!$A$1:$I$88,3,0)*VLOOKUP('Données projet'!$B$9,Paramètres!$A$1:$I$88,5,0)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378.13552372917843</v>
      </c>
      <c r="T194" s="62">
        <f t="shared" si="142"/>
        <v>528.97123645404952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16.474112768255193</v>
      </c>
      <c r="AA194" s="23">
        <f>EXP(-LN(2)/25)*AA193+(1-EXP(-LN(2)/25))/(LN(2)/25)*Calculateur!V194*Calculateur!X194*VLOOKUP('Données projet'!$B$9,Paramètres!$A$1:$I$88,3,0)*0.475*44/12</f>
        <v>2.9015078547318378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19.375620622987029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projet'!$B$10,Paramètres!$A$1:$I$88,3,0)*VLOOKUP('Données projet'!$B$10,Paramètres!$A$1:$I$88,5,0)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290.09305636890969</v>
      </c>
      <c r="AN194" s="62">
        <f ca="1">AVERAGE(OFFSET($AM$3,0,0,'Données projet'!$E$10+1,1))-AVERAGE(OFFSET($H$3,0,0,'Données projet'!$E$10+1,1))</f>
        <v>536.3707066106856</v>
      </c>
      <c r="AO194" s="62">
        <f t="shared" si="144"/>
        <v>217.6280015974086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120.80660995636815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120.80660995636815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302.3</v>
      </c>
      <c r="BE194" s="14">
        <f>BD194*VLOOKUP('Données projet'!$B$11,Paramètres!$A$1:$I$88,3,0)*VLOOKUP('Données projet'!$B$11,Paramètres!$A$1:$I$88,5,0)</f>
        <v>180.77540000000005</v>
      </c>
      <c r="BF194" s="14">
        <f t="shared" si="167"/>
        <v>45.494655198846154</v>
      </c>
      <c r="BG194" s="22">
        <f t="shared" si="168"/>
        <v>394.08701280465715</v>
      </c>
      <c r="BH194" s="62">
        <f t="shared" si="116"/>
        <v>684.18006917356399</v>
      </c>
      <c r="BI194" s="62">
        <f ca="1">AVERAGE(OFFSET($BH$3,0,0,'Données projet'!$E$11+1,1))-AVERAGE(OFFSET($H$3,0,0,'Données projet'!$E$11+1,1))</f>
        <v>248.66193174773525</v>
      </c>
      <c r="BJ194" s="62">
        <f t="shared" si="146"/>
        <v>249.61655682981151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1.5493689769660695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7.9565911729905434E-20</v>
      </c>
      <c r="BS194" s="24">
        <f t="shared" si="169"/>
        <v>1.5493689769660695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860.00000000000023</v>
      </c>
      <c r="BZ194" s="14">
        <f>BY194*VLOOKUP('Données projet'!$B$12,Paramètres!$A$1:$I$88,3,0)*VLOOKUP('Données projet'!$B$12,Paramètres!$A$1:$I$88,5,0)</f>
        <v>346.5800000000001</v>
      </c>
      <c r="CA194" s="14">
        <f t="shared" si="170"/>
        <v>80.857895771535127</v>
      </c>
      <c r="CB194" s="22">
        <f t="shared" si="171"/>
        <v>744.45433513542378</v>
      </c>
      <c r="CC194" s="62">
        <f t="shared" si="119"/>
        <v>1034.5473915043306</v>
      </c>
      <c r="CD194" s="62">
        <f ca="1">AVERAGE(OFFSET($CC$3,0,0,'Données projet'!$E$12+1,1))-AVERAGE(OFFSET($H$3,0,0,'Données projet'!$E$12+1,1))</f>
        <v>432.59662347701629</v>
      </c>
      <c r="CE194" s="62">
        <f t="shared" si="148"/>
        <v>348.67401091099748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6.9793837698274466</v>
      </c>
      <c r="CL194" s="23">
        <f>EXP(-LN(2)/25)*CL193+(1-EXP(-LN(2)/25))/(LN(2)/25)*Calculateur!CG194*Calculateur!CI194*VLOOKUP('Données projet'!$B$12,Paramètres!$A$1:$I$88,3,0)*0.475*44/12</f>
        <v>3.2033725039511731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10.182756273778619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1099.9999999999998</v>
      </c>
      <c r="CU194" s="18">
        <f>CT194*VLOOKUP('Données projet'!$B$13,Paramètres!$A$1:$I$88,3,0)*VLOOKUP('Données projet'!$B$13,Paramètres!$A$1:$I$88,5,0)</f>
        <v>486.19999999999993</v>
      </c>
      <c r="CV194" s="14">
        <f t="shared" si="173"/>
        <v>109.0490179035375</v>
      </c>
      <c r="CW194" s="22">
        <f t="shared" si="174"/>
        <v>1036.725372848661</v>
      </c>
      <c r="CX194" s="62">
        <f t="shared" si="122"/>
        <v>1326.8184292175679</v>
      </c>
      <c r="CY194" s="62">
        <f ca="1">AVERAGE(OFFSET($CX$3,0,0,'Données projet'!$E$13+1,1))-AVERAGE(OFFSET($H$3,0,0,'Données projet'!$E$13+1,1))</f>
        <v>582.26951914082088</v>
      </c>
      <c r="CZ194" s="62">
        <f t="shared" si="150"/>
        <v>434.80429932654715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7.0326965247595492</v>
      </c>
      <c r="DG194" s="23">
        <f>EXP(-LN(2)/25)*DG193+(1-EXP(-LN(2)/25))/(LN(2)/25)*Calculateur!DB194*Calculateur!DD194*VLOOKUP('Données projet'!$B$13,Paramètres!$A$1:$I$88,3,0)*0.475*44/12</f>
        <v>2.8784795407795576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9.9111760655391059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498.99999999999955</v>
      </c>
      <c r="DP194" s="18">
        <f>DO194*VLOOKUP('Données projet'!$B$14,Paramètres!$A$1:$I$88,3,0)*VLOOKUP('Données projet'!$B$14,Paramètres!$A$1:$I$88,5,0)</f>
        <v>240.01899999999978</v>
      </c>
      <c r="DQ194" s="14">
        <f t="shared" si="176"/>
        <v>58.443618405936313</v>
      </c>
      <c r="DR194" s="22">
        <f t="shared" si="177"/>
        <v>519.82239372367201</v>
      </c>
      <c r="DS194" s="62">
        <f t="shared" si="125"/>
        <v>809.91545009257879</v>
      </c>
      <c r="DT194" s="62">
        <f ca="1">AVERAGE(OFFSET($DS$3,0,0,'Données projet'!$E$14+1,1))-AVERAGE(OFFSET($H$3,0,0,'Données projet'!$E$14+1,1))</f>
        <v>273.24375559399846</v>
      </c>
      <c r="DU194" s="62">
        <f t="shared" si="152"/>
        <v>270.77718895097848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projet'!$B$14,Paramètres!$A$1:$I$88,3,0)*0.475*44/12</f>
        <v>3.5912802114235278</v>
      </c>
      <c r="EB194" s="23">
        <f>EXP(-LN(2)/25)*EB193+(1-EXP(-LN(2)/25))/(LN(2)/25)*Calculateur!DW194*Calculateur!DY194*VLOOKUP('Données projet'!$B$14,Paramètres!$A$1:$I$88,3,0)*0.475*44/12</f>
        <v>1.403930448036613</v>
      </c>
      <c r="EC194" s="23">
        <f>EXP(-LN(2)/2)*EC193+(1-EXP(-LN(2)/2))/(LN(2)/2)*DW194*DZ194*VLOOKUP('Données projet'!$B$14,Paramètres!$A$1:$I$88,3,0)*0.475*44/12</f>
        <v>0</v>
      </c>
      <c r="ED194" s="24">
        <f t="shared" si="178"/>
        <v>4.9952106594601409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498.99999999999955</v>
      </c>
      <c r="EK194" s="18">
        <f>EJ194*VLOOKUP('Données projet'!$B$15,Paramètres!$A$1:$I$88,3,0)*VLOOKUP('Données projet'!$B$15,Paramètres!$A$1:$I$88,5,0)</f>
        <v>233.53199999999975</v>
      </c>
      <c r="EL194" s="14">
        <f t="shared" si="179"/>
        <v>57.04570382109803</v>
      </c>
      <c r="EM194" s="22">
        <f t="shared" si="180"/>
        <v>506.08950082174533</v>
      </c>
      <c r="EN194" s="62">
        <f t="shared" si="128"/>
        <v>796.18255719065223</v>
      </c>
      <c r="EO194" s="62">
        <f ca="1">AVERAGE(OFFSET($EN$3,0,0,'Données projet'!$E$15+1,1))-AVERAGE(OFFSET($H$3,0,0,'Données projet'!$E$15+1,1))</f>
        <v>267.26203506406682</v>
      </c>
      <c r="EP194" s="62">
        <f t="shared" si="154"/>
        <v>265.10857635664843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projet'!$B$15,Paramètres!$A$1:$I$88,3,0)*0.475*44/12</f>
        <v>3.494218584087756</v>
      </c>
      <c r="EW194" s="23">
        <f>EXP(-LN(2)/25)*EW193+(1-EXP(-LN(2)/25))/(LN(2)/25)*Calculateur!ER194*Calculateur!ET194*VLOOKUP('Données projet'!$B$15,Paramètres!$A$1:$I$88,3,0)*0.475*44/12</f>
        <v>1.3659863818734603</v>
      </c>
      <c r="EX194" s="23">
        <f>EXP(-LN(2)/2)*EX193+(1-EXP(-LN(2)/2))/(LN(2)/2)*ER194*EU194*VLOOKUP('Données projet'!$B$15,Paramètres!$A$1:$I$88,3,0)*0.475*44/12</f>
        <v>0</v>
      </c>
      <c r="EY194" s="24">
        <f t="shared" si="181"/>
        <v>4.8602049659612163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231</v>
      </c>
      <c r="FF194" s="18">
        <f>FE194*VLOOKUP('Données projet'!$B$16,Paramètres!$A$1:$I$88,3,0)*VLOOKUP('Données projet'!$B$16,Paramètres!$A$1:$I$88,5,0)</f>
        <v>169.36920000000001</v>
      </c>
      <c r="FG194" s="14">
        <f t="shared" si="182"/>
        <v>42.948714817158674</v>
      </c>
      <c r="FH194" s="22">
        <f t="shared" si="183"/>
        <v>369.787034973218</v>
      </c>
      <c r="FI194" s="62">
        <f t="shared" si="131"/>
        <v>659.88009134212484</v>
      </c>
      <c r="FJ194" s="62">
        <f ca="1">AVERAGE(OFFSET($FI$3,0,0,'Données projet'!$E$16+1,1))-AVERAGE(OFFSET($H$3,0,0,'Données projet'!$E$16+1,1))</f>
        <v>207.66160354686221</v>
      </c>
      <c r="FK194" s="62">
        <f t="shared" si="156"/>
        <v>260.45879589483525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projet'!$B$16,Paramètres!$A$1:$I$88,3,0)*0.475*44/12</f>
        <v>0.21347135421226371</v>
      </c>
      <c r="FR194" s="23">
        <f>EXP(-LN(2)/25)*FR193+(1-EXP(-LN(2)/25))/(LN(2)/25)*Calculateur!FM194*Calculateur!FO194*VLOOKUP('Données projet'!$B$16,Paramètres!$A$1:$I$88,3,0)*0.475*44/12</f>
        <v>0</v>
      </c>
      <c r="FS194" s="23">
        <f>EXP(-LN(2)/2)*FS193+(1-EXP(-LN(2)/2))/(LN(2)/2)*FM194*FP194*VLOOKUP('Données projet'!$B$16,Paramètres!$A$1:$I$88,3,0)*0.475*44/12</f>
        <v>0</v>
      </c>
      <c r="FT194" s="24">
        <f t="shared" si="184"/>
        <v>0.21347135421226371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projet'!$B$9,Paramètres!$A$1:$I$88,3,0)*VLOOKUP('Données projet'!$B$9,Paramètres!$A$1:$I$88,5,0)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378.13552372917843</v>
      </c>
      <c r="T195" s="62">
        <f t="shared" si="142"/>
        <v>528.97123645404952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16.151065465086319</v>
      </c>
      <c r="AA195" s="23">
        <f>EXP(-LN(2)/25)*AA194+(1-EXP(-LN(2)/25))/(LN(2)/25)*Calculateur!V195*Calculateur!X195*VLOOKUP('Données projet'!$B$9,Paramètres!$A$1:$I$88,3,0)*0.475*44/12</f>
        <v>2.8221659698605293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18.973231434946847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projet'!$B$10,Paramètres!$A$1:$I$88,3,0)*VLOOKUP('Données projet'!$B$10,Paramètres!$A$1:$I$88,5,0)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290.1492679300685</v>
      </c>
      <c r="AN195" s="62">
        <f ca="1">AVERAGE(OFFSET($AM$3,0,0,'Données projet'!$E$10+1,1))-AVERAGE(OFFSET($H$3,0,0,'Données projet'!$E$10+1,1))</f>
        <v>536.3707066106856</v>
      </c>
      <c r="AO195" s="62">
        <f t="shared" si="144"/>
        <v>217.6280015974086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118.43766601988008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118.43766601988008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302.3</v>
      </c>
      <c r="BE195" s="14">
        <f>BD195*VLOOKUP('Données projet'!$B$11,Paramètres!$A$1:$I$88,3,0)*VLOOKUP('Données projet'!$B$11,Paramètres!$A$1:$I$88,5,0)</f>
        <v>180.77540000000005</v>
      </c>
      <c r="BF195" s="14">
        <f t="shared" si="167"/>
        <v>45.494655198846154</v>
      </c>
      <c r="BG195" s="22">
        <f t="shared" si="168"/>
        <v>394.08701280465715</v>
      </c>
      <c r="BH195" s="62">
        <f t="shared" si="116"/>
        <v>684.23628073472287</v>
      </c>
      <c r="BI195" s="62">
        <f ca="1">AVERAGE(OFFSET($BH$3,0,0,'Données projet'!$E$11+1,1))-AVERAGE(OFFSET($H$3,0,0,'Données projet'!$E$11+1,1))</f>
        <v>248.66193174773525</v>
      </c>
      <c r="BJ195" s="62">
        <f t="shared" si="146"/>
        <v>249.61655682981151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1.5189867963495276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5.6261595735506396E-20</v>
      </c>
      <c r="BS195" s="24">
        <f t="shared" si="169"/>
        <v>1.5189867963495276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860.00000000000023</v>
      </c>
      <c r="BZ195" s="14">
        <f>BY195*VLOOKUP('Données projet'!$B$12,Paramètres!$A$1:$I$88,3,0)*VLOOKUP('Données projet'!$B$12,Paramètres!$A$1:$I$88,5,0)</f>
        <v>346.5800000000001</v>
      </c>
      <c r="CA195" s="14">
        <f t="shared" si="170"/>
        <v>80.857895771535127</v>
      </c>
      <c r="CB195" s="22">
        <f t="shared" si="171"/>
        <v>744.45433513542378</v>
      </c>
      <c r="CC195" s="62">
        <f t="shared" si="119"/>
        <v>1034.6036030654896</v>
      </c>
      <c r="CD195" s="62">
        <f ca="1">AVERAGE(OFFSET($CC$3,0,0,'Données projet'!$E$12+1,1))-AVERAGE(OFFSET($H$3,0,0,'Données projet'!$E$12+1,1))</f>
        <v>432.59662347701629</v>
      </c>
      <c r="CE195" s="62">
        <f t="shared" si="148"/>
        <v>348.67401091099748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6.8425223111048856</v>
      </c>
      <c r="CL195" s="23">
        <f>EXP(-LN(2)/25)*CL194+(1-EXP(-LN(2)/25))/(LN(2)/25)*Calculateur!CG195*Calculateur!CI195*VLOOKUP('Données projet'!$B$12,Paramètres!$A$1:$I$88,3,0)*0.475*44/12</f>
        <v>3.1157761143725895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9.9582984254774747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1099.9999999999998</v>
      </c>
      <c r="CU195" s="18">
        <f>CT195*VLOOKUP('Données projet'!$B$13,Paramètres!$A$1:$I$88,3,0)*VLOOKUP('Données projet'!$B$13,Paramètres!$A$1:$I$88,5,0)</f>
        <v>486.19999999999993</v>
      </c>
      <c r="CV195" s="14">
        <f t="shared" si="173"/>
        <v>109.0490179035375</v>
      </c>
      <c r="CW195" s="22">
        <f t="shared" si="174"/>
        <v>1036.725372848661</v>
      </c>
      <c r="CX195" s="62">
        <f t="shared" si="122"/>
        <v>1326.8746407787266</v>
      </c>
      <c r="CY195" s="62">
        <f ca="1">AVERAGE(OFFSET($CX$3,0,0,'Données projet'!$E$13+1,1))-AVERAGE(OFFSET($H$3,0,0,'Données projet'!$E$13+1,1))</f>
        <v>582.26951914082088</v>
      </c>
      <c r="CZ195" s="62">
        <f t="shared" si="150"/>
        <v>434.80429932654715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6.8947896354303397</v>
      </c>
      <c r="DG195" s="23">
        <f>EXP(-LN(2)/25)*DG194+(1-EXP(-LN(2)/25))/(LN(2)/25)*Calculateur!DB195*Calculateur!DD195*VLOOKUP('Données projet'!$B$13,Paramètres!$A$1:$I$88,3,0)*0.475*44/12</f>
        <v>2.7997673663642804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9.694557001794621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498.99999999999955</v>
      </c>
      <c r="DP195" s="18">
        <f>DO195*VLOOKUP('Données projet'!$B$14,Paramètres!$A$1:$I$88,3,0)*VLOOKUP('Données projet'!$B$14,Paramètres!$A$1:$I$88,5,0)</f>
        <v>240.01899999999978</v>
      </c>
      <c r="DQ195" s="14">
        <f t="shared" si="176"/>
        <v>58.443618405936313</v>
      </c>
      <c r="DR195" s="22">
        <f t="shared" si="177"/>
        <v>519.82239372367201</v>
      </c>
      <c r="DS195" s="62">
        <f t="shared" si="125"/>
        <v>809.97166165373767</v>
      </c>
      <c r="DT195" s="62">
        <f ca="1">AVERAGE(OFFSET($DS$3,0,0,'Données projet'!$E$14+1,1))-AVERAGE(OFFSET($H$3,0,0,'Données projet'!$E$14+1,1))</f>
        <v>273.24375559399846</v>
      </c>
      <c r="DU195" s="62">
        <f t="shared" si="152"/>
        <v>270.77718895097848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projet'!$B$14,Paramètres!$A$1:$I$88,3,0)*0.475*44/12</f>
        <v>3.5208573969421511</v>
      </c>
      <c r="EB195" s="23">
        <f>EXP(-LN(2)/25)*EB194+(1-EXP(-LN(2)/25))/(LN(2)/25)*Calculateur!DW195*Calculateur!DY195*VLOOKUP('Données projet'!$B$14,Paramètres!$A$1:$I$88,3,0)*0.475*44/12</f>
        <v>1.3655398961055583</v>
      </c>
      <c r="EC195" s="23">
        <f>EXP(-LN(2)/2)*EC194+(1-EXP(-LN(2)/2))/(LN(2)/2)*DW195*DZ195*VLOOKUP('Données projet'!$B$14,Paramètres!$A$1:$I$88,3,0)*0.475*44/12</f>
        <v>0</v>
      </c>
      <c r="ED195" s="24">
        <f t="shared" si="178"/>
        <v>4.8863972930477093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498.99999999999955</v>
      </c>
      <c r="EK195" s="18">
        <f>EJ195*VLOOKUP('Données projet'!$B$15,Paramètres!$A$1:$I$88,3,0)*VLOOKUP('Données projet'!$B$15,Paramètres!$A$1:$I$88,5,0)</f>
        <v>233.53199999999975</v>
      </c>
      <c r="EL195" s="14">
        <f t="shared" si="179"/>
        <v>57.04570382109803</v>
      </c>
      <c r="EM195" s="22">
        <f t="shared" si="180"/>
        <v>506.08950082174533</v>
      </c>
      <c r="EN195" s="62">
        <f t="shared" si="128"/>
        <v>796.23876875181099</v>
      </c>
      <c r="EO195" s="62">
        <f ca="1">AVERAGE(OFFSET($EN$3,0,0,'Données projet'!$E$15+1,1))-AVERAGE(OFFSET($H$3,0,0,'Données projet'!$E$15+1,1))</f>
        <v>267.26203506406682</v>
      </c>
      <c r="EP195" s="62">
        <f t="shared" si="154"/>
        <v>265.10857635664843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projet'!$B$15,Paramètres!$A$1:$I$88,3,0)*0.475*44/12</f>
        <v>3.4256990889166867</v>
      </c>
      <c r="EW195" s="23">
        <f>EXP(-LN(2)/25)*EW194+(1-EXP(-LN(2)/25))/(LN(2)/25)*Calculateur!ER195*Calculateur!ET195*VLOOKUP('Données projet'!$B$15,Paramètres!$A$1:$I$88,3,0)*0.475*44/12</f>
        <v>1.3286334124270287</v>
      </c>
      <c r="EX195" s="23">
        <f>EXP(-LN(2)/2)*EX194+(1-EXP(-LN(2)/2))/(LN(2)/2)*ER195*EU195*VLOOKUP('Données projet'!$B$15,Paramètres!$A$1:$I$88,3,0)*0.475*44/12</f>
        <v>0</v>
      </c>
      <c r="EY195" s="24">
        <f t="shared" si="181"/>
        <v>4.7543325013437157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231</v>
      </c>
      <c r="FF195" s="18">
        <f>FE195*VLOOKUP('Données projet'!$B$16,Paramètres!$A$1:$I$88,3,0)*VLOOKUP('Données projet'!$B$16,Paramètres!$A$1:$I$88,5,0)</f>
        <v>169.36920000000001</v>
      </c>
      <c r="FG195" s="14">
        <f t="shared" si="182"/>
        <v>42.948714817158674</v>
      </c>
      <c r="FH195" s="22">
        <f t="shared" si="183"/>
        <v>369.787034973218</v>
      </c>
      <c r="FI195" s="62">
        <f t="shared" si="131"/>
        <v>659.9363029032836</v>
      </c>
      <c r="FJ195" s="62">
        <f ca="1">AVERAGE(OFFSET($FI$3,0,0,'Données projet'!$E$16+1,1))-AVERAGE(OFFSET($H$3,0,0,'Données projet'!$E$16+1,1))</f>
        <v>207.66160354686221</v>
      </c>
      <c r="FK195" s="62">
        <f t="shared" si="156"/>
        <v>260.45879589483525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projet'!$B$16,Paramètres!$A$1:$I$88,3,0)*0.475*44/12</f>
        <v>0.20928531116083066</v>
      </c>
      <c r="FR195" s="23">
        <f>EXP(-LN(2)/25)*FR194+(1-EXP(-LN(2)/25))/(LN(2)/25)*Calculateur!FM195*Calculateur!FO195*VLOOKUP('Données projet'!$B$16,Paramètres!$A$1:$I$88,3,0)*0.475*44/12</f>
        <v>0</v>
      </c>
      <c r="FS195" s="23">
        <f>EXP(-LN(2)/2)*FS194+(1-EXP(-LN(2)/2))/(LN(2)/2)*FM195*FP195*VLOOKUP('Données projet'!$B$16,Paramètres!$A$1:$I$88,3,0)*0.475*44/12</f>
        <v>0</v>
      </c>
      <c r="FT195" s="24">
        <f t="shared" si="184"/>
        <v>0.20928531116083066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projet'!$B$9,Paramètres!$A$1:$I$88,3,0)*VLOOKUP('Données projet'!$B$9,Paramètres!$A$1:$I$88,5,0)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378.13552372917843</v>
      </c>
      <c r="T196" s="62">
        <f t="shared" si="142"/>
        <v>528.97123645404952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15.834352922493187</v>
      </c>
      <c r="AA196" s="23">
        <f>EXP(-LN(2)/25)*AA195+(1-EXP(-LN(2)/25))/(LN(2)/25)*Calculateur!V196*Calculateur!X196*VLOOKUP('Données projet'!$B$9,Paramètres!$A$1:$I$88,3,0)*0.475*44/12</f>
        <v>2.7449936930034347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18.579346615496622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projet'!$B$10,Paramètres!$A$1:$I$88,3,0)*VLOOKUP('Données projet'!$B$10,Paramètres!$A$1:$I$88,5,0)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290.20450434631135</v>
      </c>
      <c r="AN196" s="62">
        <f ca="1">AVERAGE(OFFSET($AM$3,0,0,'Données projet'!$E$10+1,1))-AVERAGE(OFFSET($H$3,0,0,'Données projet'!$E$10+1,1))</f>
        <v>536.3707066106856</v>
      </c>
      <c r="AO196" s="62">
        <f t="shared" si="144"/>
        <v>217.6280015974086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116.11517562907342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116.11517562907342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302.3</v>
      </c>
      <c r="BE196" s="14">
        <f>BD196*VLOOKUP('Données projet'!$B$11,Paramètres!$A$1:$I$88,3,0)*VLOOKUP('Données projet'!$B$11,Paramètres!$A$1:$I$88,5,0)</f>
        <v>180.77540000000005</v>
      </c>
      <c r="BF196" s="14">
        <f t="shared" si="167"/>
        <v>45.494655198846154</v>
      </c>
      <c r="BG196" s="22">
        <f t="shared" si="168"/>
        <v>394.08701280465715</v>
      </c>
      <c r="BH196" s="62">
        <f t="shared" ref="BH196:BH203" si="194">BG196+(AY196+AZ196)*44/12</f>
        <v>684.29151715096566</v>
      </c>
      <c r="BI196" s="62">
        <f ca="1">AVERAGE(OFFSET($BH$3,0,0,'Données projet'!$E$11+1,1))-AVERAGE(OFFSET($H$3,0,0,'Données projet'!$E$11+1,1))</f>
        <v>248.66193174773525</v>
      </c>
      <c r="BJ196" s="62">
        <f t="shared" si="146"/>
        <v>249.61655682981151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1.4892003917635759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3.9782955864952717E-20</v>
      </c>
      <c r="BS196" s="24">
        <f t="shared" si="169"/>
        <v>1.4892003917635759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860.00000000000023</v>
      </c>
      <c r="BZ196" s="14">
        <f>BY196*VLOOKUP('Données projet'!$B$12,Paramètres!$A$1:$I$88,3,0)*VLOOKUP('Données projet'!$B$12,Paramètres!$A$1:$I$88,5,0)</f>
        <v>346.5800000000001</v>
      </c>
      <c r="CA196" s="14">
        <f t="shared" si="170"/>
        <v>80.857895771535127</v>
      </c>
      <c r="CB196" s="22">
        <f t="shared" si="171"/>
        <v>744.45433513542378</v>
      </c>
      <c r="CC196" s="62">
        <f t="shared" ref="CC196:CC203" si="195">CB196+(BT196+BU196)*44/12</f>
        <v>1034.6588394817322</v>
      </c>
      <c r="CD196" s="62">
        <f ca="1">AVERAGE(OFFSET($CC$3,0,0,'Données projet'!$E$12+1,1))-AVERAGE(OFFSET($H$3,0,0,'Données projet'!$E$12+1,1))</f>
        <v>432.59662347701629</v>
      </c>
      <c r="CE196" s="62">
        <f t="shared" si="148"/>
        <v>348.67401091099748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6.7083446221106273</v>
      </c>
      <c r="CL196" s="23">
        <f>EXP(-LN(2)/25)*CL195+(1-EXP(-LN(2)/25))/(LN(2)/25)*Calculateur!CG196*Calculateur!CI196*VLOOKUP('Données projet'!$B$12,Paramètres!$A$1:$I$88,3,0)*0.475*44/12</f>
        <v>3.0305750526735262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9.7389196747841531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1099.9999999999998</v>
      </c>
      <c r="CU196" s="18">
        <f>CT196*VLOOKUP('Données projet'!$B$13,Paramètres!$A$1:$I$88,3,0)*VLOOKUP('Données projet'!$B$13,Paramètres!$A$1:$I$88,5,0)</f>
        <v>486.19999999999993</v>
      </c>
      <c r="CV196" s="14">
        <f t="shared" si="173"/>
        <v>109.0490179035375</v>
      </c>
      <c r="CW196" s="22">
        <f t="shared" si="174"/>
        <v>1036.725372848661</v>
      </c>
      <c r="CX196" s="62">
        <f t="shared" ref="CX196:CX203" si="196">CW196+(CO196+CP196)*44/12</f>
        <v>1326.9298771949695</v>
      </c>
      <c r="CY196" s="62">
        <f ca="1">AVERAGE(OFFSET($CX$3,0,0,'Données projet'!$E$13+1,1))-AVERAGE(OFFSET($H$3,0,0,'Données projet'!$E$13+1,1))</f>
        <v>582.26951914082088</v>
      </c>
      <c r="CZ196" s="62">
        <f t="shared" si="150"/>
        <v>434.80429932654715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6.7595870160859786</v>
      </c>
      <c r="DG196" s="23">
        <f>EXP(-LN(2)/25)*DG195+(1-EXP(-LN(2)/25))/(LN(2)/25)*Calculateur!DB196*Calculateur!DD196*VLOOKUP('Données projet'!$B$13,Paramètres!$A$1:$I$88,3,0)*0.475*44/12</f>
        <v>2.7232075804976823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9.4827945965836609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498.99999999999955</v>
      </c>
      <c r="DP196" s="18">
        <f>DO196*VLOOKUP('Données projet'!$B$14,Paramètres!$A$1:$I$88,3,0)*VLOOKUP('Données projet'!$B$14,Paramètres!$A$1:$I$88,5,0)</f>
        <v>240.01899999999978</v>
      </c>
      <c r="DQ196" s="14">
        <f t="shared" si="176"/>
        <v>58.443618405936313</v>
      </c>
      <c r="DR196" s="22">
        <f t="shared" si="177"/>
        <v>519.82239372367201</v>
      </c>
      <c r="DS196" s="62">
        <f t="shared" ref="DS196:DS203" si="197">DR196+(DJ196+DK196)*44/12</f>
        <v>810.02689806998046</v>
      </c>
      <c r="DT196" s="62">
        <f ca="1">AVERAGE(OFFSET($DS$3,0,0,'Données projet'!$E$14+1,1))-AVERAGE(OFFSET($H$3,0,0,'Données projet'!$E$14+1,1))</f>
        <v>273.24375559399846</v>
      </c>
      <c r="DU196" s="62">
        <f t="shared" si="152"/>
        <v>270.77718895097848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projet'!$B$14,Paramètres!$A$1:$I$88,3,0)*0.475*44/12</f>
        <v>3.4518155308990783</v>
      </c>
      <c r="EB196" s="23">
        <f>EXP(-LN(2)/25)*EB195+(1-EXP(-LN(2)/25))/(LN(2)/25)*Calculateur!DW196*Calculateur!DY196*VLOOKUP('Données projet'!$B$14,Paramètres!$A$1:$I$88,3,0)*0.475*44/12</f>
        <v>1.3281991358359295</v>
      </c>
      <c r="EC196" s="23">
        <f>EXP(-LN(2)/2)*EC195+(1-EXP(-LN(2)/2))/(LN(2)/2)*DW196*DZ196*VLOOKUP('Données projet'!$B$14,Paramètres!$A$1:$I$88,3,0)*0.475*44/12</f>
        <v>0</v>
      </c>
      <c r="ED196" s="24">
        <f t="shared" si="178"/>
        <v>4.7800146667350081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498.99999999999955</v>
      </c>
      <c r="EK196" s="18">
        <f>EJ196*VLOOKUP('Données projet'!$B$15,Paramètres!$A$1:$I$88,3,0)*VLOOKUP('Données projet'!$B$15,Paramètres!$A$1:$I$88,5,0)</f>
        <v>233.53199999999975</v>
      </c>
      <c r="EL196" s="14">
        <f t="shared" si="179"/>
        <v>57.04570382109803</v>
      </c>
      <c r="EM196" s="22">
        <f t="shared" si="180"/>
        <v>506.08950082174533</v>
      </c>
      <c r="EN196" s="62">
        <f t="shared" ref="EN196:EN203" si="198">EM196+(EE196+EF196)*44/12</f>
        <v>796.2940051680539</v>
      </c>
      <c r="EO196" s="62">
        <f ca="1">AVERAGE(OFFSET($EN$3,0,0,'Données projet'!$E$15+1,1))-AVERAGE(OFFSET($H$3,0,0,'Données projet'!$E$15+1,1))</f>
        <v>267.26203506406682</v>
      </c>
      <c r="EP196" s="62">
        <f t="shared" si="154"/>
        <v>265.10857635664843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projet'!$B$15,Paramètres!$A$1:$I$88,3,0)*0.475*44/12</f>
        <v>3.3585232192531569</v>
      </c>
      <c r="EW196" s="23">
        <f>EXP(-LN(2)/25)*EW195+(1-EXP(-LN(2)/25))/(LN(2)/25)*Calculateur!ER196*Calculateur!ET196*VLOOKUP('Données projet'!$B$15,Paramètres!$A$1:$I$88,3,0)*0.475*44/12</f>
        <v>1.2923018618944171</v>
      </c>
      <c r="EX196" s="23">
        <f>EXP(-LN(2)/2)*EX195+(1-EXP(-LN(2)/2))/(LN(2)/2)*ER196*EU196*VLOOKUP('Données projet'!$B$15,Paramètres!$A$1:$I$88,3,0)*0.475*44/12</f>
        <v>0</v>
      </c>
      <c r="EY196" s="24">
        <f t="shared" si="181"/>
        <v>4.6508250811475742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231</v>
      </c>
      <c r="FF196" s="18">
        <f>FE196*VLOOKUP('Données projet'!$B$16,Paramètres!$A$1:$I$88,3,0)*VLOOKUP('Données projet'!$B$16,Paramètres!$A$1:$I$88,5,0)</f>
        <v>169.36920000000001</v>
      </c>
      <c r="FG196" s="14">
        <f t="shared" si="182"/>
        <v>42.948714817158674</v>
      </c>
      <c r="FH196" s="22">
        <f t="shared" si="183"/>
        <v>369.787034973218</v>
      </c>
      <c r="FI196" s="62">
        <f t="shared" ref="FI196:FI203" si="199">FH196+(EZ196+FA196)*44/12</f>
        <v>659.99153931952651</v>
      </c>
      <c r="FJ196" s="62">
        <f ca="1">AVERAGE(OFFSET($FI$3,0,0,'Données projet'!$E$16+1,1))-AVERAGE(OFFSET($H$3,0,0,'Données projet'!$E$16+1,1))</f>
        <v>207.66160354686221</v>
      </c>
      <c r="FK196" s="62">
        <f t="shared" si="156"/>
        <v>260.45879589483525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projet'!$B$16,Paramètres!$A$1:$I$88,3,0)*0.475*44/12</f>
        <v>0.20518135386040204</v>
      </c>
      <c r="FR196" s="23">
        <f>EXP(-LN(2)/25)*FR195+(1-EXP(-LN(2)/25))/(LN(2)/25)*Calculateur!FM196*Calculateur!FO196*VLOOKUP('Données projet'!$B$16,Paramètres!$A$1:$I$88,3,0)*0.475*44/12</f>
        <v>0</v>
      </c>
      <c r="FS196" s="23">
        <f>EXP(-LN(2)/2)*FS195+(1-EXP(-LN(2)/2))/(LN(2)/2)*FM196*FP196*VLOOKUP('Données projet'!$B$16,Paramètres!$A$1:$I$88,3,0)*0.475*44/12</f>
        <v>0</v>
      </c>
      <c r="FT196" s="24">
        <f t="shared" si="184"/>
        <v>0.20518135386040204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projet'!$B$9,Paramètres!$A$1:$I$88,3,0)*VLOOKUP('Données projet'!$B$9,Paramètres!$A$1:$I$88,5,0)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378.13552372917843</v>
      </c>
      <c r="T197" s="62">
        <f t="shared" ref="T197:T203" si="204">$T$3</f>
        <v>528.97123645404952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15.52385091968473</v>
      </c>
      <c r="AA197" s="23">
        <f>EXP(-LN(2)/25)*AA196+(1-EXP(-LN(2)/25))/(LN(2)/25)*Calculateur!V197*Calculateur!X197*VLOOKUP('Données projet'!$B$9,Paramètres!$A$1:$I$88,3,0)*0.475*44/12</f>
        <v>2.6699316961153112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18.193782615800039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projet'!$B$10,Paramètres!$A$1:$I$88,3,0)*VLOOKUP('Données projet'!$B$10,Paramètres!$A$1:$I$88,5,0)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290.25878253422258</v>
      </c>
      <c r="AN197" s="62">
        <f ca="1">AVERAGE(OFFSET($AM$3,0,0,'Données projet'!$E$10+1,1))-AVERAGE(OFFSET($H$3,0,0,'Données projet'!$E$10+1,1))</f>
        <v>536.3707066106856</v>
      </c>
      <c r="AO197" s="62">
        <f t="shared" ref="AO197:AO203" si="205">$AO$3</f>
        <v>217.6280015974086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113.8382278582512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113.8382278582512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302.3</v>
      </c>
      <c r="BE197" s="14">
        <f>BD197*VLOOKUP('Données projet'!$B$11,Paramètres!$A$1:$I$88,3,0)*VLOOKUP('Données projet'!$B$11,Paramètres!$A$1:$I$88,5,0)</f>
        <v>180.77540000000005</v>
      </c>
      <c r="BF197" s="14">
        <f t="shared" si="167"/>
        <v>45.494655198846154</v>
      </c>
      <c r="BG197" s="22">
        <f t="shared" si="168"/>
        <v>394.08701280465715</v>
      </c>
      <c r="BH197" s="62">
        <f t="shared" si="194"/>
        <v>684.34579533887688</v>
      </c>
      <c r="BI197" s="62">
        <f ca="1">AVERAGE(OFFSET($BH$3,0,0,'Données projet'!$E$11+1,1))-AVERAGE(OFFSET($H$3,0,0,'Données projet'!$E$11+1,1))</f>
        <v>248.66193174773525</v>
      </c>
      <c r="BJ197" s="62">
        <f t="shared" ref="BJ197:BJ203" si="206">$BJ$3</f>
        <v>249.61655682981151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1.4599980804036417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2.8130797867753198E-20</v>
      </c>
      <c r="BS197" s="24">
        <f t="shared" si="169"/>
        <v>1.4599980804036417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860.00000000000023</v>
      </c>
      <c r="BZ197" s="14">
        <f>BY197*VLOOKUP('Données projet'!$B$12,Paramètres!$A$1:$I$88,3,0)*VLOOKUP('Données projet'!$B$12,Paramètres!$A$1:$I$88,5,0)</f>
        <v>346.5800000000001</v>
      </c>
      <c r="CA197" s="14">
        <f t="shared" si="170"/>
        <v>80.857895771535127</v>
      </c>
      <c r="CB197" s="22">
        <f t="shared" si="171"/>
        <v>744.45433513542378</v>
      </c>
      <c r="CC197" s="62">
        <f t="shared" si="195"/>
        <v>1034.7131176696435</v>
      </c>
      <c r="CD197" s="62">
        <f ca="1">AVERAGE(OFFSET($CC$3,0,0,'Données projet'!$E$12+1,1))-AVERAGE(OFFSET($H$3,0,0,'Données projet'!$E$12+1,1))</f>
        <v>432.59662347701629</v>
      </c>
      <c r="CE197" s="62">
        <f t="shared" ref="CE197:CE203" si="207">$CE$3</f>
        <v>348.67401091099748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6.5767980757572371</v>
      </c>
      <c r="CL197" s="23">
        <f>EXP(-LN(2)/25)*CL196+(1-EXP(-LN(2)/25))/(LN(2)/25)*Calculateur!CG197*Calculateur!CI197*VLOOKUP('Données projet'!$B$12,Paramètres!$A$1:$I$88,3,0)*0.475*44/12</f>
        <v>2.9477038184871529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9.5245018942443895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1099.9999999999998</v>
      </c>
      <c r="CU197" s="18">
        <f>CT197*VLOOKUP('Données projet'!$B$13,Paramètres!$A$1:$I$88,3,0)*VLOOKUP('Données projet'!$B$13,Paramètres!$A$1:$I$88,5,0)</f>
        <v>486.19999999999993</v>
      </c>
      <c r="CV197" s="14">
        <f t="shared" si="173"/>
        <v>109.0490179035375</v>
      </c>
      <c r="CW197" s="22">
        <f t="shared" si="174"/>
        <v>1036.725372848661</v>
      </c>
      <c r="CX197" s="62">
        <f t="shared" si="196"/>
        <v>1326.9841553828808</v>
      </c>
      <c r="CY197" s="62">
        <f ca="1">AVERAGE(OFFSET($CX$3,0,0,'Données projet'!$E$13+1,1))-AVERAGE(OFFSET($H$3,0,0,'Données projet'!$E$13+1,1))</f>
        <v>582.26951914082088</v>
      </c>
      <c r="CZ197" s="62">
        <f t="shared" ref="CZ197:CZ203" si="208">$CZ$3</f>
        <v>434.80429932654715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6.627035637641506</v>
      </c>
      <c r="DG197" s="23">
        <f>EXP(-LN(2)/25)*DG196+(1-EXP(-LN(2)/25))/(LN(2)/25)*Calculateur!DB197*Calculateur!DD197*VLOOKUP('Données projet'!$B$13,Paramètres!$A$1:$I$88,3,0)*0.475*44/12</f>
        <v>2.6487413260017103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9.2757769636432172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498.99999999999955</v>
      </c>
      <c r="DP197" s="18">
        <f>DO197*VLOOKUP('Données projet'!$B$14,Paramètres!$A$1:$I$88,3,0)*VLOOKUP('Données projet'!$B$14,Paramètres!$A$1:$I$88,5,0)</f>
        <v>240.01899999999978</v>
      </c>
      <c r="DQ197" s="14">
        <f t="shared" si="176"/>
        <v>58.443618405936313</v>
      </c>
      <c r="DR197" s="22">
        <f t="shared" si="177"/>
        <v>519.82239372367201</v>
      </c>
      <c r="DS197" s="62">
        <f t="shared" si="197"/>
        <v>810.08117625789168</v>
      </c>
      <c r="DT197" s="62">
        <f ca="1">AVERAGE(OFFSET($DS$3,0,0,'Données projet'!$E$14+1,1))-AVERAGE(OFFSET($H$3,0,0,'Données projet'!$E$14+1,1))</f>
        <v>273.24375559399846</v>
      </c>
      <c r="DU197" s="62">
        <f t="shared" ref="DU197:DU203" si="209">$DU$3</f>
        <v>270.77718895097848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projet'!$B$14,Paramètres!$A$1:$I$88,3,0)*0.475*44/12</f>
        <v>3.3841275337377303</v>
      </c>
      <c r="EB197" s="23">
        <f>EXP(-LN(2)/25)*EB196+(1-EXP(-LN(2)/25))/(LN(2)/25)*Calculateur!DW197*Calculateur!DY197*VLOOKUP('Données projet'!$B$14,Paramètres!$A$1:$I$88,3,0)*0.475*44/12</f>
        <v>1.2918794606195392</v>
      </c>
      <c r="EC197" s="23">
        <f>EXP(-LN(2)/2)*EC196+(1-EXP(-LN(2)/2))/(LN(2)/2)*DW197*DZ197*VLOOKUP('Données projet'!$B$14,Paramètres!$A$1:$I$88,3,0)*0.475*44/12</f>
        <v>0</v>
      </c>
      <c r="ED197" s="24">
        <f t="shared" si="178"/>
        <v>4.6760069943572695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498.99999999999955</v>
      </c>
      <c r="EK197" s="18">
        <f>EJ197*VLOOKUP('Données projet'!$B$15,Paramètres!$A$1:$I$88,3,0)*VLOOKUP('Données projet'!$B$15,Paramètres!$A$1:$I$88,5,0)</f>
        <v>233.53199999999975</v>
      </c>
      <c r="EL197" s="14">
        <f t="shared" si="179"/>
        <v>57.04570382109803</v>
      </c>
      <c r="EM197" s="22">
        <f t="shared" si="180"/>
        <v>506.08950082174533</v>
      </c>
      <c r="EN197" s="62">
        <f t="shared" si="198"/>
        <v>796.34828335596512</v>
      </c>
      <c r="EO197" s="62">
        <f ca="1">AVERAGE(OFFSET($EN$3,0,0,'Données projet'!$E$15+1,1))-AVERAGE(OFFSET($H$3,0,0,'Données projet'!$E$15+1,1))</f>
        <v>267.26203506406682</v>
      </c>
      <c r="EP197" s="62">
        <f t="shared" ref="EP197:EP203" si="210">$EP$3</f>
        <v>265.10857635664843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projet'!$B$15,Paramètres!$A$1:$I$88,3,0)*0.475*44/12</f>
        <v>3.292664627420494</v>
      </c>
      <c r="EW197" s="23">
        <f>EXP(-LN(2)/25)*EW196+(1-EXP(-LN(2)/25))/(LN(2)/25)*Calculateur!ER197*Calculateur!ET197*VLOOKUP('Données projet'!$B$15,Paramètres!$A$1:$I$88,3,0)*0.475*44/12</f>
        <v>1.2569637995217129</v>
      </c>
      <c r="EX197" s="23">
        <f>EXP(-LN(2)/2)*EX196+(1-EXP(-LN(2)/2))/(LN(2)/2)*ER197*EU197*VLOOKUP('Données projet'!$B$15,Paramètres!$A$1:$I$88,3,0)*0.475*44/12</f>
        <v>0</v>
      </c>
      <c r="EY197" s="24">
        <f t="shared" si="181"/>
        <v>4.5496284269422071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231</v>
      </c>
      <c r="FF197" s="18">
        <f>FE197*VLOOKUP('Données projet'!$B$16,Paramètres!$A$1:$I$88,3,0)*VLOOKUP('Données projet'!$B$16,Paramètres!$A$1:$I$88,5,0)</f>
        <v>169.36920000000001</v>
      </c>
      <c r="FG197" s="14">
        <f t="shared" si="182"/>
        <v>42.948714817158674</v>
      </c>
      <c r="FH197" s="22">
        <f t="shared" si="183"/>
        <v>369.787034973218</v>
      </c>
      <c r="FI197" s="62">
        <f t="shared" si="199"/>
        <v>660.04581750743773</v>
      </c>
      <c r="FJ197" s="62">
        <f ca="1">AVERAGE(OFFSET($FI$3,0,0,'Données projet'!$E$16+1,1))-AVERAGE(OFFSET($H$3,0,0,'Données projet'!$E$16+1,1))</f>
        <v>207.66160354686221</v>
      </c>
      <c r="FK197" s="62">
        <f t="shared" ref="FK197:FK203" si="211">$FK$3</f>
        <v>260.45879589483525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projet'!$B$16,Paramètres!$A$1:$I$88,3,0)*0.475*44/12</f>
        <v>0.20115787265946805</v>
      </c>
      <c r="FR197" s="23">
        <f>EXP(-LN(2)/25)*FR196+(1-EXP(-LN(2)/25))/(LN(2)/25)*Calculateur!FM197*Calculateur!FO197*VLOOKUP('Données projet'!$B$16,Paramètres!$A$1:$I$88,3,0)*0.475*44/12</f>
        <v>0</v>
      </c>
      <c r="FS197" s="23">
        <f>EXP(-LN(2)/2)*FS196+(1-EXP(-LN(2)/2))/(LN(2)/2)*FM197*FP197*VLOOKUP('Données projet'!$B$16,Paramètres!$A$1:$I$88,3,0)*0.475*44/12</f>
        <v>0</v>
      </c>
      <c r="FT197" s="24">
        <f t="shared" si="184"/>
        <v>0.20115787265946805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projet'!$B$9,Paramètres!$A$1:$I$88,3,0)*VLOOKUP('Données projet'!$B$9,Paramètres!$A$1:$I$88,5,0)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378.13552372917843</v>
      </c>
      <c r="T198" s="62">
        <f t="shared" si="204"/>
        <v>528.97123645404952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15.219437671763824</v>
      </c>
      <c r="AA198" s="23">
        <f>EXP(-LN(2)/25)*AA197+(1-EXP(-LN(2)/25))/(LN(2)/25)*Calculateur!V198*Calculateur!X198*VLOOKUP('Données projet'!$B$9,Paramètres!$A$1:$I$88,3,0)*0.475*44/12</f>
        <v>2.5969222734794322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17.816359945243256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projet'!$B$10,Paramètres!$A$1:$I$88,3,0)*VLOOKUP('Données projet'!$B$10,Paramètres!$A$1:$I$88,5,0)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290.31211911692134</v>
      </c>
      <c r="AN198" s="62">
        <f ca="1">AVERAGE(OFFSET($AM$3,0,0,'Données projet'!$E$10+1,1))-AVERAGE(OFFSET($H$3,0,0,'Données projet'!$E$10+1,1))</f>
        <v>536.3707066106856</v>
      </c>
      <c r="AO198" s="62">
        <f t="shared" si="205"/>
        <v>217.6280015974086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111.60592964441381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111.60592964441381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302.3</v>
      </c>
      <c r="BE198" s="14">
        <f>BD198*VLOOKUP('Données projet'!$B$11,Paramètres!$A$1:$I$88,3,0)*VLOOKUP('Données projet'!$B$11,Paramètres!$A$1:$I$88,5,0)</f>
        <v>180.77540000000005</v>
      </c>
      <c r="BF198" s="14">
        <f t="shared" si="167"/>
        <v>45.494655198846154</v>
      </c>
      <c r="BG198" s="22">
        <f t="shared" si="168"/>
        <v>394.08701280465715</v>
      </c>
      <c r="BH198" s="62">
        <f t="shared" si="194"/>
        <v>684.39913192157564</v>
      </c>
      <c r="BI198" s="62">
        <f ca="1">AVERAGE(OFFSET($BH$3,0,0,'Données projet'!$E$11+1,1))-AVERAGE(OFFSET($H$3,0,0,'Données projet'!$E$11+1,1))</f>
        <v>248.66193174773525</v>
      </c>
      <c r="BJ198" s="62">
        <f t="shared" si="206"/>
        <v>249.61655682981151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1.4313684085578247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1.9891477932476358E-20</v>
      </c>
      <c r="BS198" s="24">
        <f t="shared" si="169"/>
        <v>1.4313684085578247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860.00000000000023</v>
      </c>
      <c r="BZ198" s="14">
        <f>BY198*VLOOKUP('Données projet'!$B$12,Paramètres!$A$1:$I$88,3,0)*VLOOKUP('Données projet'!$B$12,Paramètres!$A$1:$I$88,5,0)</f>
        <v>346.5800000000001</v>
      </c>
      <c r="CA198" s="14">
        <f t="shared" si="170"/>
        <v>80.857895771535127</v>
      </c>
      <c r="CB198" s="22">
        <f t="shared" si="171"/>
        <v>744.45433513542378</v>
      </c>
      <c r="CC198" s="62">
        <f t="shared" si="195"/>
        <v>1034.7664542523423</v>
      </c>
      <c r="CD198" s="62">
        <f ca="1">AVERAGE(OFFSET($CC$3,0,0,'Données projet'!$E$12+1,1))-AVERAGE(OFFSET($H$3,0,0,'Données projet'!$E$12+1,1))</f>
        <v>432.59662347701629</v>
      </c>
      <c r="CE198" s="62">
        <f t="shared" si="207"/>
        <v>348.67401091099748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6.4478310769423661</v>
      </c>
      <c r="CL198" s="23">
        <f>EXP(-LN(2)/25)*CL197+(1-EXP(-LN(2)/25))/(LN(2)/25)*Calculateur!CG198*Calculateur!CI198*VLOOKUP('Données projet'!$B$12,Paramètres!$A$1:$I$88,3,0)*0.475*44/12</f>
        <v>2.8670987025576151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9.3149297794999804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1099.9999999999998</v>
      </c>
      <c r="CU198" s="18">
        <f>CT198*VLOOKUP('Données projet'!$B$13,Paramètres!$A$1:$I$88,3,0)*VLOOKUP('Données projet'!$B$13,Paramètres!$A$1:$I$88,5,0)</f>
        <v>486.19999999999993</v>
      </c>
      <c r="CV198" s="14">
        <f t="shared" si="173"/>
        <v>109.0490179035375</v>
      </c>
      <c r="CW198" s="22">
        <f t="shared" si="174"/>
        <v>1036.725372848661</v>
      </c>
      <c r="CX198" s="62">
        <f t="shared" si="196"/>
        <v>1327.0374919655794</v>
      </c>
      <c r="CY198" s="62">
        <f ca="1">AVERAGE(OFFSET($CX$3,0,0,'Données projet'!$E$13+1,1))-AVERAGE(OFFSET($H$3,0,0,'Données projet'!$E$13+1,1))</f>
        <v>582.26951914082088</v>
      </c>
      <c r="CZ198" s="62">
        <f t="shared" si="208"/>
        <v>434.80429932654715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6.4970835108799712</v>
      </c>
      <c r="DG198" s="23">
        <f>EXP(-LN(2)/25)*DG197+(1-EXP(-LN(2)/25))/(LN(2)/25)*Calculateur!DB198*Calculateur!DD198*VLOOKUP('Données projet'!$B$13,Paramètres!$A$1:$I$88,3,0)*0.475*44/12</f>
        <v>2.5763113551509411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9.0733948660309132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498.99999999999955</v>
      </c>
      <c r="DP198" s="18">
        <f>DO198*VLOOKUP('Données projet'!$B$14,Paramètres!$A$1:$I$88,3,0)*VLOOKUP('Données projet'!$B$14,Paramètres!$A$1:$I$88,5,0)</f>
        <v>240.01899999999978</v>
      </c>
      <c r="DQ198" s="14">
        <f t="shared" si="176"/>
        <v>58.443618405936313</v>
      </c>
      <c r="DR198" s="22">
        <f t="shared" si="177"/>
        <v>519.82239372367201</v>
      </c>
      <c r="DS198" s="62">
        <f t="shared" si="197"/>
        <v>810.13451284059056</v>
      </c>
      <c r="DT198" s="62">
        <f ca="1">AVERAGE(OFFSET($DS$3,0,0,'Données projet'!$E$14+1,1))-AVERAGE(OFFSET($H$3,0,0,'Données projet'!$E$14+1,1))</f>
        <v>273.24375559399846</v>
      </c>
      <c r="DU198" s="62">
        <f t="shared" si="209"/>
        <v>270.77718895097848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projet'!$B$14,Paramètres!$A$1:$I$88,3,0)*0.475*44/12</f>
        <v>3.3177668569151146</v>
      </c>
      <c r="EB198" s="23">
        <f>EXP(-LN(2)/25)*EB197+(1-EXP(-LN(2)/25))/(LN(2)/25)*Calculateur!DW198*Calculateur!DY198*VLOOKUP('Données projet'!$B$14,Paramètres!$A$1:$I$88,3,0)*0.475*44/12</f>
        <v>1.2565529488319096</v>
      </c>
      <c r="EC198" s="23">
        <f>EXP(-LN(2)/2)*EC197+(1-EXP(-LN(2)/2))/(LN(2)/2)*DW198*DZ198*VLOOKUP('Données projet'!$B$14,Paramètres!$A$1:$I$88,3,0)*0.475*44/12</f>
        <v>0</v>
      </c>
      <c r="ED198" s="24">
        <f t="shared" si="178"/>
        <v>4.5743198057470238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498.99999999999955</v>
      </c>
      <c r="EK198" s="18">
        <f>EJ198*VLOOKUP('Données projet'!$B$15,Paramètres!$A$1:$I$88,3,0)*VLOOKUP('Données projet'!$B$15,Paramètres!$A$1:$I$88,5,0)</f>
        <v>233.53199999999975</v>
      </c>
      <c r="EL198" s="14">
        <f t="shared" si="179"/>
        <v>57.04570382109803</v>
      </c>
      <c r="EM198" s="22">
        <f t="shared" si="180"/>
        <v>506.08950082174533</v>
      </c>
      <c r="EN198" s="62">
        <f t="shared" si="198"/>
        <v>796.40161993866377</v>
      </c>
      <c r="EO198" s="62">
        <f ca="1">AVERAGE(OFFSET($EN$3,0,0,'Données projet'!$E$15+1,1))-AVERAGE(OFFSET($H$3,0,0,'Données projet'!$E$15+1,1))</f>
        <v>267.26203506406682</v>
      </c>
      <c r="EP198" s="62">
        <f t="shared" si="210"/>
        <v>265.10857635664843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projet'!$B$15,Paramètres!$A$1:$I$88,3,0)*0.475*44/12</f>
        <v>3.228097482403895</v>
      </c>
      <c r="EW198" s="23">
        <f>EXP(-LN(2)/25)*EW197+(1-EXP(-LN(2)/25))/(LN(2)/25)*Calculateur!ER198*Calculateur!ET198*VLOOKUP('Données projet'!$B$15,Paramètres!$A$1:$I$88,3,0)*0.475*44/12</f>
        <v>1.2225920583229382</v>
      </c>
      <c r="EX198" s="23">
        <f>EXP(-LN(2)/2)*EX197+(1-EXP(-LN(2)/2))/(LN(2)/2)*ER198*EU198*VLOOKUP('Données projet'!$B$15,Paramètres!$A$1:$I$88,3,0)*0.475*44/12</f>
        <v>0</v>
      </c>
      <c r="EY198" s="24">
        <f t="shared" si="181"/>
        <v>4.4506895407268328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231</v>
      </c>
      <c r="FF198" s="18">
        <f>FE198*VLOOKUP('Données projet'!$B$16,Paramètres!$A$1:$I$88,3,0)*VLOOKUP('Données projet'!$B$16,Paramètres!$A$1:$I$88,5,0)</f>
        <v>169.36920000000001</v>
      </c>
      <c r="FG198" s="14">
        <f t="shared" si="182"/>
        <v>42.948714817158674</v>
      </c>
      <c r="FH198" s="22">
        <f t="shared" si="183"/>
        <v>369.787034973218</v>
      </c>
      <c r="FI198" s="62">
        <f t="shared" si="199"/>
        <v>660.09915409013649</v>
      </c>
      <c r="FJ198" s="62">
        <f ca="1">AVERAGE(OFFSET($FI$3,0,0,'Données projet'!$E$16+1,1))-AVERAGE(OFFSET($H$3,0,0,'Données projet'!$E$16+1,1))</f>
        <v>207.66160354686221</v>
      </c>
      <c r="FK198" s="62">
        <f t="shared" si="211"/>
        <v>260.45879589483525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projet'!$B$16,Paramètres!$A$1:$I$88,3,0)*0.475*44/12</f>
        <v>0.19721328947080316</v>
      </c>
      <c r="FR198" s="23">
        <f>EXP(-LN(2)/25)*FR197+(1-EXP(-LN(2)/25))/(LN(2)/25)*Calculateur!FM198*Calculateur!FO198*VLOOKUP('Données projet'!$B$16,Paramètres!$A$1:$I$88,3,0)*0.475*44/12</f>
        <v>0</v>
      </c>
      <c r="FS198" s="23">
        <f>EXP(-LN(2)/2)*FS197+(1-EXP(-LN(2)/2))/(LN(2)/2)*FM198*FP198*VLOOKUP('Données projet'!$B$16,Paramètres!$A$1:$I$88,3,0)*0.475*44/12</f>
        <v>0</v>
      </c>
      <c r="FT198" s="24">
        <f t="shared" si="184"/>
        <v>0.19721328947080316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projet'!$B$9,Paramètres!$A$1:$I$88,3,0)*VLOOKUP('Données projet'!$B$9,Paramètres!$A$1:$I$88,5,0)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378.13552372917843</v>
      </c>
      <c r="T199" s="62">
        <f t="shared" si="204"/>
        <v>528.97123645404952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14.920993781960901</v>
      </c>
      <c r="AA199" s="23">
        <f>EXP(-LN(2)/25)*AA198+(1-EXP(-LN(2)/25))/(LN(2)/25)*Calculateur!V199*Calculateur!X199*VLOOKUP('Données projet'!$B$9,Paramètres!$A$1:$I$88,3,0)*0.475*44/12</f>
        <v>2.52590929734493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17.44690307930583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projet'!$B$10,Paramètres!$A$1:$I$88,3,0)*VLOOKUP('Données projet'!$B$10,Paramètres!$A$1:$I$88,5,0)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290.36453042915304</v>
      </c>
      <c r="AN199" s="62">
        <f ca="1">AVERAGE(OFFSET($AM$3,0,0,'Données projet'!$E$10+1,1))-AVERAGE(OFFSET($H$3,0,0,'Données projet'!$E$10+1,1))</f>
        <v>536.3707066106856</v>
      </c>
      <c r="AO199" s="62">
        <f t="shared" si="205"/>
        <v>217.6280015974086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109.41740543698229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109.41740543698229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302.3</v>
      </c>
      <c r="BE199" s="14">
        <f>BD199*VLOOKUP('Données projet'!$B$11,Paramètres!$A$1:$I$88,3,0)*VLOOKUP('Données projet'!$B$11,Paramètres!$A$1:$I$88,5,0)</f>
        <v>180.77540000000005</v>
      </c>
      <c r="BF199" s="14">
        <f t="shared" si="167"/>
        <v>45.494655198846154</v>
      </c>
      <c r="BG199" s="22">
        <f t="shared" si="168"/>
        <v>394.08701280465715</v>
      </c>
      <c r="BH199" s="62">
        <f t="shared" si="194"/>
        <v>684.45154323380734</v>
      </c>
      <c r="BI199" s="62">
        <f ca="1">AVERAGE(OFFSET($BH$3,0,0,'Données projet'!$E$11+1,1))-AVERAGE(OFFSET($H$3,0,0,'Données projet'!$E$11+1,1))</f>
        <v>248.66193174773525</v>
      </c>
      <c r="BJ199" s="62">
        <f t="shared" si="206"/>
        <v>249.61655682981151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1.4033001471145286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1.4065398933876599E-20</v>
      </c>
      <c r="BS199" s="24">
        <f t="shared" si="169"/>
        <v>1.4033001471145286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860.00000000000023</v>
      </c>
      <c r="BZ199" s="14">
        <f>BY199*VLOOKUP('Données projet'!$B$12,Paramètres!$A$1:$I$88,3,0)*VLOOKUP('Données projet'!$B$12,Paramètres!$A$1:$I$88,5,0)</f>
        <v>346.5800000000001</v>
      </c>
      <c r="CA199" s="14">
        <f t="shared" si="170"/>
        <v>80.857895771535127</v>
      </c>
      <c r="CB199" s="22">
        <f t="shared" si="171"/>
        <v>744.45433513542378</v>
      </c>
      <c r="CC199" s="62">
        <f t="shared" si="195"/>
        <v>1034.818865564574</v>
      </c>
      <c r="CD199" s="62">
        <f ca="1">AVERAGE(OFFSET($CC$3,0,0,'Données projet'!$E$12+1,1))-AVERAGE(OFFSET($H$3,0,0,'Données projet'!$E$12+1,1))</f>
        <v>432.59662347701629</v>
      </c>
      <c r="CE199" s="62">
        <f t="shared" si="207"/>
        <v>348.67401091099748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6.3213930423121525</v>
      </c>
      <c r="CL199" s="23">
        <f>EXP(-LN(2)/25)*CL198+(1-EXP(-LN(2)/25))/(LN(2)/25)*Calculateur!CG199*Calculateur!CI199*VLOOKUP('Données projet'!$B$12,Paramètres!$A$1:$I$88,3,0)*0.475*44/12</f>
        <v>2.7886977377620092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9.1100907800741613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1099.9999999999998</v>
      </c>
      <c r="CU199" s="18">
        <f>CT199*VLOOKUP('Données projet'!$B$13,Paramètres!$A$1:$I$88,3,0)*VLOOKUP('Données projet'!$B$13,Paramètres!$A$1:$I$88,5,0)</f>
        <v>486.19999999999993</v>
      </c>
      <c r="CV199" s="14">
        <f t="shared" si="173"/>
        <v>109.0490179035375</v>
      </c>
      <c r="CW199" s="22">
        <f t="shared" si="174"/>
        <v>1036.725372848661</v>
      </c>
      <c r="CX199" s="62">
        <f t="shared" si="196"/>
        <v>1327.0899032778111</v>
      </c>
      <c r="CY199" s="62">
        <f ca="1">AVERAGE(OFFSET($CX$3,0,0,'Données projet'!$E$13+1,1))-AVERAGE(OFFSET($H$3,0,0,'Données projet'!$E$13+1,1))</f>
        <v>582.26951914082088</v>
      </c>
      <c r="CZ199" s="62">
        <f t="shared" si="208"/>
        <v>434.80429932654715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6.36967966606126</v>
      </c>
      <c r="DG199" s="23">
        <f>EXP(-LN(2)/25)*DG198+(1-EXP(-LN(2)/25))/(LN(2)/25)*Calculateur!DB199*Calculateur!DD199*VLOOKUP('Données projet'!$B$13,Paramètres!$A$1:$I$88,3,0)*0.475*44/12</f>
        <v>2.5058619856620128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8.8755416517232728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498.99999999999955</v>
      </c>
      <c r="DP199" s="18">
        <f>DO199*VLOOKUP('Données projet'!$B$14,Paramètres!$A$1:$I$88,3,0)*VLOOKUP('Données projet'!$B$14,Paramètres!$A$1:$I$88,5,0)</f>
        <v>240.01899999999978</v>
      </c>
      <c r="DQ199" s="14">
        <f t="shared" si="176"/>
        <v>58.443618405936313</v>
      </c>
      <c r="DR199" s="22">
        <f t="shared" si="177"/>
        <v>519.82239372367201</v>
      </c>
      <c r="DS199" s="62">
        <f t="shared" si="197"/>
        <v>810.18692415282226</v>
      </c>
      <c r="DT199" s="62">
        <f ca="1">AVERAGE(OFFSET($DS$3,0,0,'Données projet'!$E$14+1,1))-AVERAGE(OFFSET($H$3,0,0,'Données projet'!$E$14+1,1))</f>
        <v>273.24375559399846</v>
      </c>
      <c r="DU199" s="62">
        <f t="shared" si="209"/>
        <v>270.77718895097848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projet'!$B$14,Paramètres!$A$1:$I$88,3,0)*0.475*44/12</f>
        <v>3.2527074724889742</v>
      </c>
      <c r="EB199" s="23">
        <f>EXP(-LN(2)/25)*EB198+(1-EXP(-LN(2)/25))/(LN(2)/25)*Calculateur!DW199*Calculateur!DY199*VLOOKUP('Données projet'!$B$14,Paramètres!$A$1:$I$88,3,0)*0.475*44/12</f>
        <v>1.2221924423668533</v>
      </c>
      <c r="EC199" s="23">
        <f>EXP(-LN(2)/2)*EC198+(1-EXP(-LN(2)/2))/(LN(2)/2)*DW199*DZ199*VLOOKUP('Données projet'!$B$14,Paramètres!$A$1:$I$88,3,0)*0.475*44/12</f>
        <v>0</v>
      </c>
      <c r="ED199" s="24">
        <f t="shared" si="178"/>
        <v>4.4748999148558273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498.99999999999955</v>
      </c>
      <c r="EK199" s="18">
        <f>EJ199*VLOOKUP('Données projet'!$B$15,Paramètres!$A$1:$I$88,3,0)*VLOOKUP('Données projet'!$B$15,Paramètres!$A$1:$I$88,5,0)</f>
        <v>233.53199999999975</v>
      </c>
      <c r="EL199" s="14">
        <f t="shared" si="179"/>
        <v>57.04570382109803</v>
      </c>
      <c r="EM199" s="22">
        <f t="shared" si="180"/>
        <v>506.08950082174533</v>
      </c>
      <c r="EN199" s="62">
        <f t="shared" si="198"/>
        <v>796.45403125089547</v>
      </c>
      <c r="EO199" s="62">
        <f ca="1">AVERAGE(OFFSET($EN$3,0,0,'Données projet'!$E$15+1,1))-AVERAGE(OFFSET($H$3,0,0,'Données projet'!$E$15+1,1))</f>
        <v>267.26203506406682</v>
      </c>
      <c r="EP199" s="62">
        <f t="shared" si="210"/>
        <v>265.10857635664843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projet'!$B$15,Paramètres!$A$1:$I$88,3,0)*0.475*44/12</f>
        <v>3.1647964597190019</v>
      </c>
      <c r="EW199" s="23">
        <f>EXP(-LN(2)/25)*EW198+(1-EXP(-LN(2)/25))/(LN(2)/25)*Calculateur!ER199*Calculateur!ET199*VLOOKUP('Données projet'!$B$15,Paramètres!$A$1:$I$88,3,0)*0.475*44/12</f>
        <v>1.1891602141947752</v>
      </c>
      <c r="EX199" s="23">
        <f>EXP(-LN(2)/2)*EX198+(1-EXP(-LN(2)/2))/(LN(2)/2)*ER199*EU199*VLOOKUP('Données projet'!$B$15,Paramètres!$A$1:$I$88,3,0)*0.475*44/12</f>
        <v>0</v>
      </c>
      <c r="EY199" s="24">
        <f t="shared" si="181"/>
        <v>4.3539566739137774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231</v>
      </c>
      <c r="FF199" s="18">
        <f>FE199*VLOOKUP('Données projet'!$B$16,Paramètres!$A$1:$I$88,3,0)*VLOOKUP('Données projet'!$B$16,Paramètres!$A$1:$I$88,5,0)</f>
        <v>169.36920000000001</v>
      </c>
      <c r="FG199" s="14">
        <f t="shared" si="182"/>
        <v>42.948714817158674</v>
      </c>
      <c r="FH199" s="22">
        <f t="shared" si="183"/>
        <v>369.787034973218</v>
      </c>
      <c r="FI199" s="62">
        <f t="shared" si="199"/>
        <v>660.15156540236819</v>
      </c>
      <c r="FJ199" s="62">
        <f ca="1">AVERAGE(OFFSET($FI$3,0,0,'Données projet'!$E$16+1,1))-AVERAGE(OFFSET($H$3,0,0,'Données projet'!$E$16+1,1))</f>
        <v>207.66160354686221</v>
      </c>
      <c r="FK199" s="62">
        <f t="shared" si="211"/>
        <v>260.45879589483525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projet'!$B$16,Paramètres!$A$1:$I$88,3,0)*0.475*44/12</f>
        <v>0.1933460571525098</v>
      </c>
      <c r="FR199" s="23">
        <f>EXP(-LN(2)/25)*FR198+(1-EXP(-LN(2)/25))/(LN(2)/25)*Calculateur!FM199*Calculateur!FO199*VLOOKUP('Données projet'!$B$16,Paramètres!$A$1:$I$88,3,0)*0.475*44/12</f>
        <v>0</v>
      </c>
      <c r="FS199" s="23">
        <f>EXP(-LN(2)/2)*FS198+(1-EXP(-LN(2)/2))/(LN(2)/2)*FM199*FP199*VLOOKUP('Données projet'!$B$16,Paramètres!$A$1:$I$88,3,0)*0.475*44/12</f>
        <v>0</v>
      </c>
      <c r="FT199" s="24">
        <f t="shared" si="184"/>
        <v>0.1933460571525098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projet'!$B$9,Paramètres!$A$1:$I$88,3,0)*VLOOKUP('Données projet'!$B$9,Paramètres!$A$1:$I$88,5,0)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378.13552372917843</v>
      </c>
      <c r="T200" s="62">
        <f t="shared" si="204"/>
        <v>528.97123645404952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14.628402194804215</v>
      </c>
      <c r="AA200" s="23">
        <f>EXP(-LN(2)/25)*AA199+(1-EXP(-LN(2)/25))/(LN(2)/25)*Calculateur!V200*Calculateur!X200*VLOOKUP('Données projet'!$B$9,Paramètres!$A$1:$I$88,3,0)*0.475*44/12</f>
        <v>2.4568381747772361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17.085240369581452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projet'!$B$10,Paramètres!$A$1:$I$88,3,0)*VLOOKUP('Données projet'!$B$10,Paramètres!$A$1:$I$88,5,0)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290.41603252229163</v>
      </c>
      <c r="AN200" s="62">
        <f ca="1">AVERAGE(OFFSET($AM$3,0,0,'Données projet'!$E$10+1,1))-AVERAGE(OFFSET($H$3,0,0,'Données projet'!$E$10+1,1))</f>
        <v>536.3707066106856</v>
      </c>
      <c r="AO200" s="62">
        <f t="shared" si="205"/>
        <v>217.6280015974086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107.27179685439056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107.27179685439056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302.3</v>
      </c>
      <c r="BE200" s="14">
        <f>BD200*VLOOKUP('Données projet'!$B$11,Paramètres!$A$1:$I$88,3,0)*VLOOKUP('Données projet'!$B$11,Paramètres!$A$1:$I$88,5,0)</f>
        <v>180.77540000000005</v>
      </c>
      <c r="BF200" s="14">
        <f t="shared" si="167"/>
        <v>45.494655198846154</v>
      </c>
      <c r="BG200" s="22">
        <f t="shared" si="168"/>
        <v>394.08701280465715</v>
      </c>
      <c r="BH200" s="62">
        <f t="shared" si="194"/>
        <v>684.50304532694599</v>
      </c>
      <c r="BI200" s="62">
        <f ca="1">AVERAGE(OFFSET($BH$3,0,0,'Données projet'!$E$11+1,1))-AVERAGE(OFFSET($H$3,0,0,'Données projet'!$E$11+1,1))</f>
        <v>248.66193174773525</v>
      </c>
      <c r="BJ200" s="62">
        <f t="shared" si="206"/>
        <v>249.61655682981151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1.3757822871581864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9.9457389662381792E-21</v>
      </c>
      <c r="BS200" s="24">
        <f t="shared" si="169"/>
        <v>1.3757822871581864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860.00000000000023</v>
      </c>
      <c r="BZ200" s="14">
        <f>BY200*VLOOKUP('Données projet'!$B$12,Paramètres!$A$1:$I$88,3,0)*VLOOKUP('Données projet'!$B$12,Paramètres!$A$1:$I$88,5,0)</f>
        <v>346.5800000000001</v>
      </c>
      <c r="CA200" s="14">
        <f t="shared" si="170"/>
        <v>80.857895771535127</v>
      </c>
      <c r="CB200" s="22">
        <f t="shared" si="171"/>
        <v>744.45433513542378</v>
      </c>
      <c r="CC200" s="62">
        <f t="shared" si="195"/>
        <v>1034.8703676577124</v>
      </c>
      <c r="CD200" s="62">
        <f ca="1">AVERAGE(OFFSET($CC$3,0,0,'Données projet'!$E$12+1,1))-AVERAGE(OFFSET($H$3,0,0,'Données projet'!$E$12+1,1))</f>
        <v>432.59662347701629</v>
      </c>
      <c r="CE200" s="62">
        <f t="shared" si="207"/>
        <v>348.67401091099748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6.1974343804214511</v>
      </c>
      <c r="CL200" s="23">
        <f>EXP(-LN(2)/25)*CL199+(1-EXP(-LN(2)/25))/(LN(2)/25)*Calculateur!CG200*Calculateur!CI200*VLOOKUP('Données projet'!$B$12,Paramètres!$A$1:$I$88,3,0)*0.475*44/12</f>
        <v>2.7124406514716668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8.9098750318931188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1099.9999999999998</v>
      </c>
      <c r="CU200" s="18">
        <f>CT200*VLOOKUP('Données projet'!$B$13,Paramètres!$A$1:$I$88,3,0)*VLOOKUP('Données projet'!$B$13,Paramètres!$A$1:$I$88,5,0)</f>
        <v>486.19999999999993</v>
      </c>
      <c r="CV200" s="14">
        <f t="shared" si="173"/>
        <v>109.0490179035375</v>
      </c>
      <c r="CW200" s="22">
        <f t="shared" si="174"/>
        <v>1036.725372848661</v>
      </c>
      <c r="CX200" s="62">
        <f t="shared" si="196"/>
        <v>1327.1414053709498</v>
      </c>
      <c r="CY200" s="62">
        <f ca="1">AVERAGE(OFFSET($CX$3,0,0,'Données projet'!$E$13+1,1))-AVERAGE(OFFSET($H$3,0,0,'Données projet'!$E$13+1,1))</f>
        <v>582.26951914082088</v>
      </c>
      <c r="CZ200" s="62">
        <f t="shared" si="208"/>
        <v>434.80429932654715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6.2447741329307709</v>
      </c>
      <c r="DG200" s="23">
        <f>EXP(-LN(2)/25)*DG199+(1-EXP(-LN(2)/25))/(LN(2)/25)*Calculateur!DB200*Calculateur!DD200*VLOOKUP('Données projet'!$B$13,Paramètres!$A$1:$I$88,3,0)*0.475*44/12</f>
        <v>2.4373390578865304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8.6821131908173008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498.99999999999955</v>
      </c>
      <c r="DP200" s="18">
        <f>DO200*VLOOKUP('Données projet'!$B$14,Paramètres!$A$1:$I$88,3,0)*VLOOKUP('Données projet'!$B$14,Paramètres!$A$1:$I$88,5,0)</f>
        <v>240.01899999999978</v>
      </c>
      <c r="DQ200" s="14">
        <f t="shared" si="176"/>
        <v>58.443618405936313</v>
      </c>
      <c r="DR200" s="22">
        <f t="shared" si="177"/>
        <v>519.82239372367201</v>
      </c>
      <c r="DS200" s="62">
        <f t="shared" si="197"/>
        <v>810.2384262459608</v>
      </c>
      <c r="DT200" s="62">
        <f ca="1">AVERAGE(OFFSET($DS$3,0,0,'Données projet'!$E$14+1,1))-AVERAGE(OFFSET($H$3,0,0,'Données projet'!$E$14+1,1))</f>
        <v>273.24375559399846</v>
      </c>
      <c r="DU200" s="62">
        <f t="shared" si="209"/>
        <v>270.77718895097848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projet'!$B$14,Paramètres!$A$1:$I$88,3,0)*0.475*44/12</f>
        <v>3.1889238629091241</v>
      </c>
      <c r="EB200" s="23">
        <f>EXP(-LN(2)/25)*EB199+(1-EXP(-LN(2)/25))/(LN(2)/25)*Calculateur!DW200*Calculateur!DY200*VLOOKUP('Données projet'!$B$14,Paramètres!$A$1:$I$88,3,0)*0.475*44/12</f>
        <v>1.1887715257580245</v>
      </c>
      <c r="EC200" s="23">
        <f>EXP(-LN(2)/2)*EC199+(1-EXP(-LN(2)/2))/(LN(2)/2)*DW200*DZ200*VLOOKUP('Données projet'!$B$14,Paramètres!$A$1:$I$88,3,0)*0.475*44/12</f>
        <v>0</v>
      </c>
      <c r="ED200" s="24">
        <f t="shared" si="178"/>
        <v>4.3776953886671484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498.99999999999955</v>
      </c>
      <c r="EK200" s="18">
        <f>EJ200*VLOOKUP('Données projet'!$B$15,Paramètres!$A$1:$I$88,3,0)*VLOOKUP('Données projet'!$B$15,Paramètres!$A$1:$I$88,5,0)</f>
        <v>233.53199999999975</v>
      </c>
      <c r="EL200" s="14">
        <f t="shared" si="179"/>
        <v>57.04570382109803</v>
      </c>
      <c r="EM200" s="22">
        <f t="shared" si="180"/>
        <v>506.08950082174533</v>
      </c>
      <c r="EN200" s="62">
        <f t="shared" si="198"/>
        <v>796.50553334403412</v>
      </c>
      <c r="EO200" s="62">
        <f ca="1">AVERAGE(OFFSET($EN$3,0,0,'Données projet'!$E$15+1,1))-AVERAGE(OFFSET($H$3,0,0,'Données projet'!$E$15+1,1))</f>
        <v>267.26203506406682</v>
      </c>
      <c r="EP200" s="62">
        <f t="shared" si="210"/>
        <v>265.10857635664843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projet'!$B$15,Paramètres!$A$1:$I$88,3,0)*0.475*44/12</f>
        <v>3.1027367314791481</v>
      </c>
      <c r="EW200" s="23">
        <f>EXP(-LN(2)/25)*EW199+(1-EXP(-LN(2)/25))/(LN(2)/25)*Calculateur!ER200*Calculateur!ET200*VLOOKUP('Données projet'!$B$15,Paramètres!$A$1:$I$88,3,0)*0.475*44/12</f>
        <v>1.1566425656024013</v>
      </c>
      <c r="EX200" s="23">
        <f>EXP(-LN(2)/2)*EX199+(1-EXP(-LN(2)/2))/(LN(2)/2)*ER200*EU200*VLOOKUP('Données projet'!$B$15,Paramètres!$A$1:$I$88,3,0)*0.475*44/12</f>
        <v>0</v>
      </c>
      <c r="EY200" s="24">
        <f t="shared" si="181"/>
        <v>4.2593792970815496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231</v>
      </c>
      <c r="FF200" s="18">
        <f>FE200*VLOOKUP('Données projet'!$B$16,Paramètres!$A$1:$I$88,3,0)*VLOOKUP('Données projet'!$B$16,Paramètres!$A$1:$I$88,5,0)</f>
        <v>169.36920000000001</v>
      </c>
      <c r="FG200" s="14">
        <f t="shared" si="182"/>
        <v>42.948714817158674</v>
      </c>
      <c r="FH200" s="22">
        <f t="shared" si="183"/>
        <v>369.787034973218</v>
      </c>
      <c r="FI200" s="62">
        <f t="shared" si="199"/>
        <v>660.20306749550673</v>
      </c>
      <c r="FJ200" s="62">
        <f ca="1">AVERAGE(OFFSET($FI$3,0,0,'Données projet'!$E$16+1,1))-AVERAGE(OFFSET($H$3,0,0,'Données projet'!$E$16+1,1))</f>
        <v>207.66160354686221</v>
      </c>
      <c r="FK200" s="62">
        <f t="shared" si="211"/>
        <v>260.45879589483525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projet'!$B$16,Paramètres!$A$1:$I$88,3,0)*0.475*44/12</f>
        <v>0.18955465890119938</v>
      </c>
      <c r="FR200" s="23">
        <f>EXP(-LN(2)/25)*FR199+(1-EXP(-LN(2)/25))/(LN(2)/25)*Calculateur!FM200*Calculateur!FO200*VLOOKUP('Données projet'!$B$16,Paramètres!$A$1:$I$88,3,0)*0.475*44/12</f>
        <v>0</v>
      </c>
      <c r="FS200" s="23">
        <f>EXP(-LN(2)/2)*FS199+(1-EXP(-LN(2)/2))/(LN(2)/2)*FM200*FP200*VLOOKUP('Données projet'!$B$16,Paramètres!$A$1:$I$88,3,0)*0.475*44/12</f>
        <v>0</v>
      </c>
      <c r="FT200" s="24">
        <f t="shared" si="184"/>
        <v>0.18955465890119938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projet'!$B$9,Paramètres!$A$1:$I$88,3,0)*VLOOKUP('Données projet'!$B$9,Paramètres!$A$1:$I$88,5,0)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378.13552372917843</v>
      </c>
      <c r="T201" s="62">
        <f t="shared" si="204"/>
        <v>528.97123645404952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14.341548150208425</v>
      </c>
      <c r="AA201" s="23">
        <f>EXP(-LN(2)/25)*AA200+(1-EXP(-LN(2)/25))/(LN(2)/25)*Calculateur!V201*Calculateur!X201*VLOOKUP('Données projet'!$B$9,Paramètres!$A$1:$I$88,3,0)*0.475*44/12</f>
        <v>2.3896558056884483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16.731203955896873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projet'!$B$10,Paramètres!$A$1:$I$88,3,0)*VLOOKUP('Données projet'!$B$10,Paramètres!$A$1:$I$88,5,0)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290.46664116925575</v>
      </c>
      <c r="AN201" s="62">
        <f ca="1">AVERAGE(OFFSET($AM$3,0,0,'Données projet'!$E$10+1,1))-AVERAGE(OFFSET($H$3,0,0,'Données projet'!$E$10+1,1))</f>
        <v>536.3707066106856</v>
      </c>
      <c r="AO201" s="62">
        <f t="shared" si="205"/>
        <v>217.6280015974086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105.16826234741143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105.16826234741143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302.3</v>
      </c>
      <c r="BE201" s="14">
        <f>BD201*VLOOKUP('Données projet'!$B$11,Paramètres!$A$1:$I$88,3,0)*VLOOKUP('Données projet'!$B$11,Paramètres!$A$1:$I$88,5,0)</f>
        <v>180.77540000000005</v>
      </c>
      <c r="BF201" s="14">
        <f t="shared" si="167"/>
        <v>45.494655198846154</v>
      </c>
      <c r="BG201" s="22">
        <f t="shared" si="168"/>
        <v>394.08701280465715</v>
      </c>
      <c r="BH201" s="62">
        <f t="shared" si="194"/>
        <v>684.55365397391006</v>
      </c>
      <c r="BI201" s="62">
        <f ca="1">AVERAGE(OFFSET($BH$3,0,0,'Données projet'!$E$11+1,1))-AVERAGE(OFFSET($H$3,0,0,'Données projet'!$E$11+1,1))</f>
        <v>248.66193174773525</v>
      </c>
      <c r="BJ201" s="62">
        <f t="shared" si="206"/>
        <v>249.61655682981151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1.3488040356513509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7.0326994669382994E-21</v>
      </c>
      <c r="BS201" s="24">
        <f t="shared" si="169"/>
        <v>1.3488040356513509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860.00000000000023</v>
      </c>
      <c r="BZ201" s="14">
        <f>BY201*VLOOKUP('Données projet'!$B$12,Paramètres!$A$1:$I$88,3,0)*VLOOKUP('Données projet'!$B$12,Paramètres!$A$1:$I$88,5,0)</f>
        <v>346.5800000000001</v>
      </c>
      <c r="CA201" s="14">
        <f t="shared" si="170"/>
        <v>80.857895771535127</v>
      </c>
      <c r="CB201" s="22">
        <f t="shared" si="171"/>
        <v>744.45433513542378</v>
      </c>
      <c r="CC201" s="62">
        <f t="shared" si="195"/>
        <v>1034.9209763046767</v>
      </c>
      <c r="CD201" s="62">
        <f ca="1">AVERAGE(OFFSET($CC$3,0,0,'Données projet'!$E$12+1,1))-AVERAGE(OFFSET($H$3,0,0,'Données projet'!$E$12+1,1))</f>
        <v>432.59662347701629</v>
      </c>
      <c r="CE201" s="62">
        <f t="shared" si="207"/>
        <v>348.67401091099748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6.0759064722831084</v>
      </c>
      <c r="CL201" s="23">
        <f>EXP(-LN(2)/25)*CL200+(1-EXP(-LN(2)/25))/(LN(2)/25)*Calculateur!CG201*Calculateur!CI201*VLOOKUP('Données projet'!$B$12,Paramètres!$A$1:$I$88,3,0)*0.475*44/12</f>
        <v>2.6382688192161194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8.7141752914992274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1099.9999999999998</v>
      </c>
      <c r="CU201" s="18">
        <f>CT201*VLOOKUP('Données projet'!$B$13,Paramètres!$A$1:$I$88,3,0)*VLOOKUP('Données projet'!$B$13,Paramètres!$A$1:$I$88,5,0)</f>
        <v>486.19999999999993</v>
      </c>
      <c r="CV201" s="14">
        <f t="shared" si="173"/>
        <v>109.0490179035375</v>
      </c>
      <c r="CW201" s="22">
        <f t="shared" si="174"/>
        <v>1036.725372848661</v>
      </c>
      <c r="CX201" s="62">
        <f t="shared" si="196"/>
        <v>1327.1920140179138</v>
      </c>
      <c r="CY201" s="62">
        <f ca="1">AVERAGE(OFFSET($CX$3,0,0,'Données projet'!$E$13+1,1))-AVERAGE(OFFSET($H$3,0,0,'Données projet'!$E$13+1,1))</f>
        <v>582.26951914082088</v>
      </c>
      <c r="CZ201" s="62">
        <f t="shared" si="208"/>
        <v>434.80429932654715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6.1223179211201186</v>
      </c>
      <c r="DG201" s="23">
        <f>EXP(-LN(2)/25)*DG200+(1-EXP(-LN(2)/25))/(LN(2)/25)*Calculateur!DB201*Calculateur!DD201*VLOOKUP('Données projet'!$B$13,Paramètres!$A$1:$I$88,3,0)*0.475*44/12</f>
        <v>2.3706898931745326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8.4930078142946517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498.99999999999955</v>
      </c>
      <c r="DP201" s="18">
        <f>DO201*VLOOKUP('Données projet'!$B$14,Paramètres!$A$1:$I$88,3,0)*VLOOKUP('Données projet'!$B$14,Paramètres!$A$1:$I$88,5,0)</f>
        <v>240.01899999999978</v>
      </c>
      <c r="DQ201" s="14">
        <f t="shared" si="176"/>
        <v>58.443618405936313</v>
      </c>
      <c r="DR201" s="22">
        <f t="shared" si="177"/>
        <v>519.82239372367201</v>
      </c>
      <c r="DS201" s="62">
        <f t="shared" si="197"/>
        <v>810.28903489292497</v>
      </c>
      <c r="DT201" s="62">
        <f ca="1">AVERAGE(OFFSET($DS$3,0,0,'Données projet'!$E$14+1,1))-AVERAGE(OFFSET($H$3,0,0,'Données projet'!$E$14+1,1))</f>
        <v>273.24375559399846</v>
      </c>
      <c r="DU201" s="62">
        <f t="shared" si="209"/>
        <v>270.77718895097848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projet'!$B$14,Paramètres!$A$1:$I$88,3,0)*0.475*44/12</f>
        <v>3.1263910110089745</v>
      </c>
      <c r="EB201" s="23">
        <f>EXP(-LN(2)/25)*EB200+(1-EXP(-LN(2)/25))/(LN(2)/25)*Calculateur!DW201*Calculateur!DY201*VLOOKUP('Données projet'!$B$14,Paramètres!$A$1:$I$88,3,0)*0.475*44/12</f>
        <v>1.1562645058713936</v>
      </c>
      <c r="EC201" s="23">
        <f>EXP(-LN(2)/2)*EC200+(1-EXP(-LN(2)/2))/(LN(2)/2)*DW201*DZ201*VLOOKUP('Données projet'!$B$14,Paramètres!$A$1:$I$88,3,0)*0.475*44/12</f>
        <v>0</v>
      </c>
      <c r="ED201" s="24">
        <f t="shared" si="178"/>
        <v>4.2826555168803679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498.99999999999955</v>
      </c>
      <c r="EK201" s="18">
        <f>EJ201*VLOOKUP('Données projet'!$B$15,Paramètres!$A$1:$I$88,3,0)*VLOOKUP('Données projet'!$B$15,Paramètres!$A$1:$I$88,5,0)</f>
        <v>233.53199999999975</v>
      </c>
      <c r="EL201" s="14">
        <f t="shared" si="179"/>
        <v>57.04570382109803</v>
      </c>
      <c r="EM201" s="22">
        <f t="shared" si="180"/>
        <v>506.08950082174533</v>
      </c>
      <c r="EN201" s="62">
        <f t="shared" si="198"/>
        <v>796.55614199099819</v>
      </c>
      <c r="EO201" s="62">
        <f ca="1">AVERAGE(OFFSET($EN$3,0,0,'Données projet'!$E$15+1,1))-AVERAGE(OFFSET($H$3,0,0,'Données projet'!$E$15+1,1))</f>
        <v>267.26203506406682</v>
      </c>
      <c r="EP201" s="62">
        <f t="shared" si="210"/>
        <v>265.10857635664843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projet'!$B$15,Paramètres!$A$1:$I$88,3,0)*0.475*44/12</f>
        <v>3.0418939566573813</v>
      </c>
      <c r="EW201" s="23">
        <f>EXP(-LN(2)/25)*EW200+(1-EXP(-LN(2)/25))/(LN(2)/25)*Calculateur!ER201*Calculateur!ET201*VLOOKUP('Données projet'!$B$15,Paramètres!$A$1:$I$88,3,0)*0.475*44/12</f>
        <v>1.1250141138208147</v>
      </c>
      <c r="EX201" s="23">
        <f>EXP(-LN(2)/2)*EX200+(1-EXP(-LN(2)/2))/(LN(2)/2)*ER201*EU201*VLOOKUP('Données projet'!$B$15,Paramètres!$A$1:$I$88,3,0)*0.475*44/12</f>
        <v>0</v>
      </c>
      <c r="EY201" s="24">
        <f t="shared" si="181"/>
        <v>4.166908070478196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231</v>
      </c>
      <c r="FF201" s="18">
        <f>FE201*VLOOKUP('Données projet'!$B$16,Paramètres!$A$1:$I$88,3,0)*VLOOKUP('Données projet'!$B$16,Paramètres!$A$1:$I$88,5,0)</f>
        <v>169.36920000000001</v>
      </c>
      <c r="FG201" s="14">
        <f t="shared" si="182"/>
        <v>42.948714817158674</v>
      </c>
      <c r="FH201" s="22">
        <f t="shared" si="183"/>
        <v>369.787034973218</v>
      </c>
      <c r="FI201" s="62">
        <f t="shared" si="199"/>
        <v>660.25367614247091</v>
      </c>
      <c r="FJ201" s="62">
        <f ca="1">AVERAGE(OFFSET($FI$3,0,0,'Données projet'!$E$16+1,1))-AVERAGE(OFFSET($H$3,0,0,'Données projet'!$E$16+1,1))</f>
        <v>207.66160354686221</v>
      </c>
      <c r="FK201" s="62">
        <f t="shared" si="211"/>
        <v>260.45879589483525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projet'!$B$16,Paramètres!$A$1:$I$88,3,0)*0.475*44/12</f>
        <v>0.18583760765707258</v>
      </c>
      <c r="FR201" s="23">
        <f>EXP(-LN(2)/25)*FR200+(1-EXP(-LN(2)/25))/(LN(2)/25)*Calculateur!FM201*Calculateur!FO201*VLOOKUP('Données projet'!$B$16,Paramètres!$A$1:$I$88,3,0)*0.475*44/12</f>
        <v>0</v>
      </c>
      <c r="FS201" s="23">
        <f>EXP(-LN(2)/2)*FS200+(1-EXP(-LN(2)/2))/(LN(2)/2)*FM201*FP201*VLOOKUP('Données projet'!$B$16,Paramètres!$A$1:$I$88,3,0)*0.475*44/12</f>
        <v>0</v>
      </c>
      <c r="FT201" s="24">
        <f t="shared" si="184"/>
        <v>0.18583760765707258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projet'!$B$9,Paramètres!$A$1:$I$88,3,0)*VLOOKUP('Données projet'!$B$9,Paramètres!$A$1:$I$88,5,0)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378.13552372917843</v>
      </c>
      <c r="T202" s="62">
        <f t="shared" si="204"/>
        <v>528.97123645404952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14.060319138463468</v>
      </c>
      <c r="AA202" s="23">
        <f>EXP(-LN(2)/25)*AA201+(1-EXP(-LN(2)/25))/(LN(2)/25)*Calculateur!V202*Calculateur!X202*VLOOKUP('Données projet'!$B$9,Paramètres!$A$1:$I$88,3,0)*0.475*44/12</f>
        <v>2.3243105420153602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16.384629680478827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projet'!$B$10,Paramètres!$A$1:$I$88,3,0)*VLOOKUP('Données projet'!$B$10,Paramètres!$A$1:$I$88,5,0)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290.51637186933897</v>
      </c>
      <c r="AN202" s="62">
        <f ca="1">AVERAGE(OFFSET($AM$3,0,0,'Données projet'!$E$10+1,1))-AVERAGE(OFFSET($H$3,0,0,'Données projet'!$E$10+1,1))</f>
        <v>536.3707066106856</v>
      </c>
      <c r="AO202" s="62">
        <f t="shared" si="205"/>
        <v>217.6280015974086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103.1059768690848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103.1059768690848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302.3</v>
      </c>
      <c r="BE202" s="14">
        <f>BD202*VLOOKUP('Données projet'!$B$11,Paramètres!$A$1:$I$88,3,0)*VLOOKUP('Données projet'!$B$11,Paramètres!$A$1:$I$88,5,0)</f>
        <v>180.77540000000005</v>
      </c>
      <c r="BF202" s="14">
        <f t="shared" si="167"/>
        <v>45.494655198846154</v>
      </c>
      <c r="BG202" s="22">
        <f t="shared" si="168"/>
        <v>394.08701280465715</v>
      </c>
      <c r="BH202" s="62">
        <f t="shared" si="194"/>
        <v>684.60338467399333</v>
      </c>
      <c r="BI202" s="62">
        <f ca="1">AVERAGE(OFFSET($BH$3,0,0,'Données projet'!$E$11+1,1))-AVERAGE(OFFSET($H$3,0,0,'Données projet'!$E$11+1,1))</f>
        <v>248.66193174773525</v>
      </c>
      <c r="BJ202" s="62">
        <f t="shared" si="206"/>
        <v>249.61655682981151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1.3223548112014558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4.9728694831190896E-21</v>
      </c>
      <c r="BS202" s="24">
        <f t="shared" si="169"/>
        <v>1.3223548112014558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860.00000000000023</v>
      </c>
      <c r="BZ202" s="14">
        <f>BY202*VLOOKUP('Données projet'!$B$12,Paramètres!$A$1:$I$88,3,0)*VLOOKUP('Données projet'!$B$12,Paramètres!$A$1:$I$88,5,0)</f>
        <v>346.5800000000001</v>
      </c>
      <c r="CA202" s="14">
        <f t="shared" si="170"/>
        <v>80.857895771535127</v>
      </c>
      <c r="CB202" s="22">
        <f t="shared" si="171"/>
        <v>744.45433513542378</v>
      </c>
      <c r="CC202" s="62">
        <f t="shared" si="195"/>
        <v>1034.9707070047598</v>
      </c>
      <c r="CD202" s="62">
        <f ca="1">AVERAGE(OFFSET($CC$3,0,0,'Données projet'!$E$12+1,1))-AVERAGE(OFFSET($H$3,0,0,'Données projet'!$E$12+1,1))</f>
        <v>432.59662347701629</v>
      </c>
      <c r="CE202" s="62">
        <f t="shared" si="207"/>
        <v>348.67401091099748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5.9567616522986535</v>
      </c>
      <c r="CL202" s="23">
        <f>EXP(-LN(2)/25)*CL201+(1-EXP(-LN(2)/25))/(LN(2)/25)*Calculateur!CG202*Calculateur!CI202*VLOOKUP('Données projet'!$B$12,Paramètres!$A$1:$I$88,3,0)*0.475*44/12</f>
        <v>2.5661252196141273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8.5228868719127817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1099.9999999999998</v>
      </c>
      <c r="CU202" s="18">
        <f>CT202*VLOOKUP('Données projet'!$B$13,Paramètres!$A$1:$I$88,3,0)*VLOOKUP('Données projet'!$B$13,Paramètres!$A$1:$I$88,5,0)</f>
        <v>486.19999999999993</v>
      </c>
      <c r="CV202" s="14">
        <f t="shared" si="173"/>
        <v>109.0490179035375</v>
      </c>
      <c r="CW202" s="22">
        <f t="shared" si="174"/>
        <v>1036.725372848661</v>
      </c>
      <c r="CX202" s="62">
        <f t="shared" si="196"/>
        <v>1327.2417447179971</v>
      </c>
      <c r="CY202" s="62">
        <f ca="1">AVERAGE(OFFSET($CX$3,0,0,'Données projet'!$E$13+1,1))-AVERAGE(OFFSET($H$3,0,0,'Données projet'!$E$13+1,1))</f>
        <v>582.26951914082088</v>
      </c>
      <c r="CZ202" s="62">
        <f t="shared" si="208"/>
        <v>434.80429932654715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6.0022630009321585</v>
      </c>
      <c r="DG202" s="23">
        <f>EXP(-LN(2)/25)*DG201+(1-EXP(-LN(2)/25))/(LN(2)/25)*Calculateur!DB202*Calculateur!DD202*VLOOKUP('Données projet'!$B$13,Paramètres!$A$1:$I$88,3,0)*0.475*44/12</f>
        <v>2.3058632533765118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8.3081262543086698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498.99999999999955</v>
      </c>
      <c r="DP202" s="18">
        <f>DO202*VLOOKUP('Données projet'!$B$14,Paramètres!$A$1:$I$88,3,0)*VLOOKUP('Données projet'!$B$14,Paramètres!$A$1:$I$88,5,0)</f>
        <v>240.01899999999978</v>
      </c>
      <c r="DQ202" s="14">
        <f t="shared" si="176"/>
        <v>58.443618405936313</v>
      </c>
      <c r="DR202" s="22">
        <f t="shared" si="177"/>
        <v>519.82239372367201</v>
      </c>
      <c r="DS202" s="62">
        <f t="shared" si="197"/>
        <v>810.33876559300813</v>
      </c>
      <c r="DT202" s="62">
        <f ca="1">AVERAGE(OFFSET($DS$3,0,0,'Données projet'!$E$14+1,1))-AVERAGE(OFFSET($H$3,0,0,'Données projet'!$E$14+1,1))</f>
        <v>273.24375559399846</v>
      </c>
      <c r="DU202" s="62">
        <f t="shared" si="209"/>
        <v>270.77718895097848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projet'!$B$14,Paramètres!$A$1:$I$88,3,0)*0.475*44/12</f>
        <v>3.0650843901933134</v>
      </c>
      <c r="EB202" s="23">
        <f>EXP(-LN(2)/25)*EB201+(1-EXP(-LN(2)/25))/(LN(2)/25)*Calculateur!DW202*Calculateur!DY202*VLOOKUP('Données projet'!$B$14,Paramètres!$A$1:$I$88,3,0)*0.475*44/12</f>
        <v>1.1246463921530327</v>
      </c>
      <c r="EC202" s="23">
        <f>EXP(-LN(2)/2)*EC201+(1-EXP(-LN(2)/2))/(LN(2)/2)*DW202*DZ202*VLOOKUP('Données projet'!$B$14,Paramètres!$A$1:$I$88,3,0)*0.475*44/12</f>
        <v>0</v>
      </c>
      <c r="ED202" s="24">
        <f t="shared" si="178"/>
        <v>4.1897307823463459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498.99999999999955</v>
      </c>
      <c r="EK202" s="18">
        <f>EJ202*VLOOKUP('Données projet'!$B$15,Paramètres!$A$1:$I$88,3,0)*VLOOKUP('Données projet'!$B$15,Paramètres!$A$1:$I$88,5,0)</f>
        <v>233.53199999999975</v>
      </c>
      <c r="EL202" s="14">
        <f t="shared" si="179"/>
        <v>57.04570382109803</v>
      </c>
      <c r="EM202" s="22">
        <f t="shared" si="180"/>
        <v>506.08950082174533</v>
      </c>
      <c r="EN202" s="62">
        <f t="shared" si="198"/>
        <v>796.60587269108146</v>
      </c>
      <c r="EO202" s="62">
        <f ca="1">AVERAGE(OFFSET($EN$3,0,0,'Données projet'!$E$15+1,1))-AVERAGE(OFFSET($H$3,0,0,'Données projet'!$E$15+1,1))</f>
        <v>267.26203506406682</v>
      </c>
      <c r="EP202" s="62">
        <f t="shared" si="210"/>
        <v>265.10857635664843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projet'!$B$15,Paramètres!$A$1:$I$88,3,0)*0.475*44/12</f>
        <v>2.9822442715394408</v>
      </c>
      <c r="EW202" s="23">
        <f>EXP(-LN(2)/25)*EW201+(1-EXP(-LN(2)/25))/(LN(2)/25)*Calculateur!ER202*Calculateur!ET202*VLOOKUP('Données projet'!$B$15,Paramètres!$A$1:$I$88,3,0)*0.475*44/12</f>
        <v>1.0942505437164636</v>
      </c>
      <c r="EX202" s="23">
        <f>EXP(-LN(2)/2)*EX201+(1-EXP(-LN(2)/2))/(LN(2)/2)*ER202*EU202*VLOOKUP('Données projet'!$B$15,Paramètres!$A$1:$I$88,3,0)*0.475*44/12</f>
        <v>0</v>
      </c>
      <c r="EY202" s="24">
        <f t="shared" si="181"/>
        <v>4.076494815255904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231</v>
      </c>
      <c r="FF202" s="18">
        <f>FE202*VLOOKUP('Données projet'!$B$16,Paramètres!$A$1:$I$88,3,0)*VLOOKUP('Données projet'!$B$16,Paramètres!$A$1:$I$88,5,0)</f>
        <v>169.36920000000001</v>
      </c>
      <c r="FG202" s="14">
        <f t="shared" si="182"/>
        <v>42.948714817158674</v>
      </c>
      <c r="FH202" s="22">
        <f t="shared" si="183"/>
        <v>369.787034973218</v>
      </c>
      <c r="FI202" s="62">
        <f t="shared" si="199"/>
        <v>660.30340684255407</v>
      </c>
      <c r="FJ202" s="62">
        <f ca="1">AVERAGE(OFFSET($FI$3,0,0,'Données projet'!$E$16+1,1))-AVERAGE(OFFSET($H$3,0,0,'Données projet'!$E$16+1,1))</f>
        <v>207.66160354686221</v>
      </c>
      <c r="FK202" s="62">
        <f t="shared" si="211"/>
        <v>260.45879589483525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projet'!$B$16,Paramètres!$A$1:$I$88,3,0)*0.475*44/12</f>
        <v>0.18219344552066569</v>
      </c>
      <c r="FR202" s="23">
        <f>EXP(-LN(2)/25)*FR201+(1-EXP(-LN(2)/25))/(LN(2)/25)*Calculateur!FM202*Calculateur!FO202*VLOOKUP('Données projet'!$B$16,Paramètres!$A$1:$I$88,3,0)*0.475*44/12</f>
        <v>0</v>
      </c>
      <c r="FS202" s="23">
        <f>EXP(-LN(2)/2)*FS201+(1-EXP(-LN(2)/2))/(LN(2)/2)*FM202*FP202*VLOOKUP('Données projet'!$B$16,Paramètres!$A$1:$I$88,3,0)*0.475*44/12</f>
        <v>0</v>
      </c>
      <c r="FT202" s="24">
        <f t="shared" si="184"/>
        <v>0.18219344552066569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projet'!$B$9,Paramètres!$A$1:$I$88,3,0)*VLOOKUP('Données projet'!$B$9,Paramètres!$A$1:$I$88,5,0)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378.13552372917843</v>
      </c>
      <c r="T203" s="62">
        <f t="shared" si="204"/>
        <v>528.97123645404952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13.784604856106069</v>
      </c>
      <c r="AA203" s="23">
        <f>EXP(-LN(2)/25)*AA202+(1-EXP(-LN(2)/25))/(LN(2)/25)*Calculateur!V203*Calculateur!X203*VLOOKUP('Données projet'!$B$9,Paramètres!$A$1:$I$88,3,0)*0.475*44/12</f>
        <v>2.2607521480137711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16.04535700411984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projet'!$B$10,Paramètres!$A$1:$I$88,3,0)*VLOOKUP('Données projet'!$B$10,Paramètres!$A$1:$I$88,5,0)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290.56523985295695</v>
      </c>
      <c r="AN203" s="62">
        <f ca="1">AVERAGE(OFFSET($AM$3,0,0,'Données projet'!$E$10+1,1))-AVERAGE(OFFSET($H$3,0,0,'Données projet'!$E$10+1,1))</f>
        <v>536.3707066106856</v>
      </c>
      <c r="AO203" s="62">
        <f t="shared" si="205"/>
        <v>217.6280015974086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101.08413155111822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101.08413155111822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302.3</v>
      </c>
      <c r="BE203" s="14">
        <f>BD203*VLOOKUP('Données projet'!$B$11,Paramètres!$A$1:$I$88,3,0)*VLOOKUP('Données projet'!$B$11,Paramètres!$A$1:$I$88,5,0)</f>
        <v>180.77540000000005</v>
      </c>
      <c r="BF203" s="14">
        <f t="shared" si="167"/>
        <v>45.494655198846154</v>
      </c>
      <c r="BG203" s="22">
        <f t="shared" si="168"/>
        <v>394.08701280465715</v>
      </c>
      <c r="BH203" s="62">
        <f t="shared" si="194"/>
        <v>684.65225265761126</v>
      </c>
      <c r="BI203" s="62">
        <f ca="1">AVERAGE(OFFSET($BH$3,0,0,'Données projet'!$E$11+1,1))-AVERAGE(OFFSET($H$3,0,0,'Données projet'!$E$11+1,1))</f>
        <v>248.66193174773525</v>
      </c>
      <c r="BJ203" s="62">
        <f t="shared" si="206"/>
        <v>249.61655682981151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1.2964242399105892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3.5163497334691497E-21</v>
      </c>
      <c r="BS203" s="24">
        <f t="shared" si="169"/>
        <v>1.2964242399105892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860.00000000000023</v>
      </c>
      <c r="BZ203" s="14">
        <f>BY203*VLOOKUP('Données projet'!$B$12,Paramètres!$A$1:$I$88,3,0)*VLOOKUP('Données projet'!$B$12,Paramètres!$A$1:$I$88,5,0)</f>
        <v>346.5800000000001</v>
      </c>
      <c r="CA203" s="14">
        <f t="shared" si="170"/>
        <v>80.857895771535127</v>
      </c>
      <c r="CB203" s="22">
        <f t="shared" si="171"/>
        <v>744.45433513542378</v>
      </c>
      <c r="CC203" s="62">
        <f t="shared" si="195"/>
        <v>1035.0195749883778</v>
      </c>
      <c r="CD203" s="62">
        <f ca="1">AVERAGE(OFFSET($CC$3,0,0,'Données projet'!$E$12+1,1))-AVERAGE(OFFSET($H$3,0,0,'Données projet'!$E$12+1,1))</f>
        <v>432.59662347701629</v>
      </c>
      <c r="CE203" s="62">
        <f t="shared" si="207"/>
        <v>348.67401091099748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5.8399531895629293</v>
      </c>
      <c r="CL203" s="23">
        <f>EXP(-LN(2)/25)*CL202+(1-EXP(-LN(2)/25))/(LN(2)/25)*Calculateur!CG203*Calculateur!CI203*VLOOKUP('Données projet'!$B$12,Paramètres!$A$1:$I$88,3,0)*0.475*44/12</f>
        <v>2.4959543905371189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8.3359075801000486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1099.9999999999998</v>
      </c>
      <c r="CU203" s="18">
        <f>CT203*VLOOKUP('Données projet'!$B$13,Paramètres!$A$1:$I$88,3,0)*VLOOKUP('Données projet'!$B$13,Paramètres!$A$1:$I$88,5,0)</f>
        <v>486.19999999999993</v>
      </c>
      <c r="CV203" s="14">
        <f t="shared" si="173"/>
        <v>109.0490179035375</v>
      </c>
      <c r="CW203" s="22">
        <f t="shared" si="174"/>
        <v>1036.725372848661</v>
      </c>
      <c r="CX203" s="62">
        <f t="shared" si="196"/>
        <v>1327.2906127016151</v>
      </c>
      <c r="CY203" s="62">
        <f ca="1">AVERAGE(OFFSET($CX$3,0,0,'Données projet'!$E$13+1,1))-AVERAGE(OFFSET($H$3,0,0,'Données projet'!$E$13+1,1))</f>
        <v>582.26951914082088</v>
      </c>
      <c r="CZ203" s="62">
        <f t="shared" si="208"/>
        <v>434.80429932654715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5.884562284502814</v>
      </c>
      <c r="DG203" s="23">
        <f>EXP(-LN(2)/25)*DG202+(1-EXP(-LN(2)/25))/(LN(2)/25)*Calculateur!DB203*Calculateur!DD203*VLOOKUP('Données projet'!$B$13,Paramètres!$A$1:$I$88,3,0)*0.475*44/12</f>
        <v>2.2428093014528527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8.1273715859556663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498.99999999999955</v>
      </c>
      <c r="DP203" s="18">
        <f>DO203*VLOOKUP('Données projet'!$B$14,Paramètres!$A$1:$I$88,3,0)*VLOOKUP('Données projet'!$B$14,Paramètres!$A$1:$I$88,5,0)</f>
        <v>240.01899999999978</v>
      </c>
      <c r="DQ203" s="14">
        <f t="shared" si="176"/>
        <v>58.443618405936313</v>
      </c>
      <c r="DR203" s="22">
        <f t="shared" si="177"/>
        <v>519.82239372367201</v>
      </c>
      <c r="DS203" s="62">
        <f t="shared" si="197"/>
        <v>810.38763357662606</v>
      </c>
      <c r="DT203" s="62">
        <f ca="1">AVERAGE(OFFSET($DS$3,0,0,'Données projet'!$E$14+1,1))-AVERAGE(OFFSET($H$3,0,0,'Données projet'!$E$14+1,1))</f>
        <v>273.24375559399846</v>
      </c>
      <c r="DU203" s="62">
        <f t="shared" si="209"/>
        <v>270.77718895097848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projet'!$B$14,Paramètres!$A$1:$I$88,3,0)*0.475*44/12</f>
        <v>3.0049799548185012</v>
      </c>
      <c r="EB203" s="23">
        <f>EXP(-LN(2)/25)*EB202+(1-EXP(-LN(2)/25))/(LN(2)/25)*Calculateur!DW203*Calculateur!DY203*VLOOKUP('Données projet'!$B$14,Paramètres!$A$1:$I$88,3,0)*0.475*44/12</f>
        <v>1.0938928774170247</v>
      </c>
      <c r="EC203" s="23">
        <f>EXP(-LN(2)/2)*EC202+(1-EXP(-LN(2)/2))/(LN(2)/2)*DW203*DZ203*VLOOKUP('Données projet'!$B$14,Paramètres!$A$1:$I$88,3,0)*0.475*44/12</f>
        <v>0</v>
      </c>
      <c r="ED203" s="24">
        <f t="shared" si="178"/>
        <v>4.0988728322355259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498.99999999999955</v>
      </c>
      <c r="EK203" s="18">
        <f>EJ203*VLOOKUP('Données projet'!$B$15,Paramètres!$A$1:$I$88,3,0)*VLOOKUP('Données projet'!$B$15,Paramètres!$A$1:$I$88,5,0)</f>
        <v>233.53199999999975</v>
      </c>
      <c r="EL203" s="14">
        <f t="shared" si="179"/>
        <v>57.04570382109803</v>
      </c>
      <c r="EM203" s="22">
        <f t="shared" si="180"/>
        <v>506.08950082174533</v>
      </c>
      <c r="EN203" s="62">
        <f t="shared" si="198"/>
        <v>796.6547406746995</v>
      </c>
      <c r="EO203" s="62">
        <f ca="1">AVERAGE(OFFSET($EN$3,0,0,'Données projet'!$E$15+1,1))-AVERAGE(OFFSET($H$3,0,0,'Données projet'!$E$15+1,1))</f>
        <v>267.26203506406682</v>
      </c>
      <c r="EP203" s="62">
        <f t="shared" si="210"/>
        <v>265.10857635664843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projet'!$B$15,Paramètres!$A$1:$I$88,3,0)*0.475*44/12</f>
        <v>2.9237642803639479</v>
      </c>
      <c r="EW203" s="23">
        <f>EXP(-LN(2)/25)*EW202+(1-EXP(-LN(2)/25))/(LN(2)/25)*Calculateur!ER203*Calculateur!ET203*VLOOKUP('Données projet'!$B$15,Paramètres!$A$1:$I$88,3,0)*0.475*44/12</f>
        <v>1.0643282050544016</v>
      </c>
      <c r="EX203" s="23">
        <f>EXP(-LN(2)/2)*EX202+(1-EXP(-LN(2)/2))/(LN(2)/2)*ER203*EU203*VLOOKUP('Données projet'!$B$15,Paramètres!$A$1:$I$88,3,0)*0.475*44/12</f>
        <v>0</v>
      </c>
      <c r="EY203" s="24">
        <f t="shared" si="181"/>
        <v>3.9880924854183495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231</v>
      </c>
      <c r="FF203" s="18">
        <f>FE203*VLOOKUP('Données projet'!$B$16,Paramètres!$A$1:$I$88,3,0)*VLOOKUP('Données projet'!$B$16,Paramètres!$A$1:$I$88,5,0)</f>
        <v>169.36920000000001</v>
      </c>
      <c r="FG203" s="14">
        <f t="shared" si="182"/>
        <v>42.948714817158674</v>
      </c>
      <c r="FH203" s="22">
        <f t="shared" si="183"/>
        <v>369.787034973218</v>
      </c>
      <c r="FI203" s="62">
        <f t="shared" si="199"/>
        <v>660.35227482617211</v>
      </c>
      <c r="FJ203" s="62">
        <f ca="1">AVERAGE(OFFSET($FI$3,0,0,'Données projet'!$E$16+1,1))-AVERAGE(OFFSET($H$3,0,0,'Données projet'!$E$16+1,1))</f>
        <v>207.66160354686221</v>
      </c>
      <c r="FK203" s="62">
        <f t="shared" si="211"/>
        <v>260.45879589483525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projet'!$B$16,Paramètres!$A$1:$I$88,3,0)*0.475*44/12</f>
        <v>0.17862074318103432</v>
      </c>
      <c r="FR203" s="23">
        <f>EXP(-LN(2)/25)*FR202+(1-EXP(-LN(2)/25))/(LN(2)/25)*Calculateur!FM203*Calculateur!FO203*VLOOKUP('Données projet'!$B$16,Paramètres!$A$1:$I$88,3,0)*0.475*44/12</f>
        <v>0</v>
      </c>
      <c r="FS203" s="23">
        <f>EXP(-LN(2)/2)*FS202+(1-EXP(-LN(2)/2))/(LN(2)/2)*FM203*FP203*VLOOKUP('Données projet'!$B$16,Paramètres!$A$1:$I$88,3,0)*0.475*44/12</f>
        <v>0</v>
      </c>
      <c r="FT203" s="24">
        <f t="shared" si="184"/>
        <v>0.17862074318103432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294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294</v>
      </c>
      <c r="BA204" s="87" t="s">
        <v>294</v>
      </c>
      <c r="BV204" s="87" t="s">
        <v>294</v>
      </c>
      <c r="CQ204" s="87" t="s">
        <v>294</v>
      </c>
      <c r="DL204" s="87" t="s">
        <v>294</v>
      </c>
      <c r="EG204" s="87" t="s">
        <v>294</v>
      </c>
      <c r="FB204" s="87" t="s">
        <v>294</v>
      </c>
      <c r="FW204" s="87" t="s">
        <v>294</v>
      </c>
      <c r="GR204" s="87" t="s">
        <v>294</v>
      </c>
    </row>
    <row r="205" spans="1:218" ht="16" thickBot="1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1.2680984338542187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1.1700309923436014</v>
      </c>
      <c r="BA205" s="88">
        <f>EXP(LN('Données projet'!B88)/'Données projet'!A88)</f>
        <v>1.3467515989204495</v>
      </c>
      <c r="BV205" s="88">
        <f>EXP(LN('Données projet'!B114)/'Données projet'!A114)</f>
        <v>1.3556619776599483</v>
      </c>
      <c r="CQ205" s="88">
        <f>EXP(LN('Données projet'!B140)/'Données projet'!A140)</f>
        <v>1.3593563908785258</v>
      </c>
      <c r="DL205" s="88">
        <f>EXP(LN('Données projet'!B166)/'Données projet'!A166)</f>
        <v>1.3134156586844881</v>
      </c>
      <c r="EG205" s="88">
        <f>EXP(LN('Données projet'!B192)/'Données projet'!A192)</f>
        <v>1.3134156586844881</v>
      </c>
      <c r="FB205" s="88">
        <f>EXP(LN('Données projet'!B218)/'Données projet'!A218)</f>
        <v>1.6071994829923506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1" t="s">
        <v>238</v>
      </c>
      <c r="P2" s="130">
        <v>0</v>
      </c>
    </row>
    <row r="3" spans="1:16" ht="16" thickBot="1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2"/>
      <c r="P3" s="137">
        <v>0.2</v>
      </c>
    </row>
    <row r="4" spans="1:16" ht="16" thickBot="1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1" t="s">
        <v>237</v>
      </c>
      <c r="P5" s="130">
        <v>0</v>
      </c>
    </row>
    <row r="6" spans="1:16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3"/>
      <c r="P6" s="138">
        <v>0.05</v>
      </c>
    </row>
    <row r="7" spans="1:16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3"/>
      <c r="P7" s="138">
        <v>0.1</v>
      </c>
    </row>
    <row r="8" spans="1:16" ht="16" thickBot="1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2"/>
      <c r="P8" s="137">
        <v>0.15</v>
      </c>
    </row>
    <row r="9" spans="1:16" ht="16" thickBot="1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1" t="s">
        <v>236</v>
      </c>
      <c r="P10" s="130">
        <v>0</v>
      </c>
    </row>
    <row r="11" spans="1:16" ht="16" thickBot="1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2"/>
      <c r="P11" s="137">
        <v>0.1</v>
      </c>
    </row>
    <row r="12" spans="1:16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274</v>
      </c>
      <c r="G87" s="140"/>
      <c r="H87" s="139"/>
      <c r="I87" s="141"/>
    </row>
    <row r="88" spans="1:14" ht="16" thickBot="1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274</v>
      </c>
      <c r="G88" s="143"/>
      <c r="H88" s="143"/>
      <c r="I88" s="146"/>
    </row>
    <row r="92" spans="1:14">
      <c r="A92" s="131" t="s">
        <v>208</v>
      </c>
    </row>
    <row r="93" spans="1:14">
      <c r="A93" s="131" t="s">
        <v>209</v>
      </c>
    </row>
    <row r="94" spans="1:14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2" sqref="J22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4" t="str">
        <f>IF('Données projet'!$B$9="","",'Données projet'!$B$9)</f>
        <v>Douglas</v>
      </c>
      <c r="B6" s="155">
        <f>'Données projet'!D9</f>
        <v>13.427899999999999</v>
      </c>
      <c r="C6" s="156">
        <f ca="1">IF(OR('Données projet'!B9="",'Données projet'!C9="",'Données projet'!C9=0%),0,Calculateur!S3)</f>
        <v>378.13552372917843</v>
      </c>
      <c r="D6" s="156">
        <f>IF(OR('Données projet'!B9="",'Données projet'!C9="",'Données projet'!C9=0%),0,Calculateur!T3)</f>
        <v>528.97123645404952</v>
      </c>
      <c r="E6" s="156">
        <f ca="1">MIN(C6,D6)</f>
        <v>378.13552372917843</v>
      </c>
      <c r="F6" s="156">
        <f ca="1">E6*B6</f>
        <v>5077.5659990830345</v>
      </c>
      <c r="G6" s="156">
        <f ca="1">F6*(100%-'Données projet'!$C$24)*(100%-'Données projet'!$C$25)*(100%-'Données projet'!$C$26)*(100%-'Données projet'!$C$27)</f>
        <v>4569.809399174731</v>
      </c>
      <c r="H6" s="157">
        <f>IF(OR('Données projet'!B9="",'Données projet'!C9="",'Données projet'!C9=0%),0,AVERAGE(Calculateur!$AC$3:$AC$33)*B6)</f>
        <v>89.456340329136353</v>
      </c>
      <c r="I6" s="158">
        <f>H6*(100%-'Données projet'!$C$24)*(100%-'Données projet'!$C$25)*(100%-'Données projet'!$C$26)*(100%-'Données projet'!$C$27)</f>
        <v>80.510706296222722</v>
      </c>
      <c r="J6" s="159">
        <f>IF(OR('Données projet'!B9="",'Données projet'!C9="",'Données projet'!C9=0%),0,SUM(Calculateur!$V$3:$V$33)*VLOOKUP('Données projet'!$B$9,Paramètres!$A$1:$I$88,9,0)*B6)</f>
        <v>837.22956499999998</v>
      </c>
      <c r="K6" s="160">
        <f>J6*(100%-'Données projet'!$C$24)*(100%-'Données projet'!$C$25)*(100%-'Données projet'!$C$26)*(100%-'Données projet'!$C$27)</f>
        <v>753.50660849999997</v>
      </c>
      <c r="L6" s="161">
        <f ca="1">G6+I6+K6</f>
        <v>5403.8267139709533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62" t="str">
        <f>IF('Données projet'!$B$10="","",'Données projet'!$B$10)</f>
        <v>Chêne sessile</v>
      </c>
      <c r="B7" s="163">
        <f>'Données projet'!D10</f>
        <v>5.1425999999999998</v>
      </c>
      <c r="C7" s="156">
        <f ca="1">IF(OR('Données projet'!B10="",'Données projet'!C10="",'Données projet'!C10=0%),0,Calculateur!AN3)</f>
        <v>536.3707066106856</v>
      </c>
      <c r="D7" s="156">
        <f>IF(OR('Données projet'!B10="",'Données projet'!C10="",'Données projet'!C10=0%),0,Calculateur!AO3)</f>
        <v>217.6280015974086</v>
      </c>
      <c r="E7" s="156">
        <f t="shared" ref="E7:E15" ca="1" si="0">MIN(C7,D7)</f>
        <v>217.6280015974086</v>
      </c>
      <c r="F7" s="156">
        <f t="shared" ref="F7:F15" ca="1" si="1">E7*B7</f>
        <v>1119.1737610148334</v>
      </c>
      <c r="G7" s="156">
        <f ca="1">F7*(100%-'Données projet'!$C$24)*(100%-'Données projet'!$C$25)*(100%-'Données projet'!$C$26)*(100%-'Données projet'!$C$27)</f>
        <v>1007.2563849133501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projet'!$B$10,Paramètres!$A$1:$I$88,9,0)*B7)</f>
        <v>25.713000000000001</v>
      </c>
      <c r="K7" s="160">
        <f>J7*(100%-'Données projet'!$C$24)*(100%-'Données projet'!$C$25)*(100%-'Données projet'!$C$26)*(100%-'Données projet'!$C$27)</f>
        <v>23.1417</v>
      </c>
      <c r="L7" s="161">
        <f t="shared" ref="L7:L15" ca="1" si="2">G7+I7+K7</f>
        <v>1030.39808491335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62" t="str">
        <f>IF('Données projet'!$B$11="","",'Données projet'!$B$11)</f>
        <v>Pin maritime</v>
      </c>
      <c r="B8" s="163">
        <f>'Données projet'!D11</f>
        <v>3.1427</v>
      </c>
      <c r="C8" s="156">
        <f ca="1">IF(OR('Données projet'!B11="",'Données projet'!C11="",'Données projet'!C11=0%),0,Calculateur!BI3)</f>
        <v>248.66193174773525</v>
      </c>
      <c r="D8" s="156">
        <f>IF(OR('Données projet'!B11="",'Données projet'!C11="",'Données projet'!C11=0%),0,Calculateur!BJ3)</f>
        <v>249.61655682981151</v>
      </c>
      <c r="E8" s="156">
        <f t="shared" ca="1" si="0"/>
        <v>248.66193174773525</v>
      </c>
      <c r="F8" s="156">
        <f t="shared" ca="1" si="1"/>
        <v>781.4698529036076</v>
      </c>
      <c r="G8" s="156">
        <f ca="1">F8*(100%-'Données projet'!$C$24)*(100%-'Données projet'!$C$25)*(100%-'Données projet'!$C$26)*(100%-'Données projet'!$C$27)</f>
        <v>703.3228676132469</v>
      </c>
      <c r="H8" s="164">
        <f>IF(OR('Données projet'!B11="",'Données projet'!C11="",'Données projet'!C11=0%),0,AVERAGE(Calculateur!$BS$3:$BS$33)*B8)</f>
        <v>20.743516277670413</v>
      </c>
      <c r="I8" s="158">
        <f>H8*(100%-'Données projet'!$C$24)*(100%-'Données projet'!$C$25)*(100%-'Données projet'!$C$26)*(100%-'Données projet'!$C$27)</f>
        <v>18.669164649903372</v>
      </c>
      <c r="J8" s="159">
        <f>IF(OR('Données projet'!B11="",'Données projet'!C11="",'Données projet'!C11=0%),0,SUM(Calculateur!$BL$3:$BL$33)*VLOOKUP('Données projet'!$B$11,Paramètres!$A$1:$I$88,9,0)*B8)</f>
        <v>191.16729829999997</v>
      </c>
      <c r="K8" s="160">
        <f>J8*(100%-'Données projet'!$C$24)*(100%-'Données projet'!$C$25)*(100%-'Données projet'!$C$26)*(100%-'Données projet'!$C$27)</f>
        <v>172.05056846999997</v>
      </c>
      <c r="L8" s="161">
        <f t="shared" ca="1" si="2"/>
        <v>894.04260073315027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62" t="str">
        <f>IF('Données projet'!$B$12="","",'Données projet'!$B$12)</f>
        <v>Thuya géant</v>
      </c>
      <c r="B9" s="163">
        <f>'Données projet'!D12</f>
        <v>1.7141999999999999</v>
      </c>
      <c r="C9" s="156">
        <f ca="1">IF(OR('Données projet'!B12="",'Données projet'!C12="",'Données projet'!C12=0%),0,Calculateur!CD3)</f>
        <v>432.59662347701629</v>
      </c>
      <c r="D9" s="156">
        <f>IF(OR('Données projet'!B12="",'Données projet'!C12="",'Données projet'!C12=0%),0,Calculateur!CE3)</f>
        <v>348.67401091099748</v>
      </c>
      <c r="E9" s="156">
        <f t="shared" ca="1" si="0"/>
        <v>348.67401091099748</v>
      </c>
      <c r="F9" s="156">
        <f t="shared" ca="1" si="1"/>
        <v>597.69698950363181</v>
      </c>
      <c r="G9" s="156">
        <f ca="1">F9*(100%-'Données projet'!$C$24)*(100%-'Données projet'!$C$25)*(100%-'Données projet'!$C$26)*(100%-'Données projet'!$C$27)</f>
        <v>537.92729055326868</v>
      </c>
      <c r="H9" s="164">
        <f>IF(OR('Données projet'!B12="",'Données projet'!C12="",'Données projet'!C12=0%),0,AVERAGE(Calculateur!$CN$3:$CN$33)*B9)</f>
        <v>20.195046362152784</v>
      </c>
      <c r="I9" s="158">
        <f>H9*(100%-'Données projet'!$C$24)*(100%-'Données projet'!$C$25)*(100%-'Données projet'!$C$26)*(100%-'Données projet'!$C$27)</f>
        <v>18.175541725937506</v>
      </c>
      <c r="J9" s="159">
        <f>IF(OR('Données projet'!B12="",'Données projet'!C12="",'Données projet'!C12=0%),0,SUM(Calculateur!$CG$3:$CG$33)*VLOOKUP('Données projet'!$B$12,Paramètres!$A$1:$I$88,9,0)*B9)</f>
        <v>176.90544</v>
      </c>
      <c r="K9" s="160">
        <f>J9*(100%-'Données projet'!$C$24)*(100%-'Données projet'!$C$25)*(100%-'Données projet'!$C$26)*(100%-'Données projet'!$C$27)</f>
        <v>159.21489600000001</v>
      </c>
      <c r="L9" s="161">
        <f t="shared" ca="1" si="2"/>
        <v>715.31772827920622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62" t="str">
        <f>IF('Données projet'!$B$13="","",'Données projet'!$B$13)</f>
        <v>Séquoia toujours vert</v>
      </c>
      <c r="B10" s="163">
        <f>'Données projet'!D13</f>
        <v>1.7141999999999999</v>
      </c>
      <c r="C10" s="156">
        <f ca="1">IF(OR('Données projet'!B13="",'Données projet'!C13="",'Données projet'!C13=0%),0,Calculateur!CY3)</f>
        <v>582.26951914082088</v>
      </c>
      <c r="D10" s="156">
        <f>IF(OR('Données projet'!B13="",'Données projet'!C13="",'Données projet'!C13=0%),0,Calculateur!CZ3)</f>
        <v>434.80429932654715</v>
      </c>
      <c r="E10" s="156">
        <f t="shared" ca="1" si="0"/>
        <v>434.80429932654715</v>
      </c>
      <c r="F10" s="156">
        <f t="shared" ca="1" si="1"/>
        <v>745.34152990556709</v>
      </c>
      <c r="G10" s="156">
        <f ca="1">F10*(100%-'Données projet'!$C$24)*(100%-'Données projet'!$C$25)*(100%-'Données projet'!$C$26)*(100%-'Données projet'!$C$27)</f>
        <v>670.80737691501042</v>
      </c>
      <c r="H10" s="164">
        <f>IF(OR('Données projet'!B13="",'Données projet'!C13="",'Données projet'!C13=0%),0,AVERAGE(Calculateur!$DI$3:$DI$33)*B10)</f>
        <v>33.334793051776316</v>
      </c>
      <c r="I10" s="158">
        <f>H10*(100%-'Données projet'!$C$24)*(100%-'Données projet'!$C$25)*(100%-'Données projet'!$C$26)*(100%-'Données projet'!$C$27)</f>
        <v>30.001313746598687</v>
      </c>
      <c r="J10" s="159">
        <f>IF(OR('Données projet'!B13="",'Données projet'!C13="",'Données projet'!C13=0%),0,SUM(Calculateur!$DB$3:$DB$33)*VLOOKUP('Données projet'!$B$13,Paramètres!$A$1:$I$88,9,0)*B10)</f>
        <v>241.77076799999998</v>
      </c>
      <c r="K10" s="160">
        <f>J10*(100%-'Données projet'!$C$24)*(100%-'Données projet'!$C$25)*(100%-'Données projet'!$C$26)*(100%-'Données projet'!$C$27)</f>
        <v>217.59369119999999</v>
      </c>
      <c r="L10" s="161">
        <f t="shared" ca="1" si="2"/>
        <v>918.40238186160911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62" t="str">
        <f>IF('Données projet'!$B$14="","",'Données projet'!$B$14)</f>
        <v>Sapin méditerranéen</v>
      </c>
      <c r="B11" s="163">
        <f>'Données projet'!D14</f>
        <v>1.1428</v>
      </c>
      <c r="C11" s="156">
        <f ca="1">IF(OR('Données projet'!B14="",'Données projet'!C14="",'Données projet'!C14=0%),0,Calculateur!DT3)</f>
        <v>273.24375559399846</v>
      </c>
      <c r="D11" s="156">
        <f>IF(OR('Données projet'!B14="",'Données projet'!C14="",'Données projet'!C14=0%),0,Calculateur!DU3)</f>
        <v>270.77718895097848</v>
      </c>
      <c r="E11" s="156">
        <f t="shared" ca="1" si="0"/>
        <v>270.77718895097848</v>
      </c>
      <c r="F11" s="156">
        <f t="shared" ca="1" si="1"/>
        <v>309.44417153317823</v>
      </c>
      <c r="G11" s="156">
        <f ca="1">F11*(100%-'Données projet'!$C$24)*(100%-'Données projet'!$C$25)*(100%-'Données projet'!$C$26)*(100%-'Données projet'!$C$27)</f>
        <v>278.49975437986041</v>
      </c>
      <c r="H11" s="164">
        <f>IF(OR('Données projet'!B14="",'Données projet'!C14="",'Données projet'!C14=0%),0,AVERAGE(Calculateur!$ED$3:$ED$33)*B11)</f>
        <v>7.4471133705872745</v>
      </c>
      <c r="I11" s="158">
        <f>H11*(100%-'Données projet'!$C$24)*(100%-'Données projet'!$C$25)*(100%-'Données projet'!$C$26)*(100%-'Données projet'!$C$27)</f>
        <v>6.7024020335285472</v>
      </c>
      <c r="J11" s="159">
        <f>IF(OR('Données projet'!B14="",'Données projet'!C14="",'Données projet'!C14=0%),0,SUM(Calculateur!$DW$3:$DW$33)*VLOOKUP('Données projet'!$B$14,Paramètres!$A$1:$I$88,9,0)*B11)</f>
        <v>58.968480000000007</v>
      </c>
      <c r="K11" s="160">
        <f>J11*(100%-'Données projet'!$C$24)*(100%-'Données projet'!$C$25)*(100%-'Données projet'!$C$26)*(100%-'Données projet'!$C$27)</f>
        <v>53.071632000000008</v>
      </c>
      <c r="L11" s="161">
        <f t="shared" ca="1" si="2"/>
        <v>338.27378841338896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62" t="str">
        <f>IF('Données projet'!$B$15="","",'Données projet'!$B$15)</f>
        <v>Cèdre de l'Atlas</v>
      </c>
      <c r="B12" s="163">
        <f>'Données projet'!D15</f>
        <v>1.1428</v>
      </c>
      <c r="C12" s="156">
        <f ca="1">IF(OR('Données projet'!B15="",'Données projet'!C15="",'Données projet'!C15=0%),0,Calculateur!EO3)</f>
        <v>267.26203506406682</v>
      </c>
      <c r="D12" s="156">
        <f>IF(OR('Données projet'!B15="",'Données projet'!C15="",'Données projet'!C15=0%),0,Calculateur!EP3)</f>
        <v>265.10857635664843</v>
      </c>
      <c r="E12" s="156">
        <f t="shared" ca="1" si="0"/>
        <v>265.10857635664843</v>
      </c>
      <c r="F12" s="156">
        <f t="shared" ca="1" si="1"/>
        <v>302.96608106037786</v>
      </c>
      <c r="G12" s="156">
        <f ca="1">F12*(100%-'Données projet'!$C$24)*(100%-'Données projet'!$C$25)*(100%-'Données projet'!$C$26)*(100%-'Données projet'!$C$27)</f>
        <v>272.66947295434011</v>
      </c>
      <c r="H12" s="164">
        <f>IF(OR('Données projet'!B15="",'Données projet'!C15="",'Données projet'!C15=0%),0,AVERAGE(Calculateur!$EY$3:$EY$33)*B12)</f>
        <v>7.2458400362470776</v>
      </c>
      <c r="I12" s="158">
        <f>H12*(100%-'Données projet'!$C$24)*(100%-'Données projet'!$C$25)*(100%-'Données projet'!$C$26)*(100%-'Données projet'!$C$27)</f>
        <v>6.5212560326223699</v>
      </c>
      <c r="J12" s="159">
        <f>IF(OR('Données projet'!B15="",'Données projet'!C15="",'Données projet'!C15=0%),0,SUM(Calculateur!$ER$3:$ER$33)*VLOOKUP('Données projet'!$B$15,Paramètres!$A$1:$I$88,9,0)*B12)</f>
        <v>58.968480000000007</v>
      </c>
      <c r="K12" s="160">
        <f>J12*(100%-'Données projet'!$C$24)*(100%-'Données projet'!$C$25)*(100%-'Données projet'!$C$26)*(100%-'Données projet'!$C$27)</f>
        <v>53.071632000000008</v>
      </c>
      <c r="L12" s="161">
        <f t="shared" ca="1" si="2"/>
        <v>332.26236098696251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62" t="str">
        <f>IF('Données projet'!$B$16="","",'Données projet'!$B$16)</f>
        <v>Châtaignier</v>
      </c>
      <c r="B13" s="163">
        <f>'Données projet'!D16</f>
        <v>1.1428</v>
      </c>
      <c r="C13" s="156">
        <f ca="1">IF(OR('Données projet'!B16="",'Données projet'!C16="",'Données projet'!C16=0%),0,Calculateur!FJ3)</f>
        <v>207.66160354686221</v>
      </c>
      <c r="D13" s="156">
        <f>IF(OR('Données projet'!B16="",'Données projet'!C16="",'Données projet'!C16=0%),0,Calculateur!FK3)</f>
        <v>260.45879589483525</v>
      </c>
      <c r="E13" s="156">
        <f t="shared" ca="1" si="0"/>
        <v>207.66160354686221</v>
      </c>
      <c r="F13" s="156">
        <f t="shared" ca="1" si="1"/>
        <v>237.31568053335414</v>
      </c>
      <c r="G13" s="156">
        <f ca="1">F13*(100%-'Données projet'!$C$24)*(100%-'Données projet'!$C$25)*(100%-'Données projet'!$C$26)*(100%-'Données projet'!$C$27)</f>
        <v>213.58411248001872</v>
      </c>
      <c r="H13" s="164">
        <f>IF(OR('Données projet'!B16="",'Données projet'!C16="",'Données projet'!C16=0%),0,AVERAGE(Calculateur!$FT$3:$FT$33)*B13)</f>
        <v>1.203892997811852</v>
      </c>
      <c r="I13" s="158">
        <f>H13*(100%-'Données projet'!$C$24)*(100%-'Données projet'!$C$25)*(100%-'Données projet'!$C$26)*(100%-'Données projet'!$C$27)</f>
        <v>1.0835036980306669</v>
      </c>
      <c r="J13" s="159">
        <f>IF(OR('Données projet'!C16="",'Données projet'!C16=0%),0,SUM(Calculateur!$FM$3:$FM$33)*VLOOKUP('Données projet'!$B$16,Paramètres!$A$1:$I$88,9,0)*B13)</f>
        <v>41.426500000000004</v>
      </c>
      <c r="K13" s="160">
        <f>J13*(100%-'Données projet'!$C$24)*(100%-'Données projet'!$C$25)*(100%-'Données projet'!$C$26)*(100%-'Données projet'!$C$27)</f>
        <v>37.283850000000008</v>
      </c>
      <c r="L13" s="161">
        <f t="shared" ca="1" si="2"/>
        <v>251.95146617804937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26"/>
      <c r="B16" s="233"/>
      <c r="C16" s="234"/>
      <c r="D16" s="25"/>
      <c r="E16" s="25"/>
      <c r="F16" s="174">
        <f t="shared" ref="F16:L16" ca="1" si="3">SUM(F6:F15)</f>
        <v>9170.9740655375845</v>
      </c>
      <c r="G16" s="175">
        <f t="shared" ca="1" si="3"/>
        <v>8253.8766589838269</v>
      </c>
      <c r="H16" s="176">
        <f t="shared" si="3"/>
        <v>179.62654242538204</v>
      </c>
      <c r="I16" s="176">
        <f t="shared" si="3"/>
        <v>161.66388818284389</v>
      </c>
      <c r="J16" s="177">
        <f t="shared" si="3"/>
        <v>1632.1495313</v>
      </c>
      <c r="K16" s="177">
        <f t="shared" si="3"/>
        <v>1468.9345781699997</v>
      </c>
      <c r="L16" s="178">
        <f t="shared" ca="1" si="3"/>
        <v>9884.4751253366685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26"/>
      <c r="B17" s="233"/>
      <c r="C17" s="234"/>
      <c r="D17" s="231"/>
      <c r="E17" s="231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26"/>
      <c r="B18" s="233"/>
      <c r="C18" s="234"/>
      <c r="D18" s="231"/>
      <c r="E18" s="231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79" t="str">
        <f>A9</f>
        <v>Thuya géant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79" t="str">
        <f>A10</f>
        <v>Séquoia toujours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79" t="str">
        <f>A11</f>
        <v>Sapin méditerranéen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79" t="str">
        <f>A12</f>
        <v>Cèdre de l'Atlas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79" t="str">
        <f>A13</f>
        <v>Châtaignier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1" zoomScaleNormal="100" workbookViewId="0">
      <selection activeCell="L26" sqref="L26:P27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>
      <c r="A4" s="99"/>
      <c r="B4" s="99"/>
      <c r="C4" s="99"/>
      <c r="D4" s="99"/>
      <c r="E4" s="99"/>
      <c r="G4" s="180"/>
      <c r="H4" s="320" t="s">
        <v>316</v>
      </c>
      <c r="I4" s="320"/>
      <c r="K4" s="317" t="s">
        <v>253</v>
      </c>
      <c r="L4" s="31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8" t="s">
        <v>311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260" t="s">
        <v>312</v>
      </c>
      <c r="C9" s="25"/>
      <c r="D9" s="25"/>
      <c r="E9" s="25"/>
      <c r="F9" s="261"/>
      <c r="G9" s="260" t="s">
        <v>315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60" t="s">
        <v>318</v>
      </c>
      <c r="C10" s="25"/>
      <c r="D10" s="25"/>
      <c r="E10" s="25"/>
      <c r="F10" s="261"/>
      <c r="G10" s="260" t="s">
        <v>317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6058.3894809225721</v>
      </c>
      <c r="U10" s="190">
        <f>'Données projet'!D9</f>
        <v>13.427899999999999</v>
      </c>
      <c r="V10" s="189">
        <f>U10*T10</f>
        <v>81351.448110880199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>
      <c r="A11" s="260" t="s">
        <v>313</v>
      </c>
      <c r="B11" s="25"/>
      <c r="C11" s="25"/>
      <c r="D11" s="25"/>
      <c r="E11" s="25"/>
      <c r="F11" s="261"/>
      <c r="G11" s="260" t="s">
        <v>314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760.1865130034264</v>
      </c>
      <c r="U11" s="190">
        <f>'Données projet'!D10</f>
        <v>5.1425999999999998</v>
      </c>
      <c r="V11" s="189">
        <f t="shared" ref="V11" si="0">U11*T11</f>
        <v>3909.3351617714206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1364.1228238070748</v>
      </c>
      <c r="U12" s="190">
        <f>'Données projet'!D11</f>
        <v>3.1427</v>
      </c>
      <c r="V12" s="189">
        <f t="shared" ref="V12:V19" si="1">U12*T12</f>
        <v>4287.0287983784938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Thuya géant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3773.6926280483908</v>
      </c>
      <c r="U13" s="190">
        <f>'Données projet'!D12</f>
        <v>1.7141999999999999</v>
      </c>
      <c r="V13" s="189">
        <f t="shared" si="1"/>
        <v>6468.8639030005515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291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Séquoia toujours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4426.8523380952347</v>
      </c>
      <c r="U14" s="190">
        <f>'Données projet'!D13</f>
        <v>1.7141999999999999</v>
      </c>
      <c r="V14" s="189">
        <f t="shared" si="1"/>
        <v>7588.5102779628514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>
      <c r="A15" s="5"/>
      <c r="B15" s="5"/>
      <c r="C15" s="5"/>
      <c r="D15" s="5"/>
      <c r="E15" s="5"/>
      <c r="F15" s="261"/>
      <c r="G15" s="321" t="s">
        <v>319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Sapin méditerranéen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2081.6519774598992</v>
      </c>
      <c r="U15" s="190">
        <f>'Données projet'!D14</f>
        <v>1.1428</v>
      </c>
      <c r="V15" s="189">
        <f t="shared" si="1"/>
        <v>2378.9118798411728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287</v>
      </c>
      <c r="F16" s="261"/>
      <c r="G16" s="321"/>
      <c r="H16" s="203"/>
      <c r="I16" s="204"/>
      <c r="J16" s="216"/>
      <c r="K16" s="225"/>
      <c r="L16" s="317" t="s">
        <v>254</v>
      </c>
      <c r="M16" s="318"/>
      <c r="N16" s="2"/>
      <c r="O16" s="25"/>
      <c r="P16" s="25"/>
      <c r="Q16" s="265"/>
      <c r="R16" s="25"/>
      <c r="S16" s="185" t="str">
        <f>B200</f>
        <v>Cèdre de l'Atlas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2081.6519774598992</v>
      </c>
      <c r="U16" s="190">
        <f>'Données projet'!D15</f>
        <v>1.1428</v>
      </c>
      <c r="V16" s="189">
        <f t="shared" si="1"/>
        <v>2378.9118798411728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1"/>
      <c r="J17" s="216"/>
      <c r="K17" s="225"/>
      <c r="L17" s="288" t="s">
        <v>290</v>
      </c>
      <c r="M17" s="290"/>
      <c r="N17" s="187">
        <f>VLOOKUP(N16,Calculateur!$A$2:$H$153,3,0)/VLOOKUP('Scénario référence'!$G$15,Paramètres!A1:I88,3,0)/VLOOKUP('Scénario référence'!$G$15,Paramètres!A1:I88,5,0)</f>
        <v>0</v>
      </c>
      <c r="O17" s="25"/>
      <c r="P17" s="25"/>
      <c r="Q17" s="265"/>
      <c r="R17" s="25"/>
      <c r="S17" s="185" t="str">
        <f>B231</f>
        <v>Châtaignier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1421.3913683173894</v>
      </c>
      <c r="U17" s="190">
        <f>'Données projet'!D16</f>
        <v>1.1428</v>
      </c>
      <c r="V17" s="189">
        <f t="shared" si="1"/>
        <v>1624.3660557131127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1"/>
      <c r="J18" s="216"/>
      <c r="K18" s="225"/>
      <c r="L18" s="288" t="s">
        <v>255</v>
      </c>
      <c r="M18" s="290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1"/>
      <c r="H19" s="232" t="s">
        <v>178</v>
      </c>
      <c r="I19" s="232" t="s">
        <v>288</v>
      </c>
      <c r="J19" s="260"/>
      <c r="K19" s="183"/>
      <c r="L19" s="317" t="s">
        <v>289</v>
      </c>
      <c r="M19" s="31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1"/>
      <c r="H20" s="203">
        <v>0</v>
      </c>
      <c r="I20" s="204">
        <v>4551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1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>
      <c r="A23" s="192">
        <f>'Données projet'!A36</f>
        <v>24</v>
      </c>
      <c r="B23" s="193">
        <f>'Données projet'!D36</f>
        <v>66</v>
      </c>
      <c r="C23" s="206">
        <v>10</v>
      </c>
      <c r="D23" s="194">
        <f>B23*C23</f>
        <v>660</v>
      </c>
      <c r="E23" s="206"/>
      <c r="F23" s="261"/>
      <c r="H23" s="203">
        <v>2</v>
      </c>
      <c r="I23" s="204">
        <v>450</v>
      </c>
      <c r="K23" s="225"/>
      <c r="L23" s="319" t="s">
        <v>260</v>
      </c>
      <c r="M23" s="319"/>
      <c r="N23" s="319"/>
      <c r="O23" s="25"/>
      <c r="P23" s="25"/>
      <c r="Q23" s="265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-52743.161218158508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>
      <c r="A24" s="192">
        <f>'Données projet'!A37</f>
        <v>30</v>
      </c>
      <c r="B24" s="193">
        <f>'Données projet'!D37</f>
        <v>79</v>
      </c>
      <c r="C24" s="206">
        <v>25</v>
      </c>
      <c r="D24" s="194">
        <f t="shared" ref="D24:D42" si="2">B24*C24</f>
        <v>1975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143966.71144558932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>
      <c r="A25" s="192">
        <f>'Données projet'!A38</f>
        <v>36</v>
      </c>
      <c r="B25" s="193">
        <f>'Données projet'!D38</f>
        <v>92</v>
      </c>
      <c r="C25" s="206">
        <v>30</v>
      </c>
      <c r="D25" s="194">
        <f t="shared" si="2"/>
        <v>2760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250</v>
      </c>
      <c r="Q25" s="265"/>
      <c r="R25" s="25"/>
      <c r="S25" s="198" t="s">
        <v>266</v>
      </c>
      <c r="T25" s="335">
        <f ca="1">T23-T24</f>
        <v>-196709.87266374781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>
      <c r="A26" s="192">
        <f>'Données projet'!A39</f>
        <v>42</v>
      </c>
      <c r="B26" s="193">
        <f>'Données projet'!D39</f>
        <v>88</v>
      </c>
      <c r="C26" s="206">
        <v>40</v>
      </c>
      <c r="D26" s="194">
        <f t="shared" si="2"/>
        <v>3520</v>
      </c>
      <c r="E26" s="206"/>
      <c r="F26" s="264"/>
      <c r="G26" s="259"/>
      <c r="H26" s="203"/>
      <c r="I26" s="204"/>
      <c r="K26" s="225"/>
      <c r="L26" s="322" t="s">
        <v>258</v>
      </c>
      <c r="M26" s="323"/>
      <c r="N26" s="323"/>
      <c r="O26" s="323"/>
      <c r="P26" s="324"/>
      <c r="Q26" s="265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>
      <c r="A27" s="192">
        <f>'Données projet'!A40</f>
        <v>48</v>
      </c>
      <c r="B27" s="193">
        <f>'Données projet'!D40</f>
        <v>102</v>
      </c>
      <c r="C27" s="206">
        <v>50</v>
      </c>
      <c r="D27" s="194">
        <f t="shared" si="2"/>
        <v>5100</v>
      </c>
      <c r="E27" s="206"/>
      <c r="F27" s="264"/>
      <c r="G27" s="259"/>
      <c r="H27" s="203"/>
      <c r="I27" s="204"/>
      <c r="K27" s="225"/>
      <c r="L27" s="325"/>
      <c r="M27" s="326"/>
      <c r="N27" s="326"/>
      <c r="O27" s="326"/>
      <c r="P27" s="327"/>
      <c r="Q27" s="265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>
      <c r="A28" s="192">
        <f>'Données projet'!A41</f>
        <v>54</v>
      </c>
      <c r="B28" s="193">
        <f>'Données projet'!D41</f>
        <v>640</v>
      </c>
      <c r="C28" s="206">
        <v>60</v>
      </c>
      <c r="D28" s="194">
        <f t="shared" si="2"/>
        <v>38400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5039.0868549383731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239.23444976076556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228.93248780934508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219.07415101372735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209.64033589830373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200.61276162517103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191.97393456954171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183.70711442061406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175.79628174221446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168.22610693034878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160.98192050751081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154.0496846961826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147.41596621644271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141.06791025496909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287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134.99321555499438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129.18011057894199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123.61733069755219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118.29409636129395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113.20009221176457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108.32544709259768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103.66071492114614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>
      <c r="A54" s="192">
        <f>'Données projet'!A62</f>
        <v>29</v>
      </c>
      <c r="B54" s="193">
        <f>'Données projet'!D62</f>
        <v>20</v>
      </c>
      <c r="C54" s="204">
        <v>15</v>
      </c>
      <c r="D54" s="191">
        <f>B54*C54</f>
        <v>300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99.196856383871889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>
      <c r="A55" s="192">
        <f>'Données projet'!A63</f>
        <v>37</v>
      </c>
      <c r="B55" s="193">
        <f>'Données projet'!D63</f>
        <v>20</v>
      </c>
      <c r="C55" s="204">
        <v>20</v>
      </c>
      <c r="D55" s="191">
        <f t="shared" ref="D55:D73" si="4">B55*C55</f>
        <v>400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94.925221419973127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>
      <c r="A56" s="192">
        <f>'Données projet'!A64</f>
        <v>45</v>
      </c>
      <c r="B56" s="193">
        <f>'Données projet'!D64</f>
        <v>25</v>
      </c>
      <c r="C56" s="204">
        <v>20</v>
      </c>
      <c r="D56" s="191">
        <f t="shared" si="4"/>
        <v>500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90.837532459304427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>
      <c r="A57" s="192">
        <f>'Données projet'!A65</f>
        <v>53</v>
      </c>
      <c r="B57" s="193">
        <f>'Données projet'!D65</f>
        <v>45</v>
      </c>
      <c r="C57" s="204">
        <v>25</v>
      </c>
      <c r="D57" s="191">
        <f t="shared" si="4"/>
        <v>1125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86.925868382109513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>
      <c r="A58" s="192">
        <f>'Données projet'!A66</f>
        <v>61</v>
      </c>
      <c r="B58" s="193">
        <f>'Données projet'!D66</f>
        <v>47</v>
      </c>
      <c r="C58" s="204">
        <v>40</v>
      </c>
      <c r="D58" s="191">
        <f t="shared" si="4"/>
        <v>1880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83.182649169482801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>
      <c r="A59" s="192">
        <f>'Données projet'!A67</f>
        <v>69</v>
      </c>
      <c r="B59" s="193">
        <f>'Données projet'!D67</f>
        <v>43</v>
      </c>
      <c r="C59" s="204">
        <v>40</v>
      </c>
      <c r="D59" s="191">
        <f t="shared" si="4"/>
        <v>1720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79.600621214816101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192">
        <f>'Données projet'!A68</f>
        <v>77</v>
      </c>
      <c r="B60" s="193">
        <f>'Données projet'!D68</f>
        <v>4</v>
      </c>
      <c r="C60" s="204">
        <v>50</v>
      </c>
      <c r="D60" s="191">
        <f t="shared" si="4"/>
        <v>200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76.172843267766595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192">
        <f>'Données projet'!A69</f>
        <v>85</v>
      </c>
      <c r="B61" s="193">
        <f>'Données projet'!D69</f>
        <v>41</v>
      </c>
      <c r="C61" s="204">
        <v>60</v>
      </c>
      <c r="D61" s="191">
        <f t="shared" si="4"/>
        <v>2460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72.892672983508731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192">
        <f>'Données projet'!A70</f>
        <v>93</v>
      </c>
      <c r="B62" s="193">
        <f>'Données projet'!D70</f>
        <v>40</v>
      </c>
      <c r="C62" s="204">
        <v>70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69.75375405120451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192">
        <f>'Données projet'!A71</f>
        <v>101</v>
      </c>
      <c r="B63" s="193">
        <f>'Données projet'!D71</f>
        <v>34</v>
      </c>
      <c r="C63" s="204">
        <v>80</v>
      </c>
      <c r="D63" s="191">
        <f t="shared" si="4"/>
        <v>2720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66.750003876750753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192">
        <f>'Données projet'!A72</f>
        <v>110</v>
      </c>
      <c r="B64" s="193">
        <f>'Données projet'!D72</f>
        <v>39</v>
      </c>
      <c r="C64" s="204">
        <v>90</v>
      </c>
      <c r="D64" s="191">
        <f t="shared" si="4"/>
        <v>3510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63.875601795933719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192">
        <f>'Données projet'!A73</f>
        <v>120</v>
      </c>
      <c r="B65" s="193">
        <f>'Données projet'!D73</f>
        <v>43</v>
      </c>
      <c r="C65" s="204">
        <v>100</v>
      </c>
      <c r="D65" s="191">
        <f t="shared" si="4"/>
        <v>4300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61.124977795151921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192">
        <f>'Données projet'!A74</f>
        <v>130</v>
      </c>
      <c r="B66" s="193">
        <f>'Données projet'!D74</f>
        <v>46</v>
      </c>
      <c r="C66" s="204">
        <v>110</v>
      </c>
      <c r="D66" s="191">
        <f t="shared" si="4"/>
        <v>5060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58.492801717848735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192">
        <f>'Données projet'!A75</f>
        <v>140</v>
      </c>
      <c r="B67" s="193">
        <f>'Données projet'!D75</f>
        <v>45</v>
      </c>
      <c r="C67" s="204">
        <v>120</v>
      </c>
      <c r="D67" s="191">
        <f t="shared" si="4"/>
        <v>5400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55.97397293574042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192">
        <f>'Données projet'!A76</f>
        <v>150</v>
      </c>
      <c r="B68" s="193">
        <f>'Données projet'!D76</f>
        <v>47</v>
      </c>
      <c r="C68" s="204">
        <v>130</v>
      </c>
      <c r="D68" s="191">
        <f t="shared" si="4"/>
        <v>6110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53.56361046482337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192">
        <f>'Données projet'!A77</f>
        <v>160</v>
      </c>
      <c r="B69" s="193">
        <f>'Données projet'!D77</f>
        <v>51</v>
      </c>
      <c r="C69" s="204">
        <v>150</v>
      </c>
      <c r="D69" s="191">
        <f t="shared" si="4"/>
        <v>7650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51.257043507008021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192">
        <f>'Données projet'!A78</f>
        <v>170</v>
      </c>
      <c r="B70" s="193">
        <f>'Données projet'!D78</f>
        <v>457</v>
      </c>
      <c r="C70" s="204">
        <v>200</v>
      </c>
      <c r="D70" s="191">
        <f t="shared" si="4"/>
        <v>91400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49.049802399050741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46.937609951244731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44.916373159085872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42.982175271852519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41.131268202729686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39.360065265770039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37.665134225617265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36.043190646523705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287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34.491091527773875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>
      <c r="A86" s="192">
        <f>'Données projet'!A89</f>
        <v>16</v>
      </c>
      <c r="B86" s="193">
        <f>'Données projet'!D89</f>
        <v>14.8</v>
      </c>
      <c r="C86" s="340">
        <v>10</v>
      </c>
      <c r="D86" s="191">
        <f t="shared" ref="D86:D104" si="6">B86*C86</f>
        <v>148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>
      <c r="A87" s="192">
        <f>'Données projet'!A90</f>
        <v>20</v>
      </c>
      <c r="B87" s="193">
        <f>'Données projet'!D90</f>
        <v>22.1</v>
      </c>
      <c r="C87" s="340">
        <v>15</v>
      </c>
      <c r="D87" s="191">
        <f t="shared" si="6"/>
        <v>331.5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>
      <c r="A88" s="192">
        <f>'Données projet'!A91</f>
        <v>24</v>
      </c>
      <c r="B88" s="193">
        <f>'Données projet'!D91</f>
        <v>30.8</v>
      </c>
      <c r="C88" s="340">
        <v>20</v>
      </c>
      <c r="D88" s="191">
        <f t="shared" si="6"/>
        <v>616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>
      <c r="A89" s="192">
        <f>'Données projet'!A92</f>
        <v>28</v>
      </c>
      <c r="B89" s="193">
        <f>'Données projet'!D92</f>
        <v>35.4</v>
      </c>
      <c r="C89" s="340">
        <v>25</v>
      </c>
      <c r="D89" s="191">
        <f t="shared" si="6"/>
        <v>885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>
      <c r="A90" s="192">
        <f>'Données projet'!A93</f>
        <v>34</v>
      </c>
      <c r="B90" s="193">
        <f>'Données projet'!D93</f>
        <v>46.2</v>
      </c>
      <c r="C90" s="340">
        <v>25</v>
      </c>
      <c r="D90" s="191">
        <f t="shared" si="6"/>
        <v>1155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192">
        <f>'Données projet'!A94</f>
        <v>40</v>
      </c>
      <c r="B91" s="193">
        <f>'Données projet'!D94</f>
        <v>41.3</v>
      </c>
      <c r="C91" s="206">
        <v>30</v>
      </c>
      <c r="D91" s="191">
        <f t="shared" si="6"/>
        <v>1239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192">
        <f>'Données projet'!A95</f>
        <v>46</v>
      </c>
      <c r="B92" s="193">
        <f>'Données projet'!D95</f>
        <v>28.7</v>
      </c>
      <c r="C92" s="206">
        <v>35</v>
      </c>
      <c r="D92" s="191">
        <f t="shared" si="6"/>
        <v>1004.5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192">
        <f>'Données projet'!A96</f>
        <v>54</v>
      </c>
      <c r="B93" s="193">
        <f>'Données projet'!D96</f>
        <v>15.6</v>
      </c>
      <c r="C93" s="206">
        <v>40</v>
      </c>
      <c r="D93" s="191">
        <f t="shared" si="6"/>
        <v>624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192">
        <f>'Données projet'!A97</f>
        <v>62</v>
      </c>
      <c r="B94" s="193">
        <f>'Données projet'!D97</f>
        <v>6.5</v>
      </c>
      <c r="C94" s="206">
        <v>45</v>
      </c>
      <c r="D94" s="191">
        <f t="shared" si="6"/>
        <v>292.5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49" t="s">
        <v>168</v>
      </c>
      <c r="B107" s="186" t="str">
        <f>IF('Données projet'!B12="","",'Données projet'!B12)</f>
        <v>Thuya géant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287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>
      <c r="A117" s="192">
        <f>'Données projet'!A115</f>
        <v>20</v>
      </c>
      <c r="B117" s="193">
        <f>'Données projet'!D115</f>
        <v>72</v>
      </c>
      <c r="C117" s="340">
        <v>10</v>
      </c>
      <c r="D117" s="191">
        <f t="shared" ref="D117:D135" si="8">B117*C117</f>
        <v>720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>
      <c r="A118" s="192">
        <f>'Données projet'!A116</f>
        <v>25</v>
      </c>
      <c r="B118" s="193">
        <f>'Données projet'!D116</f>
        <v>84</v>
      </c>
      <c r="C118" s="340">
        <v>15</v>
      </c>
      <c r="D118" s="191">
        <f t="shared" si="8"/>
        <v>1260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>
      <c r="A119" s="192">
        <f>'Données projet'!A117</f>
        <v>30</v>
      </c>
      <c r="B119" s="193">
        <f>'Données projet'!D117</f>
        <v>84</v>
      </c>
      <c r="C119" s="340">
        <v>20</v>
      </c>
      <c r="D119" s="191">
        <f t="shared" si="8"/>
        <v>1680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>
      <c r="A120" s="192">
        <f>'Données projet'!A118</f>
        <v>35</v>
      </c>
      <c r="B120" s="193">
        <f>'Données projet'!D118</f>
        <v>84</v>
      </c>
      <c r="C120" s="340">
        <v>25</v>
      </c>
      <c r="D120" s="191">
        <f t="shared" si="8"/>
        <v>2100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>
      <c r="A121" s="192">
        <f>'Données projet'!A119</f>
        <v>40</v>
      </c>
      <c r="B121" s="193">
        <f>'Données projet'!D119</f>
        <v>84</v>
      </c>
      <c r="C121" s="340">
        <v>30</v>
      </c>
      <c r="D121" s="191">
        <f t="shared" si="8"/>
        <v>2520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192">
        <f>'Données projet'!A120</f>
        <v>45</v>
      </c>
      <c r="B122" s="193">
        <f>'Données projet'!D120</f>
        <v>84</v>
      </c>
      <c r="C122" s="206">
        <v>35</v>
      </c>
      <c r="D122" s="191">
        <f t="shared" si="8"/>
        <v>2940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192">
        <f>'Données projet'!A121</f>
        <v>50</v>
      </c>
      <c r="B123" s="193">
        <f>'Données projet'!D121</f>
        <v>79</v>
      </c>
      <c r="C123" s="206">
        <v>40</v>
      </c>
      <c r="D123" s="191">
        <f t="shared" si="8"/>
        <v>3160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192">
        <f>'Données projet'!A122</f>
        <v>55</v>
      </c>
      <c r="B124" s="193">
        <f>'Données projet'!D122</f>
        <v>70</v>
      </c>
      <c r="C124" s="206">
        <v>40</v>
      </c>
      <c r="D124" s="191">
        <f t="shared" si="8"/>
        <v>2800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192">
        <f>'Données projet'!A123</f>
        <v>60</v>
      </c>
      <c r="B125" s="193">
        <f>'Données projet'!D123</f>
        <v>64</v>
      </c>
      <c r="C125" s="206">
        <v>45</v>
      </c>
      <c r="D125" s="191">
        <f t="shared" si="8"/>
        <v>2880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192">
        <f>'Données projet'!A124</f>
        <v>65</v>
      </c>
      <c r="B126" s="193">
        <f>'Données projet'!D124</f>
        <v>60</v>
      </c>
      <c r="C126" s="206">
        <v>50</v>
      </c>
      <c r="D126" s="191">
        <f t="shared" si="8"/>
        <v>3000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192">
        <f>'Données projet'!A125</f>
        <v>70</v>
      </c>
      <c r="B127" s="193">
        <f>'Données projet'!D125</f>
        <v>56</v>
      </c>
      <c r="C127" s="206">
        <v>55</v>
      </c>
      <c r="D127" s="191">
        <f t="shared" si="8"/>
        <v>3080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192">
        <f>'Données projet'!A126</f>
        <v>75</v>
      </c>
      <c r="B128" s="193">
        <f>'Données projet'!D126</f>
        <v>54</v>
      </c>
      <c r="C128" s="206">
        <v>55</v>
      </c>
      <c r="D128" s="191">
        <f t="shared" si="8"/>
        <v>2970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192">
        <f>'Données projet'!A127</f>
        <v>80</v>
      </c>
      <c r="B129" s="193">
        <f>'Données projet'!D127</f>
        <v>52</v>
      </c>
      <c r="C129" s="206">
        <v>60</v>
      </c>
      <c r="D129" s="191">
        <f t="shared" si="8"/>
        <v>3120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49" t="s">
        <v>169</v>
      </c>
      <c r="B138" s="186" t="str">
        <f>IF('Données projet'!B13="","",'Données projet'!B13)</f>
        <v>Séquoia toujours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287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>
      <c r="A147" s="45">
        <f>'Données projet'!A140</f>
        <v>15</v>
      </c>
      <c r="B147" s="187">
        <f>'Données projet'!D140</f>
        <v>13</v>
      </c>
      <c r="C147" s="340">
        <v>10</v>
      </c>
      <c r="D147" s="194">
        <f>B147*C147</f>
        <v>130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>
      <c r="A148" s="45">
        <f>'Données projet'!A141</f>
        <v>20</v>
      </c>
      <c r="B148" s="187">
        <f>'Données projet'!D141</f>
        <v>105</v>
      </c>
      <c r="C148" s="340">
        <v>15</v>
      </c>
      <c r="D148" s="194">
        <f t="shared" ref="D148:D166" si="10">B148*C148</f>
        <v>1575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>
      <c r="A149" s="45">
        <f>'Données projet'!A142</f>
        <v>25</v>
      </c>
      <c r="B149" s="187">
        <f>'Données projet'!D142</f>
        <v>105</v>
      </c>
      <c r="C149" s="340">
        <v>20</v>
      </c>
      <c r="D149" s="194">
        <f t="shared" si="10"/>
        <v>2100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>
      <c r="A150" s="45">
        <f>'Données projet'!A143</f>
        <v>30</v>
      </c>
      <c r="B150" s="187">
        <f>'Données projet'!D143</f>
        <v>105</v>
      </c>
      <c r="C150" s="340">
        <v>25</v>
      </c>
      <c r="D150" s="194">
        <f t="shared" si="10"/>
        <v>2625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>
      <c r="A151" s="45">
        <f>'Données projet'!A144</f>
        <v>35</v>
      </c>
      <c r="B151" s="187">
        <f>'Données projet'!D144</f>
        <v>105</v>
      </c>
      <c r="C151" s="340">
        <v>30</v>
      </c>
      <c r="D151" s="194">
        <f t="shared" si="10"/>
        <v>3150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>
      <c r="A152" s="45">
        <f>'Données projet'!A145</f>
        <v>40</v>
      </c>
      <c r="B152" s="187">
        <f>'Données projet'!D145</f>
        <v>0</v>
      </c>
      <c r="C152" s="206">
        <v>35</v>
      </c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>
      <c r="A153" s="45">
        <f>'Données projet'!A146</f>
        <v>45</v>
      </c>
      <c r="B153" s="187">
        <f>'Données projet'!D146</f>
        <v>83</v>
      </c>
      <c r="C153" s="206">
        <v>40</v>
      </c>
      <c r="D153" s="194">
        <f t="shared" si="10"/>
        <v>3320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>
      <c r="A154" s="45">
        <f>'Données projet'!A147</f>
        <v>50</v>
      </c>
      <c r="B154" s="187">
        <f>'Données projet'!D147</f>
        <v>71</v>
      </c>
      <c r="C154" s="206">
        <v>40</v>
      </c>
      <c r="D154" s="194">
        <f t="shared" si="10"/>
        <v>2840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>
      <c r="A155" s="45">
        <f>'Données projet'!A148</f>
        <v>55</v>
      </c>
      <c r="B155" s="187">
        <f>'Données projet'!D148</f>
        <v>62</v>
      </c>
      <c r="C155" s="206">
        <v>45</v>
      </c>
      <c r="D155" s="194">
        <f t="shared" si="10"/>
        <v>2790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>
      <c r="A156" s="45">
        <f>'Données projet'!A149</f>
        <v>60</v>
      </c>
      <c r="B156" s="187">
        <f>'Données projet'!D149</f>
        <v>55</v>
      </c>
      <c r="C156" s="206">
        <v>50</v>
      </c>
      <c r="D156" s="194">
        <f t="shared" si="10"/>
        <v>2750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>
      <c r="A157" s="45">
        <f>'Données projet'!A150</f>
        <v>65</v>
      </c>
      <c r="B157" s="187">
        <f>'Données projet'!D150</f>
        <v>49</v>
      </c>
      <c r="C157" s="206">
        <v>55</v>
      </c>
      <c r="D157" s="194">
        <f t="shared" si="10"/>
        <v>2695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>
      <c r="A158" s="45">
        <f>'Données projet'!A151</f>
        <v>70</v>
      </c>
      <c r="B158" s="187">
        <f>'Données projet'!D151</f>
        <v>44</v>
      </c>
      <c r="C158" s="206">
        <v>55</v>
      </c>
      <c r="D158" s="194">
        <f t="shared" si="10"/>
        <v>2420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>
      <c r="A159" s="45">
        <f>'Données projet'!A152</f>
        <v>75</v>
      </c>
      <c r="B159" s="187">
        <f>'Données projet'!D152</f>
        <v>40</v>
      </c>
      <c r="C159" s="206">
        <v>60</v>
      </c>
      <c r="D159" s="194">
        <f t="shared" si="10"/>
        <v>2400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>
      <c r="A160" s="45">
        <f>'Données projet'!A153</f>
        <v>80</v>
      </c>
      <c r="B160" s="187">
        <f>'Données projet'!D153</f>
        <v>35</v>
      </c>
      <c r="C160" s="206">
        <v>60</v>
      </c>
      <c r="D160" s="194">
        <f t="shared" si="10"/>
        <v>2100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>
      <c r="A169" s="49" t="s">
        <v>170</v>
      </c>
      <c r="B169" s="186" t="str">
        <f>IF('Données projet'!B14="","",'Données projet'!B14)</f>
        <v>Sapin méditerranéen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287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>
      <c r="A178" s="192">
        <f>'Données projet'!A166</f>
        <v>17</v>
      </c>
      <c r="B178" s="193">
        <f>'Données projet'!D166</f>
        <v>15</v>
      </c>
      <c r="C178" s="340">
        <v>10</v>
      </c>
      <c r="D178" s="191">
        <f>B178*C178</f>
        <v>150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>
      <c r="A179" s="192">
        <f>'Données projet'!A167</f>
        <v>20</v>
      </c>
      <c r="B179" s="193">
        <f>'Données projet'!D167</f>
        <v>15</v>
      </c>
      <c r="C179" s="340">
        <v>15</v>
      </c>
      <c r="D179" s="191">
        <f t="shared" ref="D179:D197" si="11">B179*C179</f>
        <v>225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>
      <c r="A180" s="192">
        <f>'Données projet'!A168</f>
        <v>25</v>
      </c>
      <c r="B180" s="193">
        <f>'Données projet'!D168</f>
        <v>36</v>
      </c>
      <c r="C180" s="340">
        <v>20</v>
      </c>
      <c r="D180" s="191">
        <f t="shared" si="11"/>
        <v>720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>
      <c r="A181" s="192">
        <f>'Données projet'!A169</f>
        <v>30</v>
      </c>
      <c r="B181" s="193">
        <f>'Données projet'!D169</f>
        <v>54</v>
      </c>
      <c r="C181" s="340">
        <v>25</v>
      </c>
      <c r="D181" s="191">
        <f t="shared" si="11"/>
        <v>1350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>
      <c r="A182" s="192">
        <f>'Données projet'!A170</f>
        <v>35</v>
      </c>
      <c r="B182" s="193">
        <f>'Données projet'!D170</f>
        <v>52</v>
      </c>
      <c r="C182" s="340">
        <v>25</v>
      </c>
      <c r="D182" s="191">
        <f t="shared" si="11"/>
        <v>1300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>
      <c r="A183" s="192">
        <f>'Données projet'!A171</f>
        <v>40</v>
      </c>
      <c r="B183" s="193">
        <f>'Données projet'!D171</f>
        <v>48</v>
      </c>
      <c r="C183" s="206">
        <v>30</v>
      </c>
      <c r="D183" s="191">
        <f t="shared" si="11"/>
        <v>1440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>
      <c r="A184" s="192">
        <f>'Données projet'!A172</f>
        <v>45</v>
      </c>
      <c r="B184" s="193">
        <f>'Données projet'!D172</f>
        <v>57</v>
      </c>
      <c r="C184" s="206">
        <v>35</v>
      </c>
      <c r="D184" s="191">
        <f t="shared" si="11"/>
        <v>1995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>
      <c r="A185" s="192">
        <f>'Données projet'!A173</f>
        <v>50</v>
      </c>
      <c r="B185" s="193">
        <f>'Données projet'!D173</f>
        <v>47</v>
      </c>
      <c r="C185" s="206">
        <v>35</v>
      </c>
      <c r="D185" s="191">
        <f t="shared" si="11"/>
        <v>1645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>
      <c r="A186" s="192">
        <f>'Données projet'!A174</f>
        <v>55</v>
      </c>
      <c r="B186" s="193">
        <f>'Données projet'!D174</f>
        <v>48</v>
      </c>
      <c r="C186" s="206">
        <v>40</v>
      </c>
      <c r="D186" s="191">
        <f t="shared" si="11"/>
        <v>1920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>
      <c r="A187" s="192">
        <f>'Données projet'!A175</f>
        <v>60</v>
      </c>
      <c r="B187" s="193">
        <f>'Données projet'!D175</f>
        <v>32</v>
      </c>
      <c r="C187" s="206">
        <v>40</v>
      </c>
      <c r="D187" s="191">
        <f t="shared" si="11"/>
        <v>1280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>
      <c r="A188" s="192">
        <f>'Données projet'!A176</f>
        <v>65</v>
      </c>
      <c r="B188" s="193">
        <f>'Données projet'!D176</f>
        <v>28</v>
      </c>
      <c r="C188" s="206">
        <v>45</v>
      </c>
      <c r="D188" s="191">
        <f t="shared" si="11"/>
        <v>1260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>
      <c r="A200" s="49" t="s">
        <v>171</v>
      </c>
      <c r="B200" s="186" t="str">
        <f>IF('Données projet'!$B$15="","",'Données projet'!$B$15)</f>
        <v>Cèdre de l'Atlas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287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>
      <c r="A209" s="192">
        <f>'Données projet'!A192</f>
        <v>17</v>
      </c>
      <c r="B209" s="193">
        <f>'Données projet'!D192</f>
        <v>15</v>
      </c>
      <c r="C209" s="340">
        <v>10</v>
      </c>
      <c r="D209" s="191">
        <f>B209*C209</f>
        <v>150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>
      <c r="A210" s="192">
        <f>'Données projet'!A193</f>
        <v>20</v>
      </c>
      <c r="B210" s="193">
        <f>'Données projet'!D193</f>
        <v>15</v>
      </c>
      <c r="C210" s="340">
        <v>15</v>
      </c>
      <c r="D210" s="191">
        <f t="shared" ref="D210:D228" si="12">B210*C210</f>
        <v>225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>
      <c r="A211" s="192">
        <f>'Données projet'!A194</f>
        <v>25</v>
      </c>
      <c r="B211" s="193">
        <f>'Données projet'!D194</f>
        <v>36</v>
      </c>
      <c r="C211" s="340">
        <v>20</v>
      </c>
      <c r="D211" s="191">
        <f t="shared" si="12"/>
        <v>720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>
      <c r="A212" s="192">
        <f>'Données projet'!A195</f>
        <v>30</v>
      </c>
      <c r="B212" s="193">
        <f>'Données projet'!D195</f>
        <v>54</v>
      </c>
      <c r="C212" s="340">
        <v>25</v>
      </c>
      <c r="D212" s="191">
        <f t="shared" si="12"/>
        <v>1350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>
      <c r="A213" s="192">
        <f>'Données projet'!A196</f>
        <v>35</v>
      </c>
      <c r="B213" s="193">
        <f>'Données projet'!D196</f>
        <v>52</v>
      </c>
      <c r="C213" s="340">
        <v>25</v>
      </c>
      <c r="D213" s="191">
        <f t="shared" si="12"/>
        <v>1300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>
      <c r="A214" s="192">
        <f>'Données projet'!A197</f>
        <v>40</v>
      </c>
      <c r="B214" s="193">
        <f>'Données projet'!D197</f>
        <v>48</v>
      </c>
      <c r="C214" s="206">
        <v>30</v>
      </c>
      <c r="D214" s="191">
        <f t="shared" si="12"/>
        <v>1440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>
      <c r="A215" s="192">
        <f>'Données projet'!A198</f>
        <v>45</v>
      </c>
      <c r="B215" s="193">
        <f>'Données projet'!D198</f>
        <v>57</v>
      </c>
      <c r="C215" s="206">
        <v>35</v>
      </c>
      <c r="D215" s="191">
        <f t="shared" si="12"/>
        <v>1995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>
      <c r="A216" s="192">
        <f>'Données projet'!A199</f>
        <v>50</v>
      </c>
      <c r="B216" s="193">
        <f>'Données projet'!D199</f>
        <v>47</v>
      </c>
      <c r="C216" s="206">
        <v>35</v>
      </c>
      <c r="D216" s="191">
        <f t="shared" si="12"/>
        <v>1645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>
      <c r="A217" s="192">
        <f>'Données projet'!A200</f>
        <v>55</v>
      </c>
      <c r="B217" s="193">
        <f>'Données projet'!D200</f>
        <v>48</v>
      </c>
      <c r="C217" s="206">
        <v>40</v>
      </c>
      <c r="D217" s="191">
        <f t="shared" si="12"/>
        <v>1920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>
      <c r="A218" s="192">
        <f>'Données projet'!A201</f>
        <v>60</v>
      </c>
      <c r="B218" s="193">
        <f>'Données projet'!D201</f>
        <v>32</v>
      </c>
      <c r="C218" s="206">
        <v>40</v>
      </c>
      <c r="D218" s="191">
        <f t="shared" si="12"/>
        <v>1280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>
      <c r="A219" s="192">
        <f>'Données projet'!A202</f>
        <v>65</v>
      </c>
      <c r="B219" s="193">
        <f>'Données projet'!D202</f>
        <v>28</v>
      </c>
      <c r="C219" s="206">
        <v>45</v>
      </c>
      <c r="D219" s="191">
        <f t="shared" si="12"/>
        <v>1260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>
      <c r="A231" s="49" t="s">
        <v>172</v>
      </c>
      <c r="B231" s="186" t="str">
        <f>IF('Données projet'!$B$16="","",'Données projet'!$B$16)</f>
        <v>Châtaignier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287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>
      <c r="A240" s="192">
        <f>'Données projet'!A218</f>
        <v>10</v>
      </c>
      <c r="B240" s="193">
        <f>'Données projet'!D218</f>
        <v>71</v>
      </c>
      <c r="C240" s="206">
        <v>15</v>
      </c>
      <c r="D240" s="191">
        <f>B240*C240</f>
        <v>1065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>
      <c r="A241" s="192">
        <f>'Données projet'!A219</f>
        <v>15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>
      <c r="A242" s="192">
        <f>'Données projet'!A220</f>
        <v>16</v>
      </c>
      <c r="B242" s="193">
        <f>'Données projet'!D220</f>
        <v>33</v>
      </c>
      <c r="C242" s="206">
        <v>20</v>
      </c>
      <c r="D242" s="191">
        <f t="shared" si="13"/>
        <v>660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>
      <c r="A243" s="192">
        <f>'Données projet'!A221</f>
        <v>20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>
      <c r="A244" s="192">
        <f>'Données projet'!A222</f>
        <v>25</v>
      </c>
      <c r="B244" s="193">
        <f>'Données projet'!D222</f>
        <v>41</v>
      </c>
      <c r="C244" s="206">
        <v>30</v>
      </c>
      <c r="D244" s="191">
        <f t="shared" si="13"/>
        <v>1230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>
      <c r="A245" s="192">
        <f>'Données projet'!A223</f>
        <v>30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>
      <c r="A246" s="192">
        <f>'Données projet'!A224</f>
        <v>35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>
      <c r="A247" s="192">
        <f>'Données projet'!A225</f>
        <v>40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>
      <c r="A248" s="192">
        <f>'Données projet'!A226</f>
        <v>45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287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287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2021-10-15T16:09:44Z</dcterms:modified>
</cp:coreProperties>
</file>